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8550" windowHeight="4785" tabRatio="884" activeTab="0"/>
  </bookViews>
  <sheets>
    <sheet name="simulatie kostprijs (rapport)" sheetId="1" r:id="rId1"/>
    <sheet name="simulatie kostprijs (enquête)" sheetId="2" r:id="rId2"/>
    <sheet name="simulatie kostprijs (5%)" sheetId="3" r:id="rId3"/>
    <sheet name="evolutie 1999-2005" sheetId="4" r:id="rId4"/>
    <sheet name="Grafiek evolutie stookolieprijs" sheetId="5" r:id="rId5"/>
    <sheet name="vgl energie-werking" sheetId="6" r:id="rId6"/>
    <sheet name="2005" sheetId="7" r:id="rId7"/>
    <sheet name="2004" sheetId="8" r:id="rId8"/>
    <sheet name="2003" sheetId="9" r:id="rId9"/>
    <sheet name="2002" sheetId="10" r:id="rId10"/>
    <sheet name="2001" sheetId="11" r:id="rId11"/>
    <sheet name="2000" sheetId="12" r:id="rId12"/>
    <sheet name="1999" sheetId="13" r:id="rId13"/>
  </sheets>
  <definedNames>
    <definedName name="_xlnm.Print_Titles" localSheetId="7">'2004'!$1:$8</definedName>
    <definedName name="_xlnm.Print_Titles" localSheetId="6">'2005'!$1:$8</definedName>
  </definedNames>
  <calcPr fullCalcOnLoad="1"/>
</workbook>
</file>

<file path=xl/sharedStrings.xml><?xml version="1.0" encoding="utf-8"?>
<sst xmlns="http://schemas.openxmlformats.org/spreadsheetml/2006/main" count="265" uniqueCount="90">
  <si>
    <t>Diesel</t>
  </si>
  <si>
    <t>LPG</t>
  </si>
  <si>
    <t>Huisbrandolie</t>
  </si>
  <si>
    <t>Huisbrandolie Extra</t>
  </si>
  <si>
    <t>Super 95 octaan zonder lood</t>
  </si>
  <si>
    <t>Super 98 octaan zonder lood</t>
  </si>
  <si>
    <t>Propaan fles</t>
  </si>
  <si>
    <t>Propaan bulk</t>
  </si>
  <si>
    <t>EUR/L</t>
  </si>
  <si>
    <t>EUR/T</t>
  </si>
  <si>
    <t>EUR/KG</t>
  </si>
  <si>
    <t>(+ 2000 L)</t>
  </si>
  <si>
    <t>zwavelarm</t>
  </si>
  <si>
    <t>Butaan fles</t>
  </si>
  <si>
    <t>Extra zware stookolie &lt; 1% S</t>
  </si>
  <si>
    <t>Evolutie van de maximumprijzen (BTW inclusief) van petroleumproducten in 2004</t>
  </si>
  <si>
    <t>Situatie op 31/12/03</t>
  </si>
  <si>
    <t>/</t>
  </si>
  <si>
    <t>Evolutie van de maximumprijzen (BTW inclusief) van petroleumproducten in 2003</t>
  </si>
  <si>
    <t>Situatie op 31/12/02</t>
  </si>
  <si>
    <t>aantal dagen</t>
  </si>
  <si>
    <t>gewogen gemiddelde prijs</t>
  </si>
  <si>
    <t>gewogen waarde</t>
  </si>
  <si>
    <t>werkingsmiddelen 2004 (dEUR)</t>
  </si>
  <si>
    <t>Hogescholen</t>
  </si>
  <si>
    <t>Universiteiten</t>
  </si>
  <si>
    <t>Totaal</t>
  </si>
  <si>
    <t>gewogen gemiddelde kostprijs</t>
  </si>
  <si>
    <t>BEF / L</t>
  </si>
  <si>
    <t>EUR / L</t>
  </si>
  <si>
    <t>http://www.petrolfed.be</t>
  </si>
  <si>
    <t>Situatie op 31/12/04</t>
  </si>
  <si>
    <t>Evolutie van de maximumprijzen (BTW inclusief) van petroleumproducten in 2005</t>
  </si>
  <si>
    <t>Gewogen gemiddelde kostprijs (in EUR)</t>
  </si>
  <si>
    <t>Procentuele stijging in de periode 1999 - 2004</t>
  </si>
  <si>
    <t>Procentuele stijging in de periode 2004 - 2005</t>
  </si>
  <si>
    <t>aantal leerlingen</t>
  </si>
  <si>
    <t>Procentuele stijging in de periode 1999 - 2000</t>
  </si>
  <si>
    <t>1. Bepalen van de verhouding 'energiekosten t.o.v. totaal werkingsmiddelen'</t>
  </si>
  <si>
    <t>Basisonderwijs</t>
  </si>
  <si>
    <t>Secundair Onderwijs</t>
  </si>
  <si>
    <t>aandeel energiekost t.o.v. werkingsmiddelen</t>
  </si>
  <si>
    <t>aandeel energiekosten t.o.v. werkingsmiddelen</t>
  </si>
  <si>
    <t>energiekost per leerling (EUR)</t>
  </si>
  <si>
    <t>Assumpties :</t>
  </si>
  <si>
    <t>- Er bestaan geen recente gegevens over energiekosten. Daarom wordt vertrokken</t>
  </si>
  <si>
    <t xml:space="preserve">  vanuit het rapport 'kwantificering van de objectiveerbare verschillen' (1999).</t>
  </si>
  <si>
    <t xml:space="preserve">  Alle cijfers in bovenstaande tabel hebben betrekking op het jaar 1999.</t>
  </si>
  <si>
    <t xml:space="preserve">  wordt het gemiddelde genomen van de energiekost in het BaO en SO.</t>
  </si>
  <si>
    <t>totale energiekost (dEUR)</t>
  </si>
  <si>
    <t>werkings-middelen (dEUR)</t>
  </si>
  <si>
    <t>- In dit rapport zijn enkel cijfers opgenomen voor BaO en SO. Voor het hoger onderwijs</t>
  </si>
  <si>
    <t>- Exclusief internaten en sociale voorzieningen in het hoger onderwijs</t>
  </si>
  <si>
    <t>- Om de werkingsmiddelen van het hoger onderwijs te berekenen werd de 80/20 regel</t>
  </si>
  <si>
    <t xml:space="preserve">   toegepast op de hogescholenenveloppe en de werkingsuitkeringen universiteiten</t>
  </si>
  <si>
    <t xml:space="preserve">  dat de verwarmingskosten hiervan het leeuwendeel uitmaken in schoolgebouwen.</t>
  </si>
  <si>
    <t>2. Basis ('normale situatie') waarop de meerkost berekend wordt</t>
  </si>
  <si>
    <t>energiekosten 2004 (dEUR)</t>
  </si>
  <si>
    <t>- Toepassing 80/20 regel op de hogescholenenveloppe en de werkingsuitkeringen universiteiten</t>
  </si>
  <si>
    <r>
      <t xml:space="preserve">- In het rapport 'objectiveerbare verschillen' werd de </t>
    </r>
    <r>
      <rPr>
        <b/>
        <sz val="8"/>
        <rFont val="Arial"/>
        <family val="2"/>
      </rPr>
      <t>totale energiekost</t>
    </r>
    <r>
      <rPr>
        <sz val="8"/>
        <rFont val="Arial"/>
        <family val="2"/>
      </rPr>
      <t xml:space="preserve"> opgevraagd, </t>
    </r>
  </si>
  <si>
    <r>
      <t xml:space="preserve">  d.i. van </t>
    </r>
    <r>
      <rPr>
        <b/>
        <sz val="8"/>
        <rFont val="Arial"/>
        <family val="2"/>
      </rPr>
      <t>verwarming, electriciteit, water en gas</t>
    </r>
    <r>
      <rPr>
        <sz val="8"/>
        <rFont val="Arial"/>
        <family val="2"/>
      </rPr>
      <t>. Men kan er echter wel van uitgaan</t>
    </r>
  </si>
  <si>
    <t>3. Meerkost binnen de werkingsmiddelen 2005</t>
  </si>
  <si>
    <t>stijging stookolieprijs - gew. gem. prijs 2005 t.o.v. 2004</t>
  </si>
  <si>
    <t>meerkost 2005 t.o.v. 2004</t>
  </si>
  <si>
    <t>Bron :</t>
  </si>
  <si>
    <t xml:space="preserve">o.b.v. een heel beperkte steekproef werd vastgesteld dat de verwarmingsfactuur 6% in het basis </t>
  </si>
  <si>
    <t>en 7% in het secundair bedraagt. Voor het hoger onderwijs werd het gemiddelde van deze twee cijfers</t>
  </si>
  <si>
    <t>genomen.</t>
  </si>
  <si>
    <t>- Bij een vorige oefening werd door het kabinet voorgesteld om het aandeel energiekosten t.o.v. werkingsmiddelen</t>
  </si>
  <si>
    <t xml:space="preserve">  op 5% in te schatten.</t>
  </si>
  <si>
    <t>4. Aandeel meerkost t.o.v. werkingsmiddelen 2005</t>
  </si>
  <si>
    <t>meerkost in 2005</t>
  </si>
  <si>
    <t>werkingsmiddelen 2005</t>
  </si>
  <si>
    <t>aandeel meerkost/totaal</t>
  </si>
  <si>
    <t>Werkingsmiddelen</t>
  </si>
  <si>
    <t>Stookolieprijs</t>
  </si>
  <si>
    <t>Jaarlijks evolutie%</t>
  </si>
  <si>
    <t>BaO</t>
  </si>
  <si>
    <t>SO</t>
  </si>
  <si>
    <t>Univ.</t>
  </si>
  <si>
    <t>Gemiddelde jaarprijs</t>
  </si>
  <si>
    <t>Budget (in dEUR)</t>
  </si>
  <si>
    <t>Cumul. groei</t>
  </si>
  <si>
    <t>Cumul. Groei</t>
  </si>
  <si>
    <t>Bijlage 2 : berekening meerkost stookolieprijs (september 2005)</t>
  </si>
  <si>
    <t>meerkost berekend obv. het rapport 'kwantificering van de objectiveerbare verschillen' (1999)</t>
  </si>
  <si>
    <t>meerkost berekend obv. gegevens steekproef in het BaO en SO</t>
  </si>
  <si>
    <t>meerkost berekend obv. vroeger voorstel : aandeel energiekosten = 5 %</t>
  </si>
  <si>
    <t>overzicht gewogen gemiddelde kostprijs</t>
  </si>
  <si>
    <t>Vergelijking evolutie werkingsmiddelen tov. stookolieprijs</t>
  </si>
</sst>
</file>

<file path=xl/styles.xml><?xml version="1.0" encoding="utf-8"?>
<styleSheet xmlns="http://schemas.openxmlformats.org/spreadsheetml/2006/main">
  <numFmts count="68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00"/>
    <numFmt numFmtId="181" formatCode="dd/mm/yyyy"/>
    <numFmt numFmtId="182" formatCode="0.0000"/>
    <numFmt numFmtId="183" formatCode="dd/mm"/>
    <numFmt numFmtId="184" formatCode="d/m/yyyy"/>
    <numFmt numFmtId="185" formatCode="d\-m"/>
    <numFmt numFmtId="186" formatCode="d/mm"/>
    <numFmt numFmtId="187" formatCode="&quot;fl&quot;\ #,##0_-;&quot;fl&quot;\ #,##0\-"/>
    <numFmt numFmtId="188" formatCode="&quot;fl&quot;\ #,##0_-;[Red]&quot;fl&quot;\ #,##0\-"/>
    <numFmt numFmtId="189" formatCode="&quot;fl&quot;\ #,##0.00_-;&quot;fl&quot;\ #,##0.00\-"/>
    <numFmt numFmtId="190" formatCode="&quot;fl&quot;\ #,##0.00_-;[Red]&quot;fl&quot;\ #,##0.00\-"/>
    <numFmt numFmtId="191" formatCode="_-&quot;fl&quot;\ * #,##0_-;_-&quot;fl&quot;\ * #,##0\-;_-&quot;fl&quot;\ * &quot;-&quot;_-;_-@_-"/>
    <numFmt numFmtId="192" formatCode="_-* #,##0_-;_-* #,##0\-;_-* &quot;-&quot;_-;_-@_-"/>
    <numFmt numFmtId="193" formatCode="_-&quot;fl&quot;\ * #,##0.00_-;_-&quot;fl&quot;\ * #,##0.00\-;_-&quot;fl&quot;\ * &quot;-&quot;??_-;_-@_-"/>
    <numFmt numFmtId="194" formatCode="_-* #,##0.00_-;_-* #,##0.00\-;_-* &quot;-&quot;??_-;_-@_-"/>
    <numFmt numFmtId="195" formatCode="&quot;F&quot;\ #,##0_-;&quot;F&quot;\ #,##0\-"/>
    <numFmt numFmtId="196" formatCode="&quot;F&quot;\ #,##0_-;[Red]&quot;F&quot;\ #,##0\-"/>
    <numFmt numFmtId="197" formatCode="&quot;F&quot;\ #,##0.00_-;&quot;F&quot;\ #,##0.00\-"/>
    <numFmt numFmtId="198" formatCode="&quot;F&quot;\ #,##0.00_-;[Red]&quot;F&quot;\ #,##0.00\-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#,##0\ &quot;BEF&quot;;\-#,##0\ &quot;BEF&quot;"/>
    <numFmt numFmtId="202" formatCode="#,##0\ &quot;BEF&quot;;[Red]\-#,##0\ &quot;BEF&quot;"/>
    <numFmt numFmtId="203" formatCode="#,##0.00\ &quot;BEF&quot;;\-#,##0.00\ &quot;BEF&quot;"/>
    <numFmt numFmtId="204" formatCode="#,##0.00\ &quot;BEF&quot;;[Red]\-#,##0.00\ &quot;BEF&quot;"/>
    <numFmt numFmtId="205" formatCode="_-* #,##0\ &quot;BEF&quot;_-;\-* #,##0\ &quot;BEF&quot;_-;_-* &quot;-&quot;\ &quot;BEF&quot;_-;_-@_-"/>
    <numFmt numFmtId="206" formatCode="_-* #,##0\ _B_E_F_-;\-* #,##0\ _B_E_F_-;_-* &quot;-&quot;\ _B_E_F_-;_-@_-"/>
    <numFmt numFmtId="207" formatCode="_-* #,##0.00\ &quot;BEF&quot;_-;\-* #,##0.00\ &quot;BEF&quot;_-;_-* &quot;-&quot;??\ &quot;BEF&quot;_-;_-@_-"/>
    <numFmt numFmtId="208" formatCode="_-* #,##0.00\ _B_E_F_-;\-* #,##0.00\ _B_E_F_-;_-* &quot;-&quot;??\ _B_E_F_-;_-@_-"/>
    <numFmt numFmtId="209" formatCode="&quot;$&quot;#,##0.00_);[Red]\(&quot;$&quot;#,##0.00\)"/>
    <numFmt numFmtId="210" formatCode="0.0"/>
    <numFmt numFmtId="211" formatCode="0.000000"/>
    <numFmt numFmtId="212" formatCode="#,##0.0"/>
    <numFmt numFmtId="213" formatCode="0.000%"/>
    <numFmt numFmtId="214" formatCode="0.0%"/>
    <numFmt numFmtId="215" formatCode="0.0000%"/>
    <numFmt numFmtId="216" formatCode="0.00000"/>
    <numFmt numFmtId="217" formatCode="0.000"/>
    <numFmt numFmtId="218" formatCode="#,##0.000"/>
    <numFmt numFmtId="219" formatCode="##,#00"/>
    <numFmt numFmtId="220" formatCode="0.000E+00;\髈"/>
    <numFmt numFmtId="221" formatCode="0.0000000"/>
    <numFmt numFmtId="222" formatCode="0.00000000"/>
    <numFmt numFmtId="223" formatCode="d\-mm\-yy"/>
  </numFmts>
  <fonts count="19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5"/>
      <name val="Arial"/>
      <family val="0"/>
    </font>
    <font>
      <b/>
      <sz val="9.25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7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4" fontId="7" fillId="0" borderId="0" applyFont="0" applyFill="0" applyBorder="0" applyAlignment="0" applyProtection="0"/>
    <xf numFmtId="214" fontId="9" fillId="0" borderId="0" applyFont="0" applyFill="0" applyBorder="0" applyAlignment="0" applyProtection="0"/>
    <xf numFmtId="10" fontId="9" fillId="0" borderId="0">
      <alignment/>
      <protection/>
    </xf>
    <xf numFmtId="213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80" fontId="1" fillId="0" borderId="1" xfId="0" applyNumberFormat="1" applyFont="1" applyBorder="1" applyAlignment="1">
      <alignment horizontal="centerContinuous" vertical="center"/>
    </xf>
    <xf numFmtId="180" fontId="1" fillId="0" borderId="2" xfId="0" applyNumberFormat="1" applyFont="1" applyBorder="1" applyAlignment="1">
      <alignment horizontal="centerContinuous" vertical="center"/>
    </xf>
    <xf numFmtId="180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181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5" xfId="0" applyNumberFormat="1" applyBorder="1" applyAlignment="1">
      <alignment horizontal="center" vertical="center" wrapText="1"/>
    </xf>
    <xf numFmtId="180" fontId="0" fillId="2" borderId="0" xfId="0" applyNumberFormat="1" applyFill="1" applyAlignment="1">
      <alignment horizontal="center" vertical="center"/>
    </xf>
    <xf numFmtId="180" fontId="0" fillId="3" borderId="0" xfId="0" applyNumberFormat="1" applyFill="1" applyAlignment="1">
      <alignment horizontal="center" vertical="center"/>
    </xf>
    <xf numFmtId="181" fontId="3" fillId="4" borderId="0" xfId="0" applyNumberFormat="1" applyFont="1" applyFill="1" applyAlignment="1">
      <alignment horizontal="center" vertical="center"/>
    </xf>
    <xf numFmtId="180" fontId="3" fillId="4" borderId="0" xfId="0" applyNumberFormat="1" applyFont="1" applyFill="1" applyAlignment="1">
      <alignment horizontal="center" vertical="center"/>
    </xf>
    <xf numFmtId="180" fontId="3" fillId="4" borderId="0" xfId="0" applyNumberFormat="1" applyFont="1" applyFill="1" applyAlignment="1" quotePrefix="1">
      <alignment horizontal="center" vertical="center"/>
    </xf>
    <xf numFmtId="181" fontId="1" fillId="0" borderId="1" xfId="0" applyNumberFormat="1" applyFont="1" applyBorder="1" applyAlignment="1">
      <alignment horizontal="centerContinuous" vertical="center"/>
    </xf>
    <xf numFmtId="180" fontId="4" fillId="0" borderId="5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0" fontId="5" fillId="0" borderId="0" xfId="0" applyFont="1" applyAlignment="1">
      <alignment/>
    </xf>
    <xf numFmtId="185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Fill="1" applyAlignment="1">
      <alignment horizontal="center" vertical="center"/>
    </xf>
    <xf numFmtId="182" fontId="0" fillId="0" borderId="0" xfId="0" applyNumberFormat="1" applyAlignment="1">
      <alignment/>
    </xf>
    <xf numFmtId="181" fontId="4" fillId="0" borderId="0" xfId="0" applyNumberFormat="1" applyFont="1" applyAlignment="1">
      <alignment horizontal="center" vertical="center" wrapText="1"/>
    </xf>
    <xf numFmtId="181" fontId="3" fillId="4" borderId="0" xfId="0" applyNumberFormat="1" applyFont="1" applyFill="1" applyAlignment="1">
      <alignment horizontal="left" vertical="center"/>
    </xf>
    <xf numFmtId="185" fontId="4" fillId="0" borderId="0" xfId="0" applyNumberFormat="1" applyFont="1" applyAlignment="1">
      <alignment wrapText="1"/>
    </xf>
    <xf numFmtId="182" fontId="4" fillId="0" borderId="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81" fontId="4" fillId="0" borderId="0" xfId="0" applyNumberFormat="1" applyFont="1" applyAlignment="1">
      <alignment horizontal="center" vertical="center"/>
    </xf>
    <xf numFmtId="183" fontId="0" fillId="0" borderId="0" xfId="0" applyNumberFormat="1" applyFill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80" fontId="4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180" fontId="0" fillId="0" borderId="0" xfId="32" applyNumberFormat="1" applyFill="1" applyAlignment="1">
      <alignment horizontal="center" vertical="center"/>
      <protection/>
    </xf>
    <xf numFmtId="183" fontId="0" fillId="0" borderId="0" xfId="32" applyNumberFormat="1" applyFill="1" applyAlignment="1">
      <alignment horizontal="center" vertical="center"/>
      <protection/>
    </xf>
    <xf numFmtId="0" fontId="0" fillId="0" borderId="0" xfId="0" applyFill="1" applyAlignment="1">
      <alignment/>
    </xf>
    <xf numFmtId="181" fontId="5" fillId="0" borderId="0" xfId="0" applyNumberFormat="1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181" fontId="4" fillId="0" borderId="12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3" xfId="0" applyBorder="1" applyAlignment="1">
      <alignment/>
    </xf>
    <xf numFmtId="0" fontId="4" fillId="0" borderId="6" xfId="0" applyFont="1" applyBorder="1" applyAlignment="1">
      <alignment horizontal="center" wrapText="1"/>
    </xf>
    <xf numFmtId="0" fontId="0" fillId="0" borderId="14" xfId="0" applyBorder="1" applyAlignment="1">
      <alignment/>
    </xf>
    <xf numFmtId="10" fontId="4" fillId="0" borderId="8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/>
    </xf>
    <xf numFmtId="182" fontId="4" fillId="0" borderId="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0" fillId="0" borderId="7" xfId="0" applyBorder="1" applyAlignment="1">
      <alignment/>
    </xf>
    <xf numFmtId="10" fontId="4" fillId="0" borderId="8" xfId="0" applyNumberFormat="1" applyFont="1" applyBorder="1" applyAlignment="1">
      <alignment/>
    </xf>
    <xf numFmtId="10" fontId="4" fillId="0" borderId="9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10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/>
    </xf>
    <xf numFmtId="10" fontId="0" fillId="0" borderId="9" xfId="0" applyNumberForma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13" fillId="0" borderId="6" xfId="0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10" fontId="0" fillId="0" borderId="8" xfId="0" applyNumberFormat="1" applyBorder="1" applyAlignment="1">
      <alignment/>
    </xf>
    <xf numFmtId="10" fontId="4" fillId="0" borderId="6" xfId="0" applyNumberFormat="1" applyFont="1" applyBorder="1" applyAlignment="1">
      <alignment/>
    </xf>
    <xf numFmtId="10" fontId="0" fillId="0" borderId="9" xfId="0" applyNumberForma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10" fontId="0" fillId="0" borderId="18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82" fontId="0" fillId="0" borderId="7" xfId="0" applyNumberFormat="1" applyBorder="1" applyAlignment="1">
      <alignment horizontal="center"/>
    </xf>
    <xf numFmtId="182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82" fontId="0" fillId="0" borderId="9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6" xfId="0" applyFont="1" applyBorder="1" applyAlignment="1">
      <alignment horizontal="center" wrapText="1"/>
    </xf>
    <xf numFmtId="1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10" fontId="4" fillId="0" borderId="1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81" fontId="0" fillId="0" borderId="7" xfId="0" applyNumberFormat="1" applyBorder="1" applyAlignment="1">
      <alignment horizontal="center" vertical="center" wrapText="1"/>
    </xf>
    <xf numFmtId="181" fontId="0" fillId="0" borderId="8" xfId="0" applyNumberFormat="1" applyBorder="1" applyAlignment="1">
      <alignment horizontal="center" vertical="center" wrapText="1"/>
    </xf>
    <xf numFmtId="181" fontId="0" fillId="0" borderId="9" xfId="0" applyNumberFormat="1" applyBorder="1" applyAlignment="1">
      <alignment horizontal="center" vertical="center" wrapText="1"/>
    </xf>
    <xf numFmtId="181" fontId="0" fillId="0" borderId="5" xfId="0" applyNumberFormat="1" applyBorder="1" applyAlignment="1">
      <alignment horizontal="center" vertical="center" wrapText="1"/>
    </xf>
    <xf numFmtId="181" fontId="0" fillId="0" borderId="3" xfId="0" applyNumberFormat="1" applyBorder="1" applyAlignment="1">
      <alignment horizontal="center" vertical="center" wrapText="1"/>
    </xf>
    <xf numFmtId="181" fontId="0" fillId="0" borderId="4" xfId="0" applyNumberFormat="1" applyBorder="1" applyAlignment="1">
      <alignment horizontal="center" vertical="center" wrapText="1"/>
    </xf>
    <xf numFmtId="185" fontId="0" fillId="0" borderId="5" xfId="0" applyNumberFormat="1" applyBorder="1" applyAlignment="1">
      <alignment horizontal="center" vertical="center" wrapText="1"/>
    </xf>
    <xf numFmtId="185" fontId="0" fillId="0" borderId="3" xfId="0" applyNumberFormat="1" applyBorder="1" applyAlignment="1">
      <alignment horizontal="center" vertical="center" wrapText="1"/>
    </xf>
    <xf numFmtId="185" fontId="0" fillId="0" borderId="4" xfId="0" applyNumberFormat="1" applyBorder="1" applyAlignment="1">
      <alignment horizontal="center" vertical="center" wrapText="1"/>
    </xf>
    <xf numFmtId="185" fontId="4" fillId="0" borderId="0" xfId="0" applyNumberFormat="1" applyFont="1" applyAlignment="1">
      <alignment horizontal="center" wrapText="1"/>
    </xf>
    <xf numFmtId="185" fontId="4" fillId="0" borderId="18" xfId="0" applyNumberFormat="1" applyFont="1" applyBorder="1" applyAlignment="1">
      <alignment horizontal="center" wrapText="1"/>
    </xf>
    <xf numFmtId="185" fontId="4" fillId="0" borderId="12" xfId="0" applyNumberFormat="1" applyFont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1" fontId="18" fillId="0" borderId="21" xfId="0" applyNumberFormat="1" applyFont="1" applyBorder="1" applyAlignment="1">
      <alignment horizontal="left" vertical="center"/>
    </xf>
  </cellXfs>
  <cellStyles count="21">
    <cellStyle name="Normal" xfId="0"/>
    <cellStyle name="0" xfId="15"/>
    <cellStyle name="0.0" xfId="16"/>
    <cellStyle name="0.0000" xfId="17"/>
    <cellStyle name="decimalen" xfId="18"/>
    <cellStyle name="decimalenpunt2" xfId="19"/>
    <cellStyle name="Followed Hyperlink" xfId="20"/>
    <cellStyle name="Hyperlink" xfId="21"/>
    <cellStyle name="Comma" xfId="22"/>
    <cellStyle name="Comma [0]" xfId="23"/>
    <cellStyle name="komma1nul" xfId="24"/>
    <cellStyle name="komma2nul" xfId="25"/>
    <cellStyle name="nieuw" xfId="26"/>
    <cellStyle name="perc1nul" xfId="27"/>
    <cellStyle name="perc2nul" xfId="28"/>
    <cellStyle name="perc3nul" xfId="29"/>
    <cellStyle name="perc4" xfId="30"/>
    <cellStyle name="Percent" xfId="31"/>
    <cellStyle name="Standaard_Sheet3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Evolutie van de stookolieprijs - periode 1999 - 2005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666756"/>
        <c:axId val="52232373"/>
      </c:lineChart>
      <c:catAx>
        <c:axId val="2466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32373"/>
        <c:crosses val="autoZero"/>
        <c:auto val="1"/>
        <c:lblOffset val="100"/>
        <c:noMultiLvlLbl val="0"/>
      </c:catAx>
      <c:valAx>
        <c:axId val="5223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prijs in 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66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Evolutie werkingsmiddelen onderwijs t.o.v. evolutie stookolieprijs</a:t>
            </a:r>
          </a:p>
        </c:rich>
      </c:tx>
      <c:layout>
        <c:manualLayout>
          <c:xMode val="factor"/>
          <c:yMode val="factor"/>
          <c:x val="0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975"/>
          <c:w val="0.54625"/>
          <c:h val="0.65125"/>
        </c:manualLayout>
      </c:layout>
      <c:lineChart>
        <c:grouping val="standard"/>
        <c:varyColors val="0"/>
        <c:ser>
          <c:idx val="1"/>
          <c:order val="0"/>
          <c:tx>
            <c:v>evolutie werkingsmiddelen onderwijs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multiLvlStrRef>
              <c:f>'vgl energie-werking'!$A$7:$E$13</c:f>
              <c:multiLvlStrCache/>
            </c:multiLvlStrRef>
          </c:cat>
          <c:val>
            <c:numRef>
              <c:f>'vgl energie-werking'!$G$7:$G$13</c:f>
              <c:numCache/>
            </c:numRef>
          </c:val>
          <c:smooth val="0"/>
        </c:ser>
        <c:ser>
          <c:idx val="3"/>
          <c:order val="1"/>
          <c:tx>
            <c:v>evolutie stookolieprijs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'vgl energie-werking'!$A$7:$E$13</c:f>
              <c:multiLvlStrCache/>
            </c:multiLvlStrRef>
          </c:cat>
          <c:val>
            <c:numRef>
              <c:f>'vgl energie-werking'!$J$7:$J$13</c:f>
              <c:numCache/>
            </c:numRef>
          </c:val>
          <c:smooth val="0"/>
        </c:ser>
        <c:marker val="1"/>
        <c:axId val="7932210"/>
        <c:axId val="36009867"/>
      </c:lineChart>
      <c:catAx>
        <c:axId val="793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09867"/>
        <c:crosses val="autoZero"/>
        <c:auto val="1"/>
        <c:lblOffset val="100"/>
        <c:noMultiLvlLbl val="0"/>
      </c:catAx>
      <c:valAx>
        <c:axId val="36009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jaarlijkse evolutie (in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32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Cumulatieve groei werkingsmiddelen onderwijs t.o.v. cumulatieve groei stookolieprijs</a:t>
            </a:r>
          </a:p>
        </c:rich>
      </c:tx>
      <c:layout>
        <c:manualLayout>
          <c:xMode val="factor"/>
          <c:yMode val="factor"/>
          <c:x val="0.017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9175"/>
          <c:w val="0.53875"/>
          <c:h val="0.65625"/>
        </c:manualLayout>
      </c:layout>
      <c:lineChart>
        <c:grouping val="standard"/>
        <c:varyColors val="0"/>
        <c:ser>
          <c:idx val="0"/>
          <c:order val="0"/>
          <c:tx>
            <c:v>Cumulatieve groei werkingsmiddelen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'vgl energie-werking'!$A$7:$E$13</c:f>
              <c:multiLvlStrCache/>
            </c:multiLvlStrRef>
          </c:cat>
          <c:val>
            <c:numRef>
              <c:f>'vgl energie-werking'!$H$7:$H$13</c:f>
              <c:numCache/>
            </c:numRef>
          </c:val>
          <c:smooth val="0"/>
        </c:ser>
        <c:ser>
          <c:idx val="5"/>
          <c:order val="1"/>
          <c:tx>
            <c:v>cumulatieve groei stookolieprijs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'vgl energie-werking'!$A$7:$E$13</c:f>
              <c:multiLvlStrCache/>
            </c:multiLvlStrRef>
          </c:cat>
          <c:val>
            <c:numRef>
              <c:f>'vgl energie-werking'!$K$7:$K$13</c:f>
              <c:numCache/>
            </c:numRef>
          </c:val>
          <c:smooth val="0"/>
        </c:ser>
        <c:marker val="1"/>
        <c:axId val="65475088"/>
        <c:axId val="45869777"/>
      </c:lineChart>
      <c:catAx>
        <c:axId val="6547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69777"/>
        <c:crosses val="autoZero"/>
        <c:auto val="1"/>
        <c:lblOffset val="100"/>
        <c:noMultiLvlLbl val="0"/>
      </c:catAx>
      <c:valAx>
        <c:axId val="4586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jaarlijkse evolutie (in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75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ek1"/>
  <sheetViews>
    <sheetView workbookViewId="0" zoomScale="9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&amp;R&amp;A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57150</xdr:rowOff>
    </xdr:from>
    <xdr:to>
      <xdr:col>8</xdr:col>
      <xdr:colOff>1104900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95250" y="3086100"/>
        <a:ext cx="36957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17</xdr:row>
      <xdr:rowOff>57150</xdr:rowOff>
    </xdr:from>
    <xdr:to>
      <xdr:col>14</xdr:col>
      <xdr:colOff>504825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4067175" y="3086100"/>
        <a:ext cx="363855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8.00390625" style="0" customWidth="1"/>
    <col min="3" max="3" width="12.7109375" style="0" customWidth="1"/>
    <col min="4" max="4" width="11.7109375" style="0" customWidth="1"/>
    <col min="5" max="5" width="14.57421875" style="0" customWidth="1"/>
    <col min="6" max="6" width="17.28125" style="0" bestFit="1" customWidth="1"/>
  </cols>
  <sheetData>
    <row r="1" ht="15.75">
      <c r="A1" s="27" t="s">
        <v>84</v>
      </c>
    </row>
    <row r="2" ht="15.75">
      <c r="A2" s="27"/>
    </row>
    <row r="3" ht="12.75">
      <c r="A3" s="101" t="s">
        <v>85</v>
      </c>
    </row>
    <row r="5" ht="12.75">
      <c r="A5" s="29" t="s">
        <v>38</v>
      </c>
    </row>
    <row r="6" ht="12.75">
      <c r="A6" s="29"/>
    </row>
    <row r="7" spans="1:6" ht="38.25">
      <c r="A7" s="55"/>
      <c r="B7" s="84" t="s">
        <v>43</v>
      </c>
      <c r="C7" s="84" t="s">
        <v>36</v>
      </c>
      <c r="D7" s="84" t="s">
        <v>49</v>
      </c>
      <c r="E7" s="84" t="s">
        <v>50</v>
      </c>
      <c r="F7" s="91" t="s">
        <v>42</v>
      </c>
    </row>
    <row r="8" spans="1:6" ht="12.75">
      <c r="A8" s="85" t="s">
        <v>39</v>
      </c>
      <c r="B8" s="92">
        <f>2173/40.3399</f>
        <v>53.86726293322492</v>
      </c>
      <c r="C8" s="86">
        <v>674926</v>
      </c>
      <c r="D8" s="86">
        <f>(B8*C8)/1000</f>
        <v>36356.41630246976</v>
      </c>
      <c r="E8" s="86">
        <f>37908+44056+129386+5989+2501+9549</f>
        <v>229389</v>
      </c>
      <c r="F8" s="87">
        <f>D8/E8</f>
        <v>0.15849241377079878</v>
      </c>
    </row>
    <row r="9" spans="1:6" ht="12.75">
      <c r="A9" s="85" t="s">
        <v>40</v>
      </c>
      <c r="B9" s="92">
        <f>3621/40.3399</f>
        <v>89.76224532038998</v>
      </c>
      <c r="C9" s="86">
        <v>431027</v>
      </c>
      <c r="D9" s="86">
        <f>(B9*C9)/1000</f>
        <v>38689.95131371173</v>
      </c>
      <c r="E9" s="86">
        <f>60585+20885+183107+3034+2680+10583</f>
        <v>280874</v>
      </c>
      <c r="F9" s="87">
        <f>D9/E9</f>
        <v>0.13774842567739176</v>
      </c>
    </row>
    <row r="10" spans="1:6" ht="12.75">
      <c r="A10" s="85" t="s">
        <v>24</v>
      </c>
      <c r="B10" s="92">
        <f>(B8+B9)/2</f>
        <v>71.81475412680746</v>
      </c>
      <c r="C10" s="86">
        <v>98536</v>
      </c>
      <c r="D10" s="86">
        <f>(B10*C10)/1000</f>
        <v>7076.3386126391</v>
      </c>
      <c r="E10" s="86">
        <f>482857*0.2</f>
        <v>96571.40000000001</v>
      </c>
      <c r="F10" s="87">
        <f>D10/E10</f>
        <v>0.07327571737221475</v>
      </c>
    </row>
    <row r="11" spans="1:6" ht="12.75">
      <c r="A11" s="72" t="s">
        <v>25</v>
      </c>
      <c r="B11" s="93">
        <f>(B8+B9)/2</f>
        <v>71.81475412680746</v>
      </c>
      <c r="C11" s="88">
        <v>56740</v>
      </c>
      <c r="D11" s="88">
        <f>(B11*C11)/1000</f>
        <v>4074.769149155055</v>
      </c>
      <c r="E11" s="88">
        <f>(142695+21029+65491+189688+20964+27293+16889+4960)*0.2</f>
        <v>97801.8</v>
      </c>
      <c r="F11" s="89">
        <f>D11/E11</f>
        <v>0.041663539414970426</v>
      </c>
    </row>
    <row r="12" spans="1:6" ht="12.75">
      <c r="A12" s="56" t="s">
        <v>26</v>
      </c>
      <c r="B12" s="94"/>
      <c r="C12" s="90">
        <f>SUM(C8:C11)</f>
        <v>1261229</v>
      </c>
      <c r="D12" s="90">
        <f>SUM(D8:D11)</f>
        <v>86197.47537797564</v>
      </c>
      <c r="E12" s="90">
        <f>SUM(E8:E11)</f>
        <v>704636.2000000001</v>
      </c>
      <c r="F12" s="95"/>
    </row>
    <row r="14" spans="1:6" ht="12.75">
      <c r="A14" s="98" t="s">
        <v>64</v>
      </c>
      <c r="B14" s="97" t="s">
        <v>45</v>
      </c>
      <c r="C14" s="82"/>
      <c r="D14" s="82"/>
      <c r="E14" s="82"/>
      <c r="F14" s="82"/>
    </row>
    <row r="15" spans="1:6" ht="12.75">
      <c r="A15" s="96"/>
      <c r="B15" s="96" t="s">
        <v>46</v>
      </c>
      <c r="C15" s="82"/>
      <c r="D15" s="82"/>
      <c r="E15" s="82"/>
      <c r="F15" s="82"/>
    </row>
    <row r="16" spans="1:6" ht="12.75">
      <c r="A16" s="96"/>
      <c r="B16" s="96" t="s">
        <v>47</v>
      </c>
      <c r="C16" s="82"/>
      <c r="D16" s="82"/>
      <c r="E16" s="82"/>
      <c r="F16" s="82"/>
    </row>
    <row r="17" spans="1:6" ht="12.75">
      <c r="A17" s="98" t="s">
        <v>44</v>
      </c>
      <c r="B17" s="97" t="s">
        <v>51</v>
      </c>
      <c r="C17" s="82"/>
      <c r="D17" s="82"/>
      <c r="E17" s="82"/>
      <c r="F17" s="82"/>
    </row>
    <row r="18" spans="1:6" ht="12.75">
      <c r="A18" s="96"/>
      <c r="B18" s="96" t="s">
        <v>48</v>
      </c>
      <c r="C18" s="82"/>
      <c r="D18" s="82"/>
      <c r="E18" s="82"/>
      <c r="F18" s="82"/>
    </row>
    <row r="19" spans="1:2" ht="12.75">
      <c r="A19" s="96"/>
      <c r="B19" s="97" t="s">
        <v>52</v>
      </c>
    </row>
    <row r="20" spans="1:2" ht="12.75">
      <c r="A20" s="96"/>
      <c r="B20" s="97" t="s">
        <v>53</v>
      </c>
    </row>
    <row r="21" spans="1:2" ht="12.75">
      <c r="A21" s="96"/>
      <c r="B21" s="96" t="s">
        <v>54</v>
      </c>
    </row>
    <row r="22" spans="1:2" ht="12.75">
      <c r="A22" s="96"/>
      <c r="B22" s="97" t="s">
        <v>59</v>
      </c>
    </row>
    <row r="23" spans="1:2" ht="12.75">
      <c r="A23" s="96"/>
      <c r="B23" s="96" t="s">
        <v>60</v>
      </c>
    </row>
    <row r="24" spans="1:2" ht="12.75">
      <c r="A24" s="96"/>
      <c r="B24" s="96" t="s">
        <v>55</v>
      </c>
    </row>
    <row r="26" ht="12.75">
      <c r="A26" s="29" t="s">
        <v>56</v>
      </c>
    </row>
    <row r="28" spans="1:5" ht="25.5">
      <c r="A28" s="55"/>
      <c r="B28" s="84" t="s">
        <v>23</v>
      </c>
      <c r="C28" s="118" t="s">
        <v>41</v>
      </c>
      <c r="D28" s="118"/>
      <c r="E28" s="84" t="s">
        <v>57</v>
      </c>
    </row>
    <row r="29" spans="1:5" ht="12.75">
      <c r="A29" s="85" t="s">
        <v>39</v>
      </c>
      <c r="B29" s="86">
        <f>40091+56670+163770+6304+3430+13644</f>
        <v>283909</v>
      </c>
      <c r="C29" s="119">
        <f>F8</f>
        <v>0.15849241377079878</v>
      </c>
      <c r="D29" s="120"/>
      <c r="E29" s="86">
        <f>B29*C29</f>
        <v>44997.42270125371</v>
      </c>
    </row>
    <row r="30" spans="1:5" ht="12.75">
      <c r="A30" s="85" t="s">
        <v>40</v>
      </c>
      <c r="B30" s="86">
        <f>61328+24976+216565+4451+2598+11784</f>
        <v>321702</v>
      </c>
      <c r="C30" s="119">
        <f>F9</f>
        <v>0.13774842567739176</v>
      </c>
      <c r="D30" s="120"/>
      <c r="E30" s="86">
        <f>B30*C30</f>
        <v>44313.94403726829</v>
      </c>
    </row>
    <row r="31" spans="1:5" ht="12.75">
      <c r="A31" s="85" t="s">
        <v>24</v>
      </c>
      <c r="B31" s="86">
        <f>540282*0.2</f>
        <v>108056.40000000001</v>
      </c>
      <c r="C31" s="119">
        <f>F10</f>
        <v>0.07327571737221475</v>
      </c>
      <c r="D31" s="120"/>
      <c r="E31" s="86">
        <f>B31*C31</f>
        <v>7917.910226658986</v>
      </c>
    </row>
    <row r="32" spans="1:5" ht="12.75">
      <c r="A32" s="72" t="s">
        <v>25</v>
      </c>
      <c r="B32" s="88">
        <f>(171157+79954+73272+207544+15015+5169+6174)*0.2</f>
        <v>111657</v>
      </c>
      <c r="C32" s="129">
        <f>F11</f>
        <v>0.041663539414970426</v>
      </c>
      <c r="D32" s="130"/>
      <c r="E32" s="88">
        <f>B32*C32</f>
        <v>4652.025820457353</v>
      </c>
    </row>
    <row r="33" spans="1:5" ht="12.75">
      <c r="A33" s="56" t="s">
        <v>26</v>
      </c>
      <c r="B33" s="90">
        <f>SUM(B29:B32)</f>
        <v>825324.4</v>
      </c>
      <c r="C33" s="131"/>
      <c r="D33" s="132"/>
      <c r="E33" s="90">
        <f>SUM(E29:E32)</f>
        <v>101881.30278563833</v>
      </c>
    </row>
    <row r="34" spans="1:2" ht="12.75">
      <c r="A34" s="98" t="s">
        <v>44</v>
      </c>
      <c r="B34" s="97" t="s">
        <v>58</v>
      </c>
    </row>
    <row r="35" spans="1:2" ht="12.75">
      <c r="A35" s="96"/>
      <c r="B35" s="97" t="s">
        <v>52</v>
      </c>
    </row>
    <row r="38" ht="12.75">
      <c r="A38" s="29" t="s">
        <v>61</v>
      </c>
    </row>
    <row r="40" spans="1:6" ht="25.5">
      <c r="A40" s="55"/>
      <c r="B40" s="84" t="s">
        <v>57</v>
      </c>
      <c r="C40" s="121" t="s">
        <v>62</v>
      </c>
      <c r="D40" s="121"/>
      <c r="E40" s="84" t="s">
        <v>63</v>
      </c>
      <c r="F40" s="81"/>
    </row>
    <row r="41" spans="1:5" ht="12.75">
      <c r="A41" s="85" t="s">
        <v>39</v>
      </c>
      <c r="B41" s="86">
        <f>E29</f>
        <v>44997.42270125371</v>
      </c>
      <c r="C41" s="123">
        <f>'evolutie 1999-2005'!C24</f>
        <v>0.38117953773121416</v>
      </c>
      <c r="D41" s="124"/>
      <c r="E41" s="86">
        <f>B41*$C$41</f>
        <v>17152.096784359932</v>
      </c>
    </row>
    <row r="42" spans="1:5" ht="12.75">
      <c r="A42" s="85" t="s">
        <v>40</v>
      </c>
      <c r="B42" s="86">
        <f>E30</f>
        <v>44313.94403726829</v>
      </c>
      <c r="C42" s="125"/>
      <c r="D42" s="126"/>
      <c r="E42" s="86">
        <f>B42*$C$41</f>
        <v>16891.56870317282</v>
      </c>
    </row>
    <row r="43" spans="1:5" ht="12.75">
      <c r="A43" s="85" t="s">
        <v>24</v>
      </c>
      <c r="B43" s="86">
        <f>E31</f>
        <v>7917.910226658986</v>
      </c>
      <c r="C43" s="125"/>
      <c r="D43" s="126"/>
      <c r="E43" s="86">
        <f>B43*$C$41</f>
        <v>3018.1453599951255</v>
      </c>
    </row>
    <row r="44" spans="1:5" ht="12.75">
      <c r="A44" s="72" t="s">
        <v>25</v>
      </c>
      <c r="B44" s="86">
        <f>E32</f>
        <v>4652.025820457353</v>
      </c>
      <c r="C44" s="127"/>
      <c r="D44" s="128"/>
      <c r="E44" s="86">
        <f>B44*$C$41</f>
        <v>1773.257051755606</v>
      </c>
    </row>
    <row r="45" spans="1:5" ht="12.75">
      <c r="A45" s="56" t="s">
        <v>26</v>
      </c>
      <c r="B45" s="90">
        <f>E33</f>
        <v>101881.30278563833</v>
      </c>
      <c r="C45" s="122"/>
      <c r="D45" s="122"/>
      <c r="E45" s="90">
        <f>SUM(E41:E44)</f>
        <v>38835.06789928349</v>
      </c>
    </row>
    <row r="47" ht="12.75">
      <c r="A47" s="29" t="s">
        <v>70</v>
      </c>
    </row>
    <row r="49" spans="1:5" ht="25.5" customHeight="1">
      <c r="A49" s="55"/>
      <c r="B49" s="84" t="s">
        <v>71</v>
      </c>
      <c r="C49" s="133" t="s">
        <v>72</v>
      </c>
      <c r="D49" s="134"/>
      <c r="E49" s="84" t="s">
        <v>73</v>
      </c>
    </row>
    <row r="50" spans="1:5" ht="12.75">
      <c r="A50" s="85" t="s">
        <v>39</v>
      </c>
      <c r="B50" s="86">
        <f>E41</f>
        <v>17152.096784359932</v>
      </c>
      <c r="C50" s="136">
        <f>39385+59325+168982+6194+3580+14280</f>
        <v>291746</v>
      </c>
      <c r="D50" s="137"/>
      <c r="E50" s="102">
        <f>B50/C50</f>
        <v>0.058791197769155125</v>
      </c>
    </row>
    <row r="51" spans="1:5" ht="12.75">
      <c r="A51" s="85" t="s">
        <v>40</v>
      </c>
      <c r="B51" s="86">
        <f>E42</f>
        <v>16891.56870317282</v>
      </c>
      <c r="C51" s="138">
        <f>63724+25957+225970+4753+2562+12174</f>
        <v>335140</v>
      </c>
      <c r="D51" s="139"/>
      <c r="E51" s="102">
        <f>B51/C51</f>
        <v>0.05040152981790541</v>
      </c>
    </row>
    <row r="52" spans="1:5" ht="12.75">
      <c r="A52" s="85" t="s">
        <v>24</v>
      </c>
      <c r="B52" s="86">
        <f>E43</f>
        <v>3018.1453599951255</v>
      </c>
      <c r="C52" s="138">
        <f>554333*0.2</f>
        <v>110866.6</v>
      </c>
      <c r="D52" s="139"/>
      <c r="E52" s="102">
        <f>B52/C52</f>
        <v>0.027223215648311802</v>
      </c>
    </row>
    <row r="53" spans="1:5" ht="12.75">
      <c r="A53" s="72" t="s">
        <v>25</v>
      </c>
      <c r="B53" s="86">
        <f>E44</f>
        <v>1773.257051755606</v>
      </c>
      <c r="C53" s="140">
        <f>(176804+6620+81251+74524+211105+15289+5259)*0.2</f>
        <v>114170.40000000001</v>
      </c>
      <c r="D53" s="141"/>
      <c r="E53" s="104">
        <f>B53/C53</f>
        <v>0.015531670658556034</v>
      </c>
    </row>
    <row r="54" spans="1:5" ht="12.75">
      <c r="A54" s="56" t="s">
        <v>26</v>
      </c>
      <c r="B54" s="90">
        <f>SUM(B50:B53)</f>
        <v>38835.06789928349</v>
      </c>
      <c r="C54" s="135">
        <f>SUM(C50:C53)</f>
        <v>851923</v>
      </c>
      <c r="D54" s="135"/>
      <c r="E54" s="103">
        <f>B54/C54</f>
        <v>0.04558518539736982</v>
      </c>
    </row>
  </sheetData>
  <mergeCells count="15">
    <mergeCell ref="C49:D49"/>
    <mergeCell ref="C54:D54"/>
    <mergeCell ref="C50:D50"/>
    <mergeCell ref="C51:D51"/>
    <mergeCell ref="C52:D52"/>
    <mergeCell ref="C53:D53"/>
    <mergeCell ref="C28:D28"/>
    <mergeCell ref="C29:D29"/>
    <mergeCell ref="C40:D40"/>
    <mergeCell ref="C45:D45"/>
    <mergeCell ref="C41:D44"/>
    <mergeCell ref="C32:D32"/>
    <mergeCell ref="C30:D30"/>
    <mergeCell ref="C31:D31"/>
    <mergeCell ref="C33:D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6" sqref="A16"/>
    </sheetView>
  </sheetViews>
  <sheetFormatPr defaultColWidth="9.140625" defaultRowHeight="12.75"/>
  <cols>
    <col min="1" max="1" width="20.7109375" style="28" customWidth="1"/>
    <col min="2" max="3" width="15.7109375" style="0" customWidth="1"/>
    <col min="4" max="4" width="13.00390625" style="0" bestFit="1" customWidth="1"/>
    <col min="5" max="5" width="16.8515625" style="0" bestFit="1" customWidth="1"/>
  </cols>
  <sheetData>
    <row r="1" spans="1:5" ht="13.5" thickTop="1">
      <c r="A1" s="149"/>
      <c r="B1" s="11" t="s">
        <v>2</v>
      </c>
      <c r="C1" s="11" t="s">
        <v>2</v>
      </c>
      <c r="D1" s="25" t="s">
        <v>20</v>
      </c>
      <c r="E1" s="24" t="s">
        <v>22</v>
      </c>
    </row>
    <row r="2" spans="1:3" ht="12.75">
      <c r="A2" s="150"/>
      <c r="B2" s="6" t="s">
        <v>11</v>
      </c>
      <c r="C2" s="6" t="s">
        <v>11</v>
      </c>
    </row>
    <row r="3" spans="1:3" ht="13.5" thickBot="1">
      <c r="A3" s="151"/>
      <c r="B3" s="7" t="s">
        <v>28</v>
      </c>
      <c r="C3" s="7" t="s">
        <v>29</v>
      </c>
    </row>
    <row r="4" spans="1:5" ht="13.5" thickTop="1">
      <c r="A4" s="28">
        <v>36892</v>
      </c>
      <c r="B4">
        <v>13.98</v>
      </c>
      <c r="C4" s="31">
        <f>B4/40.3399</f>
        <v>0.34655514763298867</v>
      </c>
      <c r="D4">
        <f>A5-A4</f>
        <v>3</v>
      </c>
      <c r="E4">
        <f>C4*D4</f>
        <v>1.039665442898966</v>
      </c>
    </row>
    <row r="5" spans="1:5" ht="12.75">
      <c r="A5" s="28">
        <v>36895</v>
      </c>
      <c r="B5">
        <v>14.34</v>
      </c>
      <c r="C5" s="31">
        <f aca="true" t="shared" si="0" ref="C5:C37">B5/40.3399</f>
        <v>0.3554793145248253</v>
      </c>
      <c r="D5">
        <f aca="true" t="shared" si="1" ref="D5:D36">A6-A5</f>
        <v>2</v>
      </c>
      <c r="E5">
        <f aca="true" t="shared" si="2" ref="E5:E37">C5*D5</f>
        <v>0.7109586290496506</v>
      </c>
    </row>
    <row r="6" spans="1:5" ht="12.75">
      <c r="A6" s="28">
        <v>36897</v>
      </c>
      <c r="B6">
        <v>13.46</v>
      </c>
      <c r="C6" s="31">
        <f t="shared" si="0"/>
        <v>0.33366468434478025</v>
      </c>
      <c r="D6">
        <f t="shared" si="1"/>
        <v>35</v>
      </c>
      <c r="E6">
        <f t="shared" si="2"/>
        <v>11.678263952067308</v>
      </c>
    </row>
    <row r="7" spans="1:5" ht="12.75">
      <c r="A7" s="28">
        <v>36932</v>
      </c>
      <c r="B7">
        <v>14.47</v>
      </c>
      <c r="C7" s="31">
        <f t="shared" si="0"/>
        <v>0.3587019303468774</v>
      </c>
      <c r="D7">
        <f t="shared" si="1"/>
        <v>5</v>
      </c>
      <c r="E7">
        <f t="shared" si="2"/>
        <v>1.7935096517343871</v>
      </c>
    </row>
    <row r="8" spans="1:5" ht="12.75">
      <c r="A8" s="28">
        <v>36937</v>
      </c>
      <c r="B8">
        <v>13.79</v>
      </c>
      <c r="C8" s="31">
        <f t="shared" si="0"/>
        <v>0.3418451706622971</v>
      </c>
      <c r="D8">
        <f t="shared" si="1"/>
        <v>7</v>
      </c>
      <c r="E8">
        <f t="shared" si="2"/>
        <v>2.3929161946360797</v>
      </c>
    </row>
    <row r="9" spans="1:5" ht="12.75">
      <c r="A9" s="28">
        <v>36944</v>
      </c>
      <c r="B9">
        <v>14.3</v>
      </c>
      <c r="C9" s="31">
        <f t="shared" si="0"/>
        <v>0.35448774042573233</v>
      </c>
      <c r="D9">
        <f t="shared" si="1"/>
        <v>6</v>
      </c>
      <c r="E9">
        <f t="shared" si="2"/>
        <v>2.126926442554394</v>
      </c>
    </row>
    <row r="10" spans="1:5" ht="12.75">
      <c r="A10" s="28">
        <v>36950</v>
      </c>
      <c r="B10">
        <v>13.89</v>
      </c>
      <c r="C10" s="31">
        <f t="shared" si="0"/>
        <v>0.34432410591002954</v>
      </c>
      <c r="D10">
        <f t="shared" si="1"/>
        <v>3</v>
      </c>
      <c r="E10">
        <f t="shared" si="2"/>
        <v>1.0329723177300887</v>
      </c>
    </row>
    <row r="11" spans="1:5" ht="12.75">
      <c r="A11" s="28">
        <v>36953</v>
      </c>
      <c r="B11">
        <v>13.35</v>
      </c>
      <c r="C11" s="31">
        <f t="shared" si="0"/>
        <v>0.33093785557227456</v>
      </c>
      <c r="D11">
        <f t="shared" si="1"/>
        <v>27</v>
      </c>
      <c r="E11">
        <f t="shared" si="2"/>
        <v>8.935322100451414</v>
      </c>
    </row>
    <row r="12" spans="1:5" ht="12.75">
      <c r="A12" s="28">
        <v>36980</v>
      </c>
      <c r="B12">
        <v>13.8</v>
      </c>
      <c r="C12" s="31">
        <f t="shared" si="0"/>
        <v>0.34209306418707036</v>
      </c>
      <c r="D12">
        <f t="shared" si="1"/>
        <v>7</v>
      </c>
      <c r="E12">
        <f t="shared" si="2"/>
        <v>2.3946514493094924</v>
      </c>
    </row>
    <row r="13" spans="1:5" ht="12.75">
      <c r="A13" s="28">
        <v>36987</v>
      </c>
      <c r="B13">
        <v>13.38</v>
      </c>
      <c r="C13" s="31">
        <f t="shared" si="0"/>
        <v>0.33168153614659435</v>
      </c>
      <c r="D13">
        <f t="shared" si="1"/>
        <v>7</v>
      </c>
      <c r="E13">
        <f t="shared" si="2"/>
        <v>2.3217707530261604</v>
      </c>
    </row>
    <row r="14" spans="1:5" ht="12.75">
      <c r="A14" s="28">
        <v>36994</v>
      </c>
      <c r="B14">
        <v>14.28</v>
      </c>
      <c r="C14" s="31">
        <f t="shared" si="0"/>
        <v>0.35399195337618583</v>
      </c>
      <c r="D14">
        <f t="shared" si="1"/>
        <v>6</v>
      </c>
      <c r="E14">
        <f t="shared" si="2"/>
        <v>2.123951720257115</v>
      </c>
    </row>
    <row r="15" spans="1:5" ht="12.75">
      <c r="A15" s="28">
        <v>37000</v>
      </c>
      <c r="B15">
        <v>14.76</v>
      </c>
      <c r="C15" s="31">
        <f t="shared" si="0"/>
        <v>0.36589084256530136</v>
      </c>
      <c r="D15">
        <f t="shared" si="1"/>
        <v>2</v>
      </c>
      <c r="E15">
        <f t="shared" si="2"/>
        <v>0.7317816851306027</v>
      </c>
    </row>
    <row r="16" spans="1:5" ht="12.75">
      <c r="A16" s="28">
        <v>37002</v>
      </c>
      <c r="B16">
        <v>14.33</v>
      </c>
      <c r="C16" s="31">
        <f t="shared" si="0"/>
        <v>0.35523142100005206</v>
      </c>
      <c r="D16">
        <f t="shared" si="1"/>
        <v>6</v>
      </c>
      <c r="E16">
        <f t="shared" si="2"/>
        <v>2.1313885260003125</v>
      </c>
    </row>
    <row r="17" spans="1:5" ht="12.75">
      <c r="A17" s="28">
        <v>37008</v>
      </c>
      <c r="B17">
        <v>13.92</v>
      </c>
      <c r="C17" s="31">
        <f t="shared" si="0"/>
        <v>0.3450677864843492</v>
      </c>
      <c r="D17">
        <f t="shared" si="1"/>
        <v>13</v>
      </c>
      <c r="E17">
        <f t="shared" si="2"/>
        <v>4.48588122429654</v>
      </c>
    </row>
    <row r="18" spans="1:5" ht="12.75">
      <c r="A18" s="28">
        <v>37021</v>
      </c>
      <c r="B18">
        <v>14.23</v>
      </c>
      <c r="C18" s="31">
        <f t="shared" si="0"/>
        <v>0.35275248575231966</v>
      </c>
      <c r="D18">
        <f t="shared" si="1"/>
        <v>13</v>
      </c>
      <c r="E18">
        <f t="shared" si="2"/>
        <v>4.585782314780156</v>
      </c>
    </row>
    <row r="19" spans="1:5" ht="12.75">
      <c r="A19" s="28">
        <v>37034</v>
      </c>
      <c r="B19">
        <v>14.97</v>
      </c>
      <c r="C19" s="31">
        <f t="shared" si="0"/>
        <v>0.3710966065855394</v>
      </c>
      <c r="D19">
        <f t="shared" si="1"/>
        <v>16</v>
      </c>
      <c r="E19">
        <f t="shared" si="2"/>
        <v>5.93754570536863</v>
      </c>
    </row>
    <row r="20" spans="1:5" ht="12.75">
      <c r="A20" s="28">
        <v>37050</v>
      </c>
      <c r="B20">
        <v>14.53</v>
      </c>
      <c r="C20" s="31">
        <f t="shared" si="0"/>
        <v>0.3601892914955168</v>
      </c>
      <c r="D20">
        <f t="shared" si="1"/>
        <v>7</v>
      </c>
      <c r="E20">
        <f t="shared" si="2"/>
        <v>2.521325040468618</v>
      </c>
    </row>
    <row r="21" spans="1:5" ht="12.75">
      <c r="A21" s="28">
        <v>37057</v>
      </c>
      <c r="B21">
        <v>15.33</v>
      </c>
      <c r="C21" s="31">
        <f t="shared" si="0"/>
        <v>0.380020773477376</v>
      </c>
      <c r="D21">
        <f t="shared" si="1"/>
        <v>11</v>
      </c>
      <c r="E21">
        <f t="shared" si="2"/>
        <v>4.180228508251136</v>
      </c>
    </row>
    <row r="22" spans="1:5" ht="12.75">
      <c r="A22" s="28">
        <v>37068</v>
      </c>
      <c r="B22">
        <v>14.69</v>
      </c>
      <c r="C22" s="31">
        <f t="shared" si="0"/>
        <v>0.3641555878918887</v>
      </c>
      <c r="D22">
        <f t="shared" si="1"/>
        <v>8</v>
      </c>
      <c r="E22">
        <f t="shared" si="2"/>
        <v>2.9132447031351094</v>
      </c>
    </row>
    <row r="23" spans="1:5" ht="12.75">
      <c r="A23" s="28">
        <v>37076</v>
      </c>
      <c r="B23">
        <v>14.42</v>
      </c>
      <c r="C23" s="31">
        <f t="shared" si="0"/>
        <v>0.3574624627230112</v>
      </c>
      <c r="D23">
        <f t="shared" si="1"/>
        <v>14</v>
      </c>
      <c r="E23">
        <f t="shared" si="2"/>
        <v>5.004474478122157</v>
      </c>
    </row>
    <row r="24" spans="1:5" ht="12.75">
      <c r="A24" s="28">
        <v>37090</v>
      </c>
      <c r="B24">
        <v>13.92</v>
      </c>
      <c r="C24" s="31">
        <f t="shared" si="0"/>
        <v>0.3450677864843492</v>
      </c>
      <c r="D24">
        <f t="shared" si="1"/>
        <v>41</v>
      </c>
      <c r="E24">
        <f t="shared" si="2"/>
        <v>14.147779245858318</v>
      </c>
    </row>
    <row r="25" spans="1:5" ht="12.75">
      <c r="A25" s="28">
        <v>37131</v>
      </c>
      <c r="B25">
        <v>13.66</v>
      </c>
      <c r="C25" s="31">
        <f t="shared" si="0"/>
        <v>0.338622554840245</v>
      </c>
      <c r="D25">
        <f t="shared" si="1"/>
        <v>11</v>
      </c>
      <c r="E25">
        <f t="shared" si="2"/>
        <v>3.724848103242695</v>
      </c>
    </row>
    <row r="26" spans="1:5" ht="12.75">
      <c r="A26" s="28">
        <v>37142</v>
      </c>
      <c r="B26">
        <v>14.23</v>
      </c>
      <c r="C26" s="31">
        <f t="shared" si="0"/>
        <v>0.35275248575231966</v>
      </c>
      <c r="D26">
        <f t="shared" si="1"/>
        <v>10</v>
      </c>
      <c r="E26">
        <f t="shared" si="2"/>
        <v>3.5275248575231966</v>
      </c>
    </row>
    <row r="27" spans="1:5" ht="12.75">
      <c r="A27" s="28">
        <v>37152</v>
      </c>
      <c r="B27">
        <v>15.31</v>
      </c>
      <c r="C27" s="31">
        <f t="shared" si="0"/>
        <v>0.3795249864278295</v>
      </c>
      <c r="D27">
        <f t="shared" si="1"/>
        <v>3</v>
      </c>
      <c r="E27">
        <f t="shared" si="2"/>
        <v>1.1385749592834884</v>
      </c>
    </row>
    <row r="28" spans="1:5" ht="12.75">
      <c r="A28" s="28">
        <v>37155</v>
      </c>
      <c r="B28">
        <v>13.81</v>
      </c>
      <c r="C28" s="31">
        <f t="shared" si="0"/>
        <v>0.34234095771184364</v>
      </c>
      <c r="D28">
        <f t="shared" si="1"/>
        <v>7</v>
      </c>
      <c r="E28">
        <f t="shared" si="2"/>
        <v>2.3963867039829054</v>
      </c>
    </row>
    <row r="29" spans="1:5" ht="12.75">
      <c r="A29" s="28">
        <v>37162</v>
      </c>
      <c r="B29">
        <v>12.28</v>
      </c>
      <c r="C29" s="31">
        <f t="shared" si="0"/>
        <v>0.30441324842153794</v>
      </c>
      <c r="D29">
        <f t="shared" si="1"/>
        <v>4</v>
      </c>
      <c r="E29">
        <f t="shared" si="2"/>
        <v>1.2176529936861518</v>
      </c>
    </row>
    <row r="30" spans="1:5" ht="12.75">
      <c r="A30" s="28">
        <v>37166</v>
      </c>
      <c r="B30">
        <v>13.08</v>
      </c>
      <c r="C30" s="31">
        <f t="shared" si="0"/>
        <v>0.32424473040339713</v>
      </c>
      <c r="D30">
        <f t="shared" si="1"/>
        <v>9</v>
      </c>
      <c r="E30">
        <f t="shared" si="2"/>
        <v>2.918202573630574</v>
      </c>
    </row>
    <row r="31" spans="1:5" ht="12.75">
      <c r="A31" s="28">
        <v>37175</v>
      </c>
      <c r="B31">
        <v>12.61</v>
      </c>
      <c r="C31" s="31">
        <f t="shared" si="0"/>
        <v>0.3125937347390549</v>
      </c>
      <c r="D31">
        <f t="shared" si="1"/>
        <v>26</v>
      </c>
      <c r="E31">
        <f t="shared" si="2"/>
        <v>8.127437103215428</v>
      </c>
    </row>
    <row r="32" spans="1:5" ht="12.75">
      <c r="A32" s="28">
        <v>37201</v>
      </c>
      <c r="B32">
        <v>11.65</v>
      </c>
      <c r="C32" s="31">
        <f t="shared" si="0"/>
        <v>0.2887959563608239</v>
      </c>
      <c r="D32">
        <f t="shared" si="1"/>
        <v>17</v>
      </c>
      <c r="E32">
        <f t="shared" si="2"/>
        <v>4.909531258134006</v>
      </c>
    </row>
    <row r="33" spans="1:5" ht="12.75">
      <c r="A33" s="28">
        <v>37218</v>
      </c>
      <c r="B33">
        <v>11.27</v>
      </c>
      <c r="C33" s="31">
        <f t="shared" si="0"/>
        <v>0.27937600241944077</v>
      </c>
      <c r="D33">
        <f t="shared" si="1"/>
        <v>12</v>
      </c>
      <c r="E33">
        <f t="shared" si="2"/>
        <v>3.3525120290332895</v>
      </c>
    </row>
    <row r="34" spans="1:5" ht="12.75">
      <c r="A34" s="28">
        <v>37230</v>
      </c>
      <c r="B34">
        <v>10.88</v>
      </c>
      <c r="C34" s="31">
        <f t="shared" si="0"/>
        <v>0.2697081549532845</v>
      </c>
      <c r="D34">
        <f t="shared" si="1"/>
        <v>9</v>
      </c>
      <c r="E34">
        <f t="shared" si="2"/>
        <v>2.4273733945795604</v>
      </c>
    </row>
    <row r="35" spans="1:5" ht="12.75">
      <c r="A35" s="28">
        <v>37239</v>
      </c>
      <c r="B35">
        <v>10.17</v>
      </c>
      <c r="C35" s="31">
        <f t="shared" si="0"/>
        <v>0.2521077146943845</v>
      </c>
      <c r="D35">
        <f t="shared" si="1"/>
        <v>8</v>
      </c>
      <c r="E35">
        <f t="shared" si="2"/>
        <v>2.016861717555076</v>
      </c>
    </row>
    <row r="36" spans="1:5" ht="12.75">
      <c r="A36" s="28">
        <v>37247</v>
      </c>
      <c r="B36">
        <v>10.9</v>
      </c>
      <c r="C36" s="31">
        <f t="shared" si="0"/>
        <v>0.27020394200283093</v>
      </c>
      <c r="D36">
        <f t="shared" si="1"/>
        <v>9</v>
      </c>
      <c r="E36">
        <f t="shared" si="2"/>
        <v>2.4318354780254783</v>
      </c>
    </row>
    <row r="37" spans="1:5" ht="12.75">
      <c r="A37" s="28">
        <v>37256</v>
      </c>
      <c r="B37">
        <v>10.9</v>
      </c>
      <c r="C37" s="31">
        <f t="shared" si="0"/>
        <v>0.27020394200283093</v>
      </c>
      <c r="D37">
        <v>1</v>
      </c>
      <c r="E37">
        <f t="shared" si="2"/>
        <v>0.27020394200283093</v>
      </c>
    </row>
    <row r="39" spans="1:5" ht="25.5" customHeight="1">
      <c r="A39" s="152" t="s">
        <v>27</v>
      </c>
      <c r="B39" s="153"/>
      <c r="C39" s="35">
        <f>E39/D39</f>
        <v>0.3332857128740311</v>
      </c>
      <c r="D39">
        <f>SUM(D4:D38)</f>
        <v>365</v>
      </c>
      <c r="E39">
        <f>SUM(E4:E38)</f>
        <v>121.64928519902134</v>
      </c>
    </row>
  </sheetData>
  <mergeCells count="2">
    <mergeCell ref="A1:A3"/>
    <mergeCell ref="A39:B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:A3"/>
    </sheetView>
  </sheetViews>
  <sheetFormatPr defaultColWidth="9.140625" defaultRowHeight="12.75"/>
  <cols>
    <col min="1" max="1" width="20.7109375" style="28" customWidth="1"/>
    <col min="2" max="3" width="15.7109375" style="0" customWidth="1"/>
    <col min="4" max="4" width="13.00390625" style="0" bestFit="1" customWidth="1"/>
    <col min="5" max="5" width="16.8515625" style="0" bestFit="1" customWidth="1"/>
  </cols>
  <sheetData>
    <row r="1" spans="1:5" ht="13.5" thickTop="1">
      <c r="A1" s="149"/>
      <c r="B1" s="11" t="s">
        <v>2</v>
      </c>
      <c r="C1" s="11" t="s">
        <v>2</v>
      </c>
      <c r="D1" s="25" t="s">
        <v>20</v>
      </c>
      <c r="E1" s="24" t="s">
        <v>22</v>
      </c>
    </row>
    <row r="2" spans="1:3" ht="12.75">
      <c r="A2" s="150"/>
      <c r="B2" s="6" t="s">
        <v>11</v>
      </c>
      <c r="C2" s="6" t="s">
        <v>11</v>
      </c>
    </row>
    <row r="3" spans="1:3" ht="13.5" thickBot="1">
      <c r="A3" s="151"/>
      <c r="B3" s="7" t="s">
        <v>28</v>
      </c>
      <c r="C3" s="7" t="s">
        <v>29</v>
      </c>
    </row>
    <row r="4" spans="1:5" ht="13.5" thickTop="1">
      <c r="A4" s="28">
        <v>36526</v>
      </c>
      <c r="B4">
        <v>12.15</v>
      </c>
      <c r="C4" s="31">
        <f>B4/40.3399</f>
        <v>0.30119063259948586</v>
      </c>
      <c r="D4">
        <f>A5-A4</f>
        <v>11</v>
      </c>
      <c r="E4">
        <f aca="true" t="shared" si="0" ref="E4:E61">C4*D4</f>
        <v>3.3130969585943446</v>
      </c>
    </row>
    <row r="5" spans="1:5" ht="12.75">
      <c r="A5" s="28">
        <v>36537</v>
      </c>
      <c r="B5">
        <v>11.36</v>
      </c>
      <c r="C5" s="31">
        <f aca="true" t="shared" si="1" ref="C5:C61">B5/40.3399</f>
        <v>0.28160704414239995</v>
      </c>
      <c r="D5">
        <f aca="true" t="shared" si="2" ref="D5:D60">A6-A5</f>
        <v>7</v>
      </c>
      <c r="E5">
        <f t="shared" si="0"/>
        <v>1.9712493089967997</v>
      </c>
    </row>
    <row r="6" spans="1:5" ht="12.75">
      <c r="A6" s="28">
        <v>36544</v>
      </c>
      <c r="B6">
        <v>12.19</v>
      </c>
      <c r="C6" s="31">
        <f t="shared" si="1"/>
        <v>0.3021822066985788</v>
      </c>
      <c r="D6">
        <f t="shared" si="2"/>
        <v>6</v>
      </c>
      <c r="E6">
        <f t="shared" si="0"/>
        <v>1.8130932401914728</v>
      </c>
    </row>
    <row r="7" spans="1:5" ht="12.75">
      <c r="A7" s="28">
        <v>36550</v>
      </c>
      <c r="B7">
        <v>12.99</v>
      </c>
      <c r="C7" s="31">
        <f t="shared" si="1"/>
        <v>0.322013688680438</v>
      </c>
      <c r="D7">
        <f t="shared" si="2"/>
        <v>7</v>
      </c>
      <c r="E7">
        <f t="shared" si="0"/>
        <v>2.254095820763066</v>
      </c>
    </row>
    <row r="8" spans="1:5" ht="12.75">
      <c r="A8" s="28">
        <v>36557</v>
      </c>
      <c r="B8">
        <v>12.49</v>
      </c>
      <c r="C8" s="31">
        <f t="shared" si="1"/>
        <v>0.30961901244177603</v>
      </c>
      <c r="D8">
        <f t="shared" si="2"/>
        <v>30</v>
      </c>
      <c r="E8">
        <f t="shared" si="0"/>
        <v>9.28857037325328</v>
      </c>
    </row>
    <row r="9" spans="1:5" ht="12.75">
      <c r="A9" s="28">
        <v>36587</v>
      </c>
      <c r="B9">
        <v>13.23</v>
      </c>
      <c r="C9" s="31">
        <f t="shared" si="1"/>
        <v>0.3279631332749957</v>
      </c>
      <c r="D9">
        <f t="shared" si="2"/>
        <v>5</v>
      </c>
      <c r="E9">
        <f t="shared" si="0"/>
        <v>1.6398156663749786</v>
      </c>
    </row>
    <row r="10" spans="1:5" ht="12.75">
      <c r="A10" s="28">
        <v>36592</v>
      </c>
      <c r="B10">
        <v>13.64</v>
      </c>
      <c r="C10" s="31">
        <f t="shared" si="1"/>
        <v>0.33812676779069856</v>
      </c>
      <c r="D10">
        <f t="shared" si="2"/>
        <v>2</v>
      </c>
      <c r="E10">
        <f t="shared" si="0"/>
        <v>0.6762535355813971</v>
      </c>
    </row>
    <row r="11" spans="1:5" ht="12.75">
      <c r="A11" s="28">
        <v>36594</v>
      </c>
      <c r="B11">
        <v>14.02</v>
      </c>
      <c r="C11" s="31">
        <f t="shared" si="1"/>
        <v>0.3475467217320816</v>
      </c>
      <c r="D11">
        <f t="shared" si="2"/>
        <v>5</v>
      </c>
      <c r="E11">
        <f t="shared" si="0"/>
        <v>1.737733608660408</v>
      </c>
    </row>
    <row r="12" spans="1:5" ht="12.75">
      <c r="A12" s="28">
        <v>36599</v>
      </c>
      <c r="B12">
        <v>13.26</v>
      </c>
      <c r="C12" s="31">
        <f t="shared" si="1"/>
        <v>0.32870681384931544</v>
      </c>
      <c r="D12">
        <f t="shared" si="2"/>
        <v>3</v>
      </c>
      <c r="E12">
        <f t="shared" si="0"/>
        <v>0.9861204415479463</v>
      </c>
    </row>
    <row r="13" spans="1:5" ht="12.75">
      <c r="A13" s="28">
        <v>36602</v>
      </c>
      <c r="B13">
        <v>12.72</v>
      </c>
      <c r="C13" s="31">
        <f t="shared" si="1"/>
        <v>0.3153205635115605</v>
      </c>
      <c r="D13">
        <f t="shared" si="2"/>
        <v>21</v>
      </c>
      <c r="E13">
        <f t="shared" si="0"/>
        <v>6.62173183374277</v>
      </c>
    </row>
    <row r="14" spans="1:5" ht="12.75">
      <c r="A14" s="28">
        <v>36623</v>
      </c>
      <c r="B14">
        <v>12.15</v>
      </c>
      <c r="C14" s="31">
        <f t="shared" si="1"/>
        <v>0.30119063259948586</v>
      </c>
      <c r="D14">
        <f t="shared" si="2"/>
        <v>13</v>
      </c>
      <c r="E14">
        <f t="shared" si="0"/>
        <v>3.915478223793316</v>
      </c>
    </row>
    <row r="15" spans="1:5" ht="12.75">
      <c r="A15" s="28">
        <v>36636</v>
      </c>
      <c r="B15">
        <v>12.74</v>
      </c>
      <c r="C15" s="31">
        <f t="shared" si="1"/>
        <v>0.315816350561107</v>
      </c>
      <c r="D15">
        <f t="shared" si="2"/>
        <v>2</v>
      </c>
      <c r="E15">
        <f t="shared" si="0"/>
        <v>0.631632701122214</v>
      </c>
    </row>
    <row r="16" spans="1:5" ht="12.75">
      <c r="A16" s="28">
        <v>36638</v>
      </c>
      <c r="B16">
        <v>13.11</v>
      </c>
      <c r="C16" s="31">
        <f t="shared" si="1"/>
        <v>0.32498841097771686</v>
      </c>
      <c r="D16">
        <f t="shared" si="2"/>
        <v>24</v>
      </c>
      <c r="E16">
        <f t="shared" si="0"/>
        <v>7.799721863465205</v>
      </c>
    </row>
    <row r="17" spans="1:5" ht="12.75">
      <c r="A17" s="28">
        <v>36662</v>
      </c>
      <c r="B17">
        <v>13.99</v>
      </c>
      <c r="C17" s="31">
        <f t="shared" si="1"/>
        <v>0.34680304115776195</v>
      </c>
      <c r="D17">
        <f t="shared" si="2"/>
        <v>15</v>
      </c>
      <c r="E17">
        <f t="shared" si="0"/>
        <v>5.202045617366429</v>
      </c>
    </row>
    <row r="18" spans="1:5" ht="12.75">
      <c r="A18" s="28">
        <v>36677</v>
      </c>
      <c r="B18">
        <v>13.69</v>
      </c>
      <c r="C18" s="31">
        <f t="shared" si="1"/>
        <v>0.33936623541456473</v>
      </c>
      <c r="D18">
        <f t="shared" si="2"/>
        <v>7</v>
      </c>
      <c r="E18">
        <f t="shared" si="0"/>
        <v>2.375563647901953</v>
      </c>
    </row>
    <row r="19" spans="1:5" ht="12.75">
      <c r="A19" s="28">
        <v>36684</v>
      </c>
      <c r="B19">
        <v>13.31</v>
      </c>
      <c r="C19" s="31">
        <f t="shared" si="1"/>
        <v>0.32994628147318167</v>
      </c>
      <c r="D19">
        <f t="shared" si="2"/>
        <v>20</v>
      </c>
      <c r="E19">
        <f t="shared" si="0"/>
        <v>6.598925629463634</v>
      </c>
    </row>
    <row r="20" spans="1:5" ht="12.75">
      <c r="A20" s="28">
        <v>36704</v>
      </c>
      <c r="B20">
        <v>14.06</v>
      </c>
      <c r="C20" s="31">
        <f t="shared" si="1"/>
        <v>0.3485382958311746</v>
      </c>
      <c r="D20">
        <f t="shared" si="2"/>
        <v>9</v>
      </c>
      <c r="E20">
        <f t="shared" si="0"/>
        <v>3.1368446624805717</v>
      </c>
    </row>
    <row r="21" spans="1:5" ht="12.75">
      <c r="A21" s="28">
        <v>36713</v>
      </c>
      <c r="B21">
        <v>14.56</v>
      </c>
      <c r="C21" s="31">
        <f t="shared" si="1"/>
        <v>0.3609329720698366</v>
      </c>
      <c r="D21">
        <f t="shared" si="2"/>
        <v>6</v>
      </c>
      <c r="E21">
        <f t="shared" si="0"/>
        <v>2.1655978324190195</v>
      </c>
    </row>
    <row r="22" spans="1:5" ht="12.75">
      <c r="A22" s="28">
        <v>36719</v>
      </c>
      <c r="B22">
        <v>13.84</v>
      </c>
      <c r="C22" s="31">
        <f t="shared" si="1"/>
        <v>0.3430846382861633</v>
      </c>
      <c r="D22">
        <f t="shared" si="2"/>
        <v>6</v>
      </c>
      <c r="E22">
        <f t="shared" si="0"/>
        <v>2.05850782971698</v>
      </c>
    </row>
    <row r="23" spans="1:5" ht="12.75">
      <c r="A23" s="28">
        <v>36725</v>
      </c>
      <c r="B23">
        <v>14.56</v>
      </c>
      <c r="C23" s="31">
        <f t="shared" si="1"/>
        <v>0.3609329720698366</v>
      </c>
      <c r="D23">
        <f t="shared" si="2"/>
        <v>11</v>
      </c>
      <c r="E23">
        <f t="shared" si="0"/>
        <v>3.9702626927682028</v>
      </c>
    </row>
    <row r="24" spans="1:5" ht="12.75">
      <c r="A24" s="28">
        <v>36736</v>
      </c>
      <c r="B24">
        <v>14.29</v>
      </c>
      <c r="C24" s="31">
        <f t="shared" si="1"/>
        <v>0.35423984690095905</v>
      </c>
      <c r="D24">
        <f t="shared" si="2"/>
        <v>12</v>
      </c>
      <c r="E24">
        <f t="shared" si="0"/>
        <v>4.250878162811508</v>
      </c>
    </row>
    <row r="25" spans="1:5" ht="12.75">
      <c r="A25" s="28">
        <v>36748</v>
      </c>
      <c r="B25">
        <v>14.69</v>
      </c>
      <c r="C25" s="31">
        <f t="shared" si="1"/>
        <v>0.3641555878918887</v>
      </c>
      <c r="D25">
        <f t="shared" si="2"/>
        <v>1</v>
      </c>
      <c r="E25">
        <f t="shared" si="0"/>
        <v>0.3641555878918887</v>
      </c>
    </row>
    <row r="26" spans="1:5" ht="12.75">
      <c r="A26" s="28">
        <v>36749</v>
      </c>
      <c r="B26">
        <v>15.16</v>
      </c>
      <c r="C26" s="31">
        <f t="shared" si="1"/>
        <v>0.3758065835562309</v>
      </c>
      <c r="D26">
        <f t="shared" si="2"/>
        <v>6</v>
      </c>
      <c r="E26">
        <f t="shared" si="0"/>
        <v>2.2548395013373854</v>
      </c>
    </row>
    <row r="27" spans="1:5" ht="12.75">
      <c r="A27" s="28">
        <v>36755</v>
      </c>
      <c r="B27">
        <v>15.58</v>
      </c>
      <c r="C27" s="31">
        <f t="shared" si="1"/>
        <v>0.386218111596707</v>
      </c>
      <c r="D27">
        <f t="shared" si="2"/>
        <v>5</v>
      </c>
      <c r="E27">
        <f t="shared" si="0"/>
        <v>1.931090557983535</v>
      </c>
    </row>
    <row r="28" spans="1:5" ht="12.75">
      <c r="A28" s="28">
        <v>36760</v>
      </c>
      <c r="B28">
        <v>16.09</v>
      </c>
      <c r="C28" s="31">
        <f t="shared" si="1"/>
        <v>0.3988606813601422</v>
      </c>
      <c r="D28">
        <f t="shared" si="2"/>
        <v>1</v>
      </c>
      <c r="E28">
        <f t="shared" si="0"/>
        <v>0.3988606813601422</v>
      </c>
    </row>
    <row r="29" spans="1:5" ht="12.75">
      <c r="A29" s="28">
        <v>36761</v>
      </c>
      <c r="B29">
        <v>16.47</v>
      </c>
      <c r="C29" s="31">
        <f t="shared" si="1"/>
        <v>0.40828063530152525</v>
      </c>
      <c r="D29">
        <f t="shared" si="2"/>
        <v>2</v>
      </c>
      <c r="E29">
        <f t="shared" si="0"/>
        <v>0.8165612706030505</v>
      </c>
    </row>
    <row r="30" spans="1:5" ht="12.75">
      <c r="A30" s="28">
        <v>36763</v>
      </c>
      <c r="B30">
        <v>17.16</v>
      </c>
      <c r="C30" s="31">
        <f t="shared" si="1"/>
        <v>0.4253852885108788</v>
      </c>
      <c r="D30">
        <f t="shared" si="2"/>
        <v>6</v>
      </c>
      <c r="E30">
        <f t="shared" si="0"/>
        <v>2.5523117310652728</v>
      </c>
    </row>
    <row r="31" spans="1:5" ht="12.75">
      <c r="A31" s="28">
        <v>36769</v>
      </c>
      <c r="B31">
        <v>18.13</v>
      </c>
      <c r="C31" s="31">
        <f t="shared" si="1"/>
        <v>0.44943096041388303</v>
      </c>
      <c r="D31">
        <f t="shared" si="2"/>
        <v>12</v>
      </c>
      <c r="E31">
        <f t="shared" si="0"/>
        <v>5.393171524966596</v>
      </c>
    </row>
    <row r="32" spans="1:5" ht="12.75">
      <c r="A32" s="28">
        <v>36781</v>
      </c>
      <c r="B32">
        <v>18.88</v>
      </c>
      <c r="C32" s="31">
        <f t="shared" si="1"/>
        <v>0.46802297477187593</v>
      </c>
      <c r="D32">
        <f t="shared" si="2"/>
        <v>2</v>
      </c>
      <c r="E32">
        <f t="shared" si="0"/>
        <v>0.9360459495437519</v>
      </c>
    </row>
    <row r="33" spans="1:5" ht="12.75">
      <c r="A33" s="28">
        <v>36783</v>
      </c>
      <c r="B33">
        <v>19.84</v>
      </c>
      <c r="C33" s="31">
        <f t="shared" si="1"/>
        <v>0.491820753150107</v>
      </c>
      <c r="D33">
        <f t="shared" si="2"/>
        <v>2</v>
      </c>
      <c r="E33">
        <f t="shared" si="0"/>
        <v>0.983641506300214</v>
      </c>
    </row>
    <row r="34" spans="1:5" ht="12.75">
      <c r="A34" s="28">
        <v>36785</v>
      </c>
      <c r="B34">
        <v>18.54</v>
      </c>
      <c r="C34" s="31">
        <f t="shared" si="1"/>
        <v>0.4595945949295858</v>
      </c>
      <c r="D34">
        <f t="shared" si="2"/>
        <v>4</v>
      </c>
      <c r="E34">
        <f t="shared" si="0"/>
        <v>1.8383783797183433</v>
      </c>
    </row>
    <row r="35" spans="1:5" ht="12.75">
      <c r="A35" s="28">
        <v>36789</v>
      </c>
      <c r="B35">
        <v>19.45</v>
      </c>
      <c r="C35" s="31">
        <f t="shared" si="1"/>
        <v>0.4821529056839506</v>
      </c>
      <c r="D35">
        <f t="shared" si="2"/>
        <v>6</v>
      </c>
      <c r="E35">
        <f t="shared" si="0"/>
        <v>2.8929174341037034</v>
      </c>
    </row>
    <row r="36" spans="1:5" ht="12.75">
      <c r="A36" s="28">
        <v>36795</v>
      </c>
      <c r="B36">
        <v>18.31</v>
      </c>
      <c r="C36" s="31">
        <f t="shared" si="1"/>
        <v>0.4538930438598013</v>
      </c>
      <c r="D36">
        <f t="shared" si="2"/>
        <v>1</v>
      </c>
      <c r="E36">
        <f t="shared" si="0"/>
        <v>0.4538930438598013</v>
      </c>
    </row>
    <row r="37" spans="1:5" ht="12.75">
      <c r="A37" s="28">
        <v>36796</v>
      </c>
      <c r="B37">
        <v>17.6</v>
      </c>
      <c r="C37" s="31">
        <f t="shared" si="1"/>
        <v>0.4362926036009014</v>
      </c>
      <c r="D37">
        <f t="shared" si="2"/>
        <v>2</v>
      </c>
      <c r="E37">
        <f t="shared" si="0"/>
        <v>0.8725852072018028</v>
      </c>
    </row>
    <row r="38" spans="1:5" ht="12.75">
      <c r="A38" s="28">
        <v>36798</v>
      </c>
      <c r="B38">
        <v>17.16</v>
      </c>
      <c r="C38" s="31">
        <f t="shared" si="1"/>
        <v>0.4253852885108788</v>
      </c>
      <c r="D38">
        <f t="shared" si="2"/>
        <v>13</v>
      </c>
      <c r="E38">
        <f t="shared" si="0"/>
        <v>5.530008750641424</v>
      </c>
    </row>
    <row r="39" spans="1:5" ht="12.75">
      <c r="A39" s="28">
        <v>36811</v>
      </c>
      <c r="B39">
        <v>18.06</v>
      </c>
      <c r="C39" s="31">
        <f t="shared" si="1"/>
        <v>0.4476957057404703</v>
      </c>
      <c r="D39">
        <f t="shared" si="2"/>
        <v>1</v>
      </c>
      <c r="E39">
        <f t="shared" si="0"/>
        <v>0.4476957057404703</v>
      </c>
    </row>
    <row r="40" spans="1:5" ht="12.75">
      <c r="A40" s="28">
        <v>36812</v>
      </c>
      <c r="B40">
        <v>18.54</v>
      </c>
      <c r="C40" s="31">
        <f t="shared" si="1"/>
        <v>0.4595945949295858</v>
      </c>
      <c r="D40">
        <f t="shared" si="2"/>
        <v>1</v>
      </c>
      <c r="E40">
        <f t="shared" si="0"/>
        <v>0.4595945949295858</v>
      </c>
    </row>
    <row r="41" spans="1:5" ht="12.75">
      <c r="A41" s="28">
        <v>36813</v>
      </c>
      <c r="B41">
        <v>19</v>
      </c>
      <c r="C41" s="31">
        <f t="shared" si="1"/>
        <v>0.47099769706915484</v>
      </c>
      <c r="D41">
        <f t="shared" si="2"/>
        <v>3</v>
      </c>
      <c r="E41">
        <f t="shared" si="0"/>
        <v>1.4129930912074644</v>
      </c>
    </row>
    <row r="42" spans="1:5" ht="12.75">
      <c r="A42" s="28">
        <v>36816</v>
      </c>
      <c r="B42">
        <v>19.42</v>
      </c>
      <c r="C42" s="31">
        <f t="shared" si="1"/>
        <v>0.48140922510963097</v>
      </c>
      <c r="D42">
        <f t="shared" si="2"/>
        <v>2</v>
      </c>
      <c r="E42">
        <f t="shared" si="0"/>
        <v>0.9628184502192619</v>
      </c>
    </row>
    <row r="43" spans="1:5" ht="12.75">
      <c r="A43" s="28">
        <v>36818</v>
      </c>
      <c r="B43">
        <v>18.07</v>
      </c>
      <c r="C43" s="31">
        <f t="shared" si="1"/>
        <v>0.4479435992652436</v>
      </c>
      <c r="D43">
        <f t="shared" si="2"/>
        <v>9</v>
      </c>
      <c r="E43">
        <f t="shared" si="0"/>
        <v>4.031492393387192</v>
      </c>
    </row>
    <row r="44" spans="1:5" ht="12.75">
      <c r="A44" s="28">
        <v>36827</v>
      </c>
      <c r="B44">
        <v>18.37</v>
      </c>
      <c r="C44" s="31">
        <f t="shared" si="1"/>
        <v>0.4553804050084408</v>
      </c>
      <c r="D44">
        <f t="shared" si="2"/>
        <v>10</v>
      </c>
      <c r="E44">
        <f t="shared" si="0"/>
        <v>4.553804050084408</v>
      </c>
    </row>
    <row r="45" spans="1:5" ht="12.75">
      <c r="A45" s="28">
        <v>36837</v>
      </c>
      <c r="B45">
        <v>17.07</v>
      </c>
      <c r="C45" s="31">
        <f t="shared" si="1"/>
        <v>0.4231542467879197</v>
      </c>
      <c r="D45">
        <f t="shared" si="2"/>
        <v>1</v>
      </c>
      <c r="E45">
        <f t="shared" si="0"/>
        <v>0.4231542467879197</v>
      </c>
    </row>
    <row r="46" spans="1:5" ht="12.75">
      <c r="A46" s="28">
        <v>36838</v>
      </c>
      <c r="B46">
        <v>16.46</v>
      </c>
      <c r="C46" s="31">
        <f t="shared" si="1"/>
        <v>0.4080327417767521</v>
      </c>
      <c r="D46">
        <f t="shared" si="2"/>
        <v>2</v>
      </c>
      <c r="E46">
        <f t="shared" si="0"/>
        <v>0.8160654835535042</v>
      </c>
    </row>
    <row r="47" spans="1:5" ht="12.75">
      <c r="A47" s="28">
        <v>36840</v>
      </c>
      <c r="B47">
        <v>17.14</v>
      </c>
      <c r="C47" s="31">
        <f t="shared" si="1"/>
        <v>0.42488950146133236</v>
      </c>
      <c r="D47">
        <f t="shared" si="2"/>
        <v>1</v>
      </c>
      <c r="E47">
        <f t="shared" si="0"/>
        <v>0.42488950146133236</v>
      </c>
    </row>
    <row r="48" spans="1:5" ht="12.75">
      <c r="A48" s="28">
        <v>36841</v>
      </c>
      <c r="B48">
        <v>17.72</v>
      </c>
      <c r="C48" s="31">
        <f t="shared" si="1"/>
        <v>0.4392673258981802</v>
      </c>
      <c r="D48">
        <f t="shared" si="2"/>
        <v>6</v>
      </c>
      <c r="E48">
        <f t="shared" si="0"/>
        <v>2.6356039553890813</v>
      </c>
    </row>
    <row r="49" spans="1:5" ht="12.75">
      <c r="A49" s="28">
        <v>36847</v>
      </c>
      <c r="B49">
        <v>18.8</v>
      </c>
      <c r="C49" s="31">
        <f t="shared" si="1"/>
        <v>0.4660398265736901</v>
      </c>
      <c r="D49">
        <f t="shared" si="2"/>
        <v>5</v>
      </c>
      <c r="E49">
        <f t="shared" si="0"/>
        <v>2.3301991328684504</v>
      </c>
    </row>
    <row r="50" spans="1:5" ht="12.75">
      <c r="A50" s="28">
        <v>36852</v>
      </c>
      <c r="B50">
        <v>19.94</v>
      </c>
      <c r="C50" s="31">
        <f t="shared" si="1"/>
        <v>0.4942996883978394</v>
      </c>
      <c r="D50">
        <f t="shared" si="2"/>
        <v>3</v>
      </c>
      <c r="E50">
        <f t="shared" si="0"/>
        <v>1.482899065193518</v>
      </c>
    </row>
    <row r="51" spans="1:5" ht="12.75">
      <c r="A51" s="28">
        <v>36855</v>
      </c>
      <c r="B51">
        <v>19.17</v>
      </c>
      <c r="C51" s="31">
        <f t="shared" si="1"/>
        <v>0.4752118869903</v>
      </c>
      <c r="D51">
        <f t="shared" si="2"/>
        <v>4</v>
      </c>
      <c r="E51">
        <f t="shared" si="0"/>
        <v>1.9008475479612</v>
      </c>
    </row>
    <row r="52" spans="1:5" ht="12.75">
      <c r="A52" s="28">
        <v>36859</v>
      </c>
      <c r="B52">
        <v>18.8</v>
      </c>
      <c r="C52" s="31">
        <f t="shared" si="1"/>
        <v>0.4660398265736901</v>
      </c>
      <c r="D52">
        <f t="shared" si="2"/>
        <v>1</v>
      </c>
      <c r="E52">
        <f t="shared" si="0"/>
        <v>0.4660398265736901</v>
      </c>
    </row>
    <row r="53" spans="1:5" ht="12.75">
      <c r="A53" s="28">
        <v>36860</v>
      </c>
      <c r="B53">
        <v>17.96</v>
      </c>
      <c r="C53" s="31">
        <f t="shared" si="1"/>
        <v>0.445216770492738</v>
      </c>
      <c r="D53">
        <f t="shared" si="2"/>
        <v>1</v>
      </c>
      <c r="E53">
        <f t="shared" si="0"/>
        <v>0.445216770492738</v>
      </c>
    </row>
    <row r="54" spans="1:5" ht="12.75">
      <c r="A54" s="28">
        <v>36861</v>
      </c>
      <c r="B54">
        <v>17.54</v>
      </c>
      <c r="C54" s="31">
        <f t="shared" si="1"/>
        <v>0.4348052424522619</v>
      </c>
      <c r="D54">
        <f t="shared" si="2"/>
        <v>5</v>
      </c>
      <c r="E54">
        <f t="shared" si="0"/>
        <v>2.1740262122613094</v>
      </c>
    </row>
    <row r="55" spans="1:5" ht="12.75">
      <c r="A55" s="28">
        <v>36866</v>
      </c>
      <c r="B55">
        <v>17.02</v>
      </c>
      <c r="C55" s="31">
        <f t="shared" si="1"/>
        <v>0.42191477916405346</v>
      </c>
      <c r="D55">
        <f t="shared" si="2"/>
        <v>2</v>
      </c>
      <c r="E55">
        <f t="shared" si="0"/>
        <v>0.8438295583281069</v>
      </c>
    </row>
    <row r="56" spans="1:5" ht="12.75">
      <c r="A56" s="28">
        <v>36868</v>
      </c>
      <c r="B56">
        <v>16.33</v>
      </c>
      <c r="C56" s="31">
        <f t="shared" si="1"/>
        <v>0.4048101259546999</v>
      </c>
      <c r="D56">
        <f t="shared" si="2"/>
        <v>4</v>
      </c>
      <c r="E56">
        <f t="shared" si="0"/>
        <v>1.6192405038187996</v>
      </c>
    </row>
    <row r="57" spans="1:5" ht="12.75">
      <c r="A57" s="28">
        <v>36872</v>
      </c>
      <c r="B57">
        <v>15.6</v>
      </c>
      <c r="C57" s="31">
        <f t="shared" si="1"/>
        <v>0.38671389864625344</v>
      </c>
      <c r="D57">
        <f t="shared" si="2"/>
        <v>4</v>
      </c>
      <c r="E57">
        <f t="shared" si="0"/>
        <v>1.5468555945850138</v>
      </c>
    </row>
    <row r="58" spans="1:5" ht="12.75">
      <c r="A58" s="28">
        <v>36876</v>
      </c>
      <c r="B58">
        <v>14.83</v>
      </c>
      <c r="C58" s="31">
        <f t="shared" si="1"/>
        <v>0.36762609723871403</v>
      </c>
      <c r="D58">
        <f t="shared" si="2"/>
        <v>3</v>
      </c>
      <c r="E58">
        <f t="shared" si="0"/>
        <v>1.1028782917161422</v>
      </c>
    </row>
    <row r="59" spans="1:5" ht="12.75">
      <c r="A59" s="28">
        <v>36879</v>
      </c>
      <c r="B59">
        <v>14.44</v>
      </c>
      <c r="C59" s="31">
        <f t="shared" si="1"/>
        <v>0.3579582497725577</v>
      </c>
      <c r="D59">
        <f t="shared" si="2"/>
        <v>2</v>
      </c>
      <c r="E59">
        <f t="shared" si="0"/>
        <v>0.7159164995451154</v>
      </c>
    </row>
    <row r="60" spans="1:5" ht="12.75">
      <c r="A60" s="28">
        <v>36881</v>
      </c>
      <c r="B60">
        <v>14.85</v>
      </c>
      <c r="C60" s="31">
        <f t="shared" si="1"/>
        <v>0.3681218842882605</v>
      </c>
      <c r="D60">
        <f t="shared" si="2"/>
        <v>2</v>
      </c>
      <c r="E60">
        <f t="shared" si="0"/>
        <v>0.736243768576521</v>
      </c>
    </row>
    <row r="61" spans="1:5" ht="12.75">
      <c r="A61" s="28">
        <v>36883</v>
      </c>
      <c r="B61">
        <v>13.98</v>
      </c>
      <c r="C61" s="31">
        <f t="shared" si="1"/>
        <v>0.34655514763298867</v>
      </c>
      <c r="D61">
        <v>9</v>
      </c>
      <c r="E61">
        <f t="shared" si="0"/>
        <v>3.1189963286968982</v>
      </c>
    </row>
    <row r="63" spans="1:5" ht="12.75">
      <c r="A63" s="154" t="s">
        <v>27</v>
      </c>
      <c r="B63" s="155"/>
      <c r="C63" s="35">
        <f>E63/D63</f>
        <v>0.36687699822669445</v>
      </c>
      <c r="D63" s="56">
        <f>SUM(D4:D62)</f>
        <v>366</v>
      </c>
      <c r="E63" s="57">
        <f>SUM(E4:E62)</f>
        <v>134.27698135097017</v>
      </c>
    </row>
  </sheetData>
  <mergeCells count="2">
    <mergeCell ref="A1:A3"/>
    <mergeCell ref="A63:B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4" sqref="B4"/>
    </sheetView>
  </sheetViews>
  <sheetFormatPr defaultColWidth="9.140625" defaultRowHeight="12.75"/>
  <cols>
    <col min="1" max="1" width="20.7109375" style="28" customWidth="1"/>
    <col min="2" max="3" width="15.7109375" style="0" customWidth="1"/>
    <col min="4" max="4" width="13.00390625" style="0" bestFit="1" customWidth="1"/>
    <col min="5" max="5" width="16.8515625" style="0" bestFit="1" customWidth="1"/>
  </cols>
  <sheetData>
    <row r="1" spans="1:5" ht="13.5" thickTop="1">
      <c r="A1" s="149"/>
      <c r="B1" s="11" t="s">
        <v>2</v>
      </c>
      <c r="C1" s="11" t="s">
        <v>2</v>
      </c>
      <c r="D1" s="25" t="s">
        <v>20</v>
      </c>
      <c r="E1" s="24" t="s">
        <v>22</v>
      </c>
    </row>
    <row r="2" spans="1:3" ht="12.75">
      <c r="A2" s="150"/>
      <c r="B2" s="6" t="s">
        <v>11</v>
      </c>
      <c r="C2" s="6" t="s">
        <v>11</v>
      </c>
    </row>
    <row r="3" spans="1:3" ht="13.5" thickBot="1">
      <c r="A3" s="151"/>
      <c r="B3" s="7" t="s">
        <v>28</v>
      </c>
      <c r="C3" s="7" t="s">
        <v>29</v>
      </c>
    </row>
    <row r="4" spans="1:5" ht="13.5" thickTop="1">
      <c r="A4" s="28">
        <v>36161</v>
      </c>
      <c r="B4">
        <v>6.8</v>
      </c>
      <c r="C4" s="31">
        <f>B4/40.3399</f>
        <v>0.16856759684580278</v>
      </c>
      <c r="D4">
        <f aca="true" t="shared" si="0" ref="D4:D27">A5-A4</f>
        <v>11</v>
      </c>
      <c r="E4">
        <f aca="true" t="shared" si="1" ref="E4:E28">C4*D4</f>
        <v>1.8542435653038305</v>
      </c>
    </row>
    <row r="5" spans="1:5" ht="12.75">
      <c r="A5" s="28">
        <v>36172</v>
      </c>
      <c r="B5">
        <v>6.8</v>
      </c>
      <c r="C5" s="31">
        <f aca="true" t="shared" si="2" ref="C5:C28">B5/40.3399</f>
        <v>0.16856759684580278</v>
      </c>
      <c r="D5">
        <f t="shared" si="0"/>
        <v>9</v>
      </c>
      <c r="E5">
        <f t="shared" si="1"/>
        <v>1.517108371612225</v>
      </c>
    </row>
    <row r="6" spans="1:5" ht="12.75">
      <c r="A6" s="28">
        <v>36181</v>
      </c>
      <c r="B6">
        <v>6.48</v>
      </c>
      <c r="C6" s="31">
        <f t="shared" si="2"/>
        <v>0.16063500405305914</v>
      </c>
      <c r="D6">
        <f t="shared" si="0"/>
        <v>37</v>
      </c>
      <c r="E6">
        <f t="shared" si="1"/>
        <v>5.943495149963188</v>
      </c>
    </row>
    <row r="7" spans="1:5" ht="12.75">
      <c r="A7" s="28">
        <v>36218</v>
      </c>
      <c r="B7">
        <v>6.86</v>
      </c>
      <c r="C7" s="31">
        <f t="shared" si="2"/>
        <v>0.17005495799444223</v>
      </c>
      <c r="D7">
        <f t="shared" si="0"/>
        <v>12</v>
      </c>
      <c r="E7">
        <f t="shared" si="1"/>
        <v>2.0406594959333066</v>
      </c>
    </row>
    <row r="8" spans="1:5" ht="12.75">
      <c r="A8" s="28">
        <v>36230</v>
      </c>
      <c r="B8">
        <v>7.3</v>
      </c>
      <c r="C8" s="31">
        <f t="shared" si="2"/>
        <v>0.18096227308446475</v>
      </c>
      <c r="D8">
        <f t="shared" si="0"/>
        <v>13</v>
      </c>
      <c r="E8">
        <f t="shared" si="1"/>
        <v>2.3525095500980417</v>
      </c>
    </row>
    <row r="9" spans="1:5" ht="12.75">
      <c r="A9" s="28">
        <v>36243</v>
      </c>
      <c r="B9">
        <v>7.81</v>
      </c>
      <c r="C9" s="31">
        <f t="shared" si="2"/>
        <v>0.19360484284789997</v>
      </c>
      <c r="D9">
        <f t="shared" si="0"/>
        <v>9</v>
      </c>
      <c r="E9">
        <f t="shared" si="1"/>
        <v>1.7424435856310998</v>
      </c>
    </row>
    <row r="10" spans="1:5" ht="12.75">
      <c r="A10" s="28">
        <v>36252</v>
      </c>
      <c r="B10">
        <v>8.18</v>
      </c>
      <c r="C10" s="31">
        <f t="shared" si="2"/>
        <v>0.2027769032645098</v>
      </c>
      <c r="D10">
        <f t="shared" si="0"/>
        <v>14</v>
      </c>
      <c r="E10">
        <f t="shared" si="1"/>
        <v>2.838876645703137</v>
      </c>
    </row>
    <row r="11" spans="1:5" ht="12.75">
      <c r="A11" s="28">
        <v>36266</v>
      </c>
      <c r="B11">
        <v>7.93</v>
      </c>
      <c r="C11" s="31">
        <f t="shared" si="2"/>
        <v>0.19657956514517883</v>
      </c>
      <c r="D11">
        <f t="shared" si="0"/>
        <v>32</v>
      </c>
      <c r="E11">
        <f t="shared" si="1"/>
        <v>6.290546084645722</v>
      </c>
    </row>
    <row r="12" spans="1:5" ht="12.75">
      <c r="A12" s="28">
        <v>36298</v>
      </c>
      <c r="B12">
        <v>7.81</v>
      </c>
      <c r="C12" s="31">
        <f t="shared" si="2"/>
        <v>0.19360484284789997</v>
      </c>
      <c r="D12">
        <f t="shared" si="0"/>
        <v>8</v>
      </c>
      <c r="E12">
        <f t="shared" si="1"/>
        <v>1.5488387427831998</v>
      </c>
    </row>
    <row r="13" spans="1:5" ht="12.75">
      <c r="A13" s="28">
        <v>36306</v>
      </c>
      <c r="B13">
        <v>7.53</v>
      </c>
      <c r="C13" s="31">
        <f t="shared" si="2"/>
        <v>0.18666382415424929</v>
      </c>
      <c r="D13">
        <f t="shared" si="0"/>
        <v>17</v>
      </c>
      <c r="E13">
        <f t="shared" si="1"/>
        <v>3.1732850106222377</v>
      </c>
    </row>
    <row r="14" spans="1:5" ht="12.75">
      <c r="A14" s="28">
        <v>36323</v>
      </c>
      <c r="B14">
        <v>7.92</v>
      </c>
      <c r="C14" s="31">
        <f t="shared" si="2"/>
        <v>0.1963316716204056</v>
      </c>
      <c r="D14">
        <f t="shared" si="0"/>
        <v>5</v>
      </c>
      <c r="E14">
        <f t="shared" si="1"/>
        <v>0.981658358102028</v>
      </c>
    </row>
    <row r="15" spans="1:5" ht="12.75">
      <c r="A15" s="28">
        <v>36328</v>
      </c>
      <c r="B15">
        <v>8.29</v>
      </c>
      <c r="C15" s="31">
        <f t="shared" si="2"/>
        <v>0.20550373203701544</v>
      </c>
      <c r="D15">
        <f t="shared" si="0"/>
        <v>19</v>
      </c>
      <c r="E15">
        <f t="shared" si="1"/>
        <v>3.9045709087032936</v>
      </c>
    </row>
    <row r="16" spans="1:5" ht="12.75">
      <c r="A16" s="28">
        <v>36347</v>
      </c>
      <c r="B16">
        <v>8.81</v>
      </c>
      <c r="C16" s="31">
        <f t="shared" si="2"/>
        <v>0.21839419532522392</v>
      </c>
      <c r="D16">
        <f t="shared" si="0"/>
        <v>4</v>
      </c>
      <c r="E16">
        <f t="shared" si="1"/>
        <v>0.8735767813008957</v>
      </c>
    </row>
    <row r="17" spans="1:5" ht="12.75">
      <c r="A17" s="28">
        <v>36351</v>
      </c>
      <c r="B17">
        <v>9.25</v>
      </c>
      <c r="C17" s="31">
        <f t="shared" si="2"/>
        <v>0.22930151041524643</v>
      </c>
      <c r="D17">
        <f t="shared" si="0"/>
        <v>35</v>
      </c>
      <c r="E17">
        <f t="shared" si="1"/>
        <v>8.025552864533624</v>
      </c>
    </row>
    <row r="18" spans="1:5" ht="12.75">
      <c r="A18" s="28">
        <v>36386</v>
      </c>
      <c r="B18">
        <v>9.57</v>
      </c>
      <c r="C18" s="31">
        <f t="shared" si="2"/>
        <v>0.2372341032079901</v>
      </c>
      <c r="D18">
        <f t="shared" si="0"/>
        <v>10</v>
      </c>
      <c r="E18">
        <f t="shared" si="1"/>
        <v>2.372341032079901</v>
      </c>
    </row>
    <row r="19" spans="1:5" ht="12.75">
      <c r="A19" s="28">
        <v>36396</v>
      </c>
      <c r="B19">
        <v>10</v>
      </c>
      <c r="C19" s="31">
        <f t="shared" si="2"/>
        <v>0.2478935247732394</v>
      </c>
      <c r="D19">
        <f t="shared" si="0"/>
        <v>22</v>
      </c>
      <c r="E19">
        <f t="shared" si="1"/>
        <v>5.453657545011267</v>
      </c>
    </row>
    <row r="20" spans="1:5" ht="12.75">
      <c r="A20" s="28">
        <v>36418</v>
      </c>
      <c r="B20">
        <v>10.53</v>
      </c>
      <c r="C20" s="31">
        <f t="shared" si="2"/>
        <v>0.2610318815862211</v>
      </c>
      <c r="D20">
        <f t="shared" si="0"/>
        <v>27</v>
      </c>
      <c r="E20">
        <f t="shared" si="1"/>
        <v>7.0478608028279695</v>
      </c>
    </row>
    <row r="21" spans="1:5" ht="12.75">
      <c r="A21" s="28">
        <v>36445</v>
      </c>
      <c r="B21">
        <v>9.78</v>
      </c>
      <c r="C21" s="31">
        <f t="shared" si="2"/>
        <v>0.2424398672282281</v>
      </c>
      <c r="D21">
        <f t="shared" si="0"/>
        <v>4</v>
      </c>
      <c r="E21">
        <f t="shared" si="1"/>
        <v>0.9697594689129124</v>
      </c>
    </row>
    <row r="22" spans="1:5" ht="12.75">
      <c r="A22" s="28">
        <v>36449</v>
      </c>
      <c r="B22">
        <v>10.22</v>
      </c>
      <c r="C22" s="31">
        <f t="shared" si="2"/>
        <v>0.2533471823182507</v>
      </c>
      <c r="D22">
        <f t="shared" si="0"/>
        <v>26</v>
      </c>
      <c r="E22">
        <f t="shared" si="1"/>
        <v>6.587026740274519</v>
      </c>
    </row>
    <row r="23" spans="1:5" ht="12.75">
      <c r="A23" s="28">
        <v>36475</v>
      </c>
      <c r="B23">
        <v>10.67</v>
      </c>
      <c r="C23" s="31">
        <f t="shared" si="2"/>
        <v>0.26450239093304645</v>
      </c>
      <c r="D23">
        <f t="shared" si="0"/>
        <v>6</v>
      </c>
      <c r="E23">
        <f t="shared" si="1"/>
        <v>1.5870143455982788</v>
      </c>
    </row>
    <row r="24" spans="1:5" ht="12.75">
      <c r="A24" s="28">
        <v>36481</v>
      </c>
      <c r="B24">
        <v>11.09</v>
      </c>
      <c r="C24" s="31">
        <f t="shared" si="2"/>
        <v>0.27491391897352246</v>
      </c>
      <c r="D24">
        <f t="shared" si="0"/>
        <v>2</v>
      </c>
      <c r="E24">
        <f t="shared" si="1"/>
        <v>0.5498278379470449</v>
      </c>
    </row>
    <row r="25" spans="1:5" ht="12.75">
      <c r="A25" s="28">
        <v>36483</v>
      </c>
      <c r="B25">
        <v>11.55</v>
      </c>
      <c r="C25" s="31">
        <f t="shared" si="2"/>
        <v>0.28631702111309154</v>
      </c>
      <c r="D25">
        <f t="shared" si="0"/>
        <v>5</v>
      </c>
      <c r="E25">
        <f t="shared" si="1"/>
        <v>1.4315851055654578</v>
      </c>
    </row>
    <row r="26" spans="1:5" ht="12.75">
      <c r="A26" s="28">
        <v>36488</v>
      </c>
      <c r="B26">
        <v>12</v>
      </c>
      <c r="C26" s="31">
        <f t="shared" si="2"/>
        <v>0.2974722297278873</v>
      </c>
      <c r="D26">
        <f t="shared" si="0"/>
        <v>10</v>
      </c>
      <c r="E26">
        <f t="shared" si="1"/>
        <v>2.974722297278873</v>
      </c>
    </row>
    <row r="27" spans="1:5" ht="12.75">
      <c r="A27" s="28">
        <v>36498</v>
      </c>
      <c r="B27">
        <v>11.61</v>
      </c>
      <c r="C27" s="31">
        <f t="shared" si="2"/>
        <v>0.28780438226173094</v>
      </c>
      <c r="D27">
        <f t="shared" si="0"/>
        <v>17</v>
      </c>
      <c r="E27">
        <f t="shared" si="1"/>
        <v>4.892674498449426</v>
      </c>
    </row>
    <row r="28" spans="1:5" ht="12.75">
      <c r="A28" s="28">
        <v>36515</v>
      </c>
      <c r="B28">
        <v>12.15</v>
      </c>
      <c r="C28" s="31">
        <f t="shared" si="2"/>
        <v>0.30119063259948586</v>
      </c>
      <c r="D28">
        <v>11</v>
      </c>
      <c r="E28">
        <f t="shared" si="1"/>
        <v>3.3130969585943446</v>
      </c>
    </row>
    <row r="29" ht="12.75">
      <c r="C29" s="31"/>
    </row>
    <row r="31" spans="1:5" ht="12.75">
      <c r="A31" s="154" t="s">
        <v>27</v>
      </c>
      <c r="B31" s="155"/>
      <c r="C31" s="35">
        <f>E31/D31</f>
        <v>0.21990940204787895</v>
      </c>
      <c r="D31" s="56">
        <f>SUM(D4:D30)</f>
        <v>365</v>
      </c>
      <c r="E31" s="57">
        <f>SUM(E4:E30)</f>
        <v>80.26693174747582</v>
      </c>
    </row>
  </sheetData>
  <mergeCells count="2">
    <mergeCell ref="A1:A3"/>
    <mergeCell ref="A31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25">
      <selection activeCell="E16" sqref="E16"/>
    </sheetView>
  </sheetViews>
  <sheetFormatPr defaultColWidth="9.140625" defaultRowHeight="12.75"/>
  <cols>
    <col min="1" max="1" width="22.28125" style="0" customWidth="1"/>
    <col min="2" max="2" width="18.0039062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7.28125" style="0" bestFit="1" customWidth="1"/>
  </cols>
  <sheetData>
    <row r="1" ht="15.75">
      <c r="A1" s="27" t="s">
        <v>84</v>
      </c>
    </row>
    <row r="2" ht="15.75">
      <c r="A2" s="27"/>
    </row>
    <row r="3" ht="12.75">
      <c r="B3" s="101" t="s">
        <v>86</v>
      </c>
    </row>
    <row r="5" ht="12.75">
      <c r="A5" s="29" t="s">
        <v>38</v>
      </c>
    </row>
    <row r="6" ht="12.75">
      <c r="A6" s="29"/>
    </row>
    <row r="7" ht="12.75">
      <c r="A7" s="29"/>
    </row>
    <row r="8" spans="1:5" ht="22.5">
      <c r="A8" s="55"/>
      <c r="B8" s="91" t="s">
        <v>42</v>
      </c>
      <c r="C8" s="99"/>
      <c r="D8" s="99"/>
      <c r="E8" s="99"/>
    </row>
    <row r="9" spans="1:5" ht="12.75">
      <c r="A9" s="85" t="s">
        <v>39</v>
      </c>
      <c r="B9" s="87">
        <v>0.06</v>
      </c>
      <c r="C9" s="83"/>
      <c r="D9" s="83"/>
      <c r="E9" s="83"/>
    </row>
    <row r="10" spans="1:5" ht="12.75">
      <c r="A10" s="85" t="s">
        <v>40</v>
      </c>
      <c r="B10" s="87">
        <v>0.07</v>
      </c>
      <c r="C10" s="83"/>
      <c r="D10" s="83"/>
      <c r="E10" s="83"/>
    </row>
    <row r="11" spans="1:5" ht="12.75">
      <c r="A11" s="85" t="s">
        <v>24</v>
      </c>
      <c r="B11" s="87">
        <f>(B9+B10)/2</f>
        <v>0.065</v>
      </c>
      <c r="C11" s="83"/>
      <c r="D11" s="83"/>
      <c r="E11" s="83"/>
    </row>
    <row r="12" spans="1:5" ht="12.75">
      <c r="A12" s="72" t="s">
        <v>25</v>
      </c>
      <c r="B12" s="89">
        <f>(B9+B10)/2</f>
        <v>0.065</v>
      </c>
      <c r="C12" s="83"/>
      <c r="D12" s="83"/>
      <c r="E12" s="83"/>
    </row>
    <row r="13" spans="1:5" ht="12.75">
      <c r="A13" s="56" t="s">
        <v>26</v>
      </c>
      <c r="B13" s="95">
        <f>(B9+B10)/2</f>
        <v>0.065</v>
      </c>
      <c r="C13" s="100"/>
      <c r="D13" s="100"/>
      <c r="E13" s="100"/>
    </row>
    <row r="15" spans="1:6" ht="12.75">
      <c r="A15" s="98" t="s">
        <v>64</v>
      </c>
      <c r="B15" s="97" t="s">
        <v>65</v>
      </c>
      <c r="C15" s="82"/>
      <c r="D15" s="82"/>
      <c r="E15" s="82"/>
      <c r="F15" s="82"/>
    </row>
    <row r="16" spans="1:6" ht="12.75">
      <c r="A16" s="96"/>
      <c r="B16" s="96" t="s">
        <v>66</v>
      </c>
      <c r="C16" s="82"/>
      <c r="D16" s="82"/>
      <c r="E16" s="82"/>
      <c r="F16" s="82"/>
    </row>
    <row r="17" spans="1:6" ht="12.75">
      <c r="A17" s="96"/>
      <c r="B17" s="96" t="s">
        <v>67</v>
      </c>
      <c r="C17" s="82"/>
      <c r="D17" s="82"/>
      <c r="E17" s="82"/>
      <c r="F17" s="82"/>
    </row>
    <row r="18" spans="1:6" ht="12.75">
      <c r="A18" s="96"/>
      <c r="B18" s="97"/>
      <c r="C18" s="82"/>
      <c r="D18" s="82"/>
      <c r="E18" s="82"/>
      <c r="F18" s="82"/>
    </row>
    <row r="20" ht="12.75">
      <c r="A20" s="29" t="s">
        <v>56</v>
      </c>
    </row>
    <row r="23" spans="1:5" ht="25.5">
      <c r="A23" s="55"/>
      <c r="B23" s="84" t="s">
        <v>23</v>
      </c>
      <c r="C23" s="118" t="s">
        <v>41</v>
      </c>
      <c r="D23" s="118"/>
      <c r="E23" s="84" t="s">
        <v>57</v>
      </c>
    </row>
    <row r="24" spans="1:5" ht="12.75">
      <c r="A24" s="85" t="s">
        <v>39</v>
      </c>
      <c r="B24" s="86">
        <f>40091+56670+163770+6304+3430+13644</f>
        <v>283909</v>
      </c>
      <c r="C24" s="119">
        <f>B9</f>
        <v>0.06</v>
      </c>
      <c r="D24" s="120"/>
      <c r="E24" s="86">
        <f>B24*C24</f>
        <v>17034.54</v>
      </c>
    </row>
    <row r="25" spans="1:5" ht="12.75">
      <c r="A25" s="85" t="s">
        <v>40</v>
      </c>
      <c r="B25" s="86">
        <f>61328+24976+216565+4451+2598+11784</f>
        <v>321702</v>
      </c>
      <c r="C25" s="119">
        <f>B10</f>
        <v>0.07</v>
      </c>
      <c r="D25" s="120"/>
      <c r="E25" s="86">
        <f>B25*C25</f>
        <v>22519.140000000003</v>
      </c>
    </row>
    <row r="26" spans="1:5" ht="12.75">
      <c r="A26" s="85" t="s">
        <v>24</v>
      </c>
      <c r="B26" s="86">
        <f>540282*0.2</f>
        <v>108056.40000000001</v>
      </c>
      <c r="C26" s="119">
        <f>B11</f>
        <v>0.065</v>
      </c>
      <c r="D26" s="120"/>
      <c r="E26" s="86">
        <f>B26*C26</f>
        <v>7023.666000000001</v>
      </c>
    </row>
    <row r="27" spans="1:5" ht="12.75">
      <c r="A27" s="72" t="s">
        <v>25</v>
      </c>
      <c r="B27" s="88">
        <f>(171157+79954+73272+207544+15015+5169+6174)*0.2</f>
        <v>111657</v>
      </c>
      <c r="C27" s="129">
        <f>B12</f>
        <v>0.065</v>
      </c>
      <c r="D27" s="130"/>
      <c r="E27" s="88">
        <f>B27*C27</f>
        <v>7257.705</v>
      </c>
    </row>
    <row r="28" spans="1:5" ht="12.75">
      <c r="A28" s="56" t="s">
        <v>26</v>
      </c>
      <c r="B28" s="90">
        <f>SUM(B24:B27)</f>
        <v>825324.4</v>
      </c>
      <c r="C28" s="131"/>
      <c r="D28" s="132"/>
      <c r="E28" s="90">
        <f>SUM(E24:E27)</f>
        <v>53835.05100000001</v>
      </c>
    </row>
    <row r="31" spans="1:2" ht="12.75">
      <c r="A31" s="98" t="s">
        <v>44</v>
      </c>
      <c r="B31" s="97" t="s">
        <v>58</v>
      </c>
    </row>
    <row r="32" spans="1:2" ht="12.75">
      <c r="A32" s="96"/>
      <c r="B32" s="97" t="s">
        <v>52</v>
      </c>
    </row>
    <row r="33" spans="1:2" ht="12.75">
      <c r="A33" s="96"/>
      <c r="B33" s="96"/>
    </row>
    <row r="34" spans="1:2" ht="12.75">
      <c r="A34" s="96"/>
      <c r="B34" s="96"/>
    </row>
    <row r="35" spans="1:2" ht="12.75">
      <c r="A35" s="96"/>
      <c r="B35" s="96"/>
    </row>
    <row r="37" ht="12.75">
      <c r="A37" s="29" t="s">
        <v>61</v>
      </c>
    </row>
    <row r="40" spans="1:6" ht="25.5">
      <c r="A40" s="55"/>
      <c r="B40" s="84" t="s">
        <v>57</v>
      </c>
      <c r="C40" s="121" t="s">
        <v>62</v>
      </c>
      <c r="D40" s="121"/>
      <c r="E40" s="84" t="s">
        <v>63</v>
      </c>
      <c r="F40" s="81"/>
    </row>
    <row r="41" spans="1:5" ht="12.75">
      <c r="A41" s="85" t="s">
        <v>39</v>
      </c>
      <c r="B41" s="86">
        <f>E24</f>
        <v>17034.54</v>
      </c>
      <c r="C41" s="123">
        <f>'evolutie 1999-2005'!C24</f>
        <v>0.38117953773121416</v>
      </c>
      <c r="D41" s="124"/>
      <c r="E41" s="86">
        <f>B41*$C$41</f>
        <v>6493.218082663877</v>
      </c>
    </row>
    <row r="42" spans="1:5" ht="12.75">
      <c r="A42" s="85" t="s">
        <v>40</v>
      </c>
      <c r="B42" s="86">
        <f>E25</f>
        <v>22519.140000000003</v>
      </c>
      <c r="C42" s="125"/>
      <c r="D42" s="126"/>
      <c r="E42" s="86">
        <f>B42*$C$41</f>
        <v>8583.835375304496</v>
      </c>
    </row>
    <row r="43" spans="1:5" ht="12.75">
      <c r="A43" s="85" t="s">
        <v>24</v>
      </c>
      <c r="B43" s="86">
        <f>E26</f>
        <v>7023.666000000001</v>
      </c>
      <c r="C43" s="125"/>
      <c r="D43" s="126"/>
      <c r="E43" s="86">
        <f>B43*$C$41</f>
        <v>2677.2777590584465</v>
      </c>
    </row>
    <row r="44" spans="1:5" ht="12.75">
      <c r="A44" s="72" t="s">
        <v>25</v>
      </c>
      <c r="B44" s="86">
        <f>E27</f>
        <v>7257.705</v>
      </c>
      <c r="C44" s="127"/>
      <c r="D44" s="128"/>
      <c r="E44" s="86">
        <f>B44*$C$41</f>
        <v>2766.488636889522</v>
      </c>
    </row>
    <row r="45" spans="1:5" ht="12.75">
      <c r="A45" s="56" t="s">
        <v>26</v>
      </c>
      <c r="B45" s="90">
        <f>E28</f>
        <v>53835.05100000001</v>
      </c>
      <c r="C45" s="122"/>
      <c r="D45" s="122"/>
      <c r="E45" s="90">
        <f>SUM(E41:E44)</f>
        <v>20520.81985391634</v>
      </c>
    </row>
    <row r="48" ht="12.75">
      <c r="A48" s="29" t="s">
        <v>70</v>
      </c>
    </row>
    <row r="50" spans="1:5" ht="25.5">
      <c r="A50" s="55"/>
      <c r="B50" s="84" t="s">
        <v>71</v>
      </c>
      <c r="C50" s="133" t="s">
        <v>72</v>
      </c>
      <c r="D50" s="134"/>
      <c r="E50" s="84" t="s">
        <v>73</v>
      </c>
    </row>
    <row r="51" spans="1:5" ht="12.75">
      <c r="A51" s="85" t="s">
        <v>39</v>
      </c>
      <c r="B51" s="86">
        <f>E41</f>
        <v>6493.218082663877</v>
      </c>
      <c r="C51" s="136">
        <f>39385+59325+168982+6194+3580+14280</f>
        <v>291746</v>
      </c>
      <c r="D51" s="137"/>
      <c r="E51" s="102">
        <f>B51/C51</f>
        <v>0.022256408254659455</v>
      </c>
    </row>
    <row r="52" spans="1:5" ht="12.75">
      <c r="A52" s="85" t="s">
        <v>40</v>
      </c>
      <c r="B52" s="86">
        <f>E42</f>
        <v>8583.835375304496</v>
      </c>
      <c r="C52" s="138">
        <f>63724+25957+225970+4753+2562+12174</f>
        <v>335140</v>
      </c>
      <c r="D52" s="139"/>
      <c r="E52" s="102">
        <f>B52/C52</f>
        <v>0.025612685371201576</v>
      </c>
    </row>
    <row r="53" spans="1:5" ht="12.75">
      <c r="A53" s="85" t="s">
        <v>24</v>
      </c>
      <c r="B53" s="86">
        <f>E43</f>
        <v>2677.2777590584465</v>
      </c>
      <c r="C53" s="138">
        <f>554333*0.2</f>
        <v>110866.6</v>
      </c>
      <c r="D53" s="139"/>
      <c r="E53" s="102">
        <f>B53/C53</f>
        <v>0.024148641331640425</v>
      </c>
    </row>
    <row r="54" spans="1:5" ht="12.75">
      <c r="A54" s="72" t="s">
        <v>25</v>
      </c>
      <c r="B54" s="86">
        <f>E44</f>
        <v>2766.488636889522</v>
      </c>
      <c r="C54" s="140">
        <f>(176804+6620+81251+74524+211105+15289+5259)*0.2</f>
        <v>114170.40000000001</v>
      </c>
      <c r="D54" s="141"/>
      <c r="E54" s="104">
        <f>B54/C54</f>
        <v>0.024231224878685908</v>
      </c>
    </row>
    <row r="55" spans="1:5" ht="12.75">
      <c r="A55" s="56" t="s">
        <v>26</v>
      </c>
      <c r="B55" s="90">
        <f>SUM(B51:B54)</f>
        <v>20520.81985391634</v>
      </c>
      <c r="C55" s="135">
        <f>SUM(C51:C54)</f>
        <v>851923</v>
      </c>
      <c r="D55" s="135"/>
      <c r="E55" s="103">
        <f>B55/C55</f>
        <v>0.024087646247273917</v>
      </c>
    </row>
  </sheetData>
  <mergeCells count="15">
    <mergeCell ref="C54:D54"/>
    <mergeCell ref="C55:D55"/>
    <mergeCell ref="C50:D50"/>
    <mergeCell ref="C51:D51"/>
    <mergeCell ref="C52:D52"/>
    <mergeCell ref="C53:D53"/>
    <mergeCell ref="C23:D23"/>
    <mergeCell ref="C24:D24"/>
    <mergeCell ref="C40:D40"/>
    <mergeCell ref="C45:D45"/>
    <mergeCell ref="C41:D44"/>
    <mergeCell ref="C27:D27"/>
    <mergeCell ref="C25:D25"/>
    <mergeCell ref="C26:D26"/>
    <mergeCell ref="C28:D2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1">
      <selection activeCell="A1" sqref="A1"/>
    </sheetView>
  </sheetViews>
  <sheetFormatPr defaultColWidth="9.140625" defaultRowHeight="12.75"/>
  <cols>
    <col min="1" max="1" width="22.28125" style="0" customWidth="1"/>
    <col min="2" max="2" width="18.00390625" style="0" customWidth="1"/>
    <col min="3" max="3" width="12.7109375" style="0" customWidth="1"/>
    <col min="4" max="4" width="11.7109375" style="0" customWidth="1"/>
    <col min="5" max="5" width="14.57421875" style="0" customWidth="1"/>
    <col min="6" max="6" width="17.28125" style="0" bestFit="1" customWidth="1"/>
  </cols>
  <sheetData>
    <row r="1" ht="15.75">
      <c r="A1" s="27" t="s">
        <v>84</v>
      </c>
    </row>
    <row r="2" ht="15.75">
      <c r="A2" s="27"/>
    </row>
    <row r="3" ht="12.75">
      <c r="B3" s="101" t="s">
        <v>87</v>
      </c>
    </row>
    <row r="5" ht="12.75">
      <c r="A5" s="29" t="s">
        <v>38</v>
      </c>
    </row>
    <row r="6" ht="12.75">
      <c r="A6" s="29"/>
    </row>
    <row r="7" ht="12.75">
      <c r="A7" s="29"/>
    </row>
    <row r="8" spans="1:5" ht="22.5">
      <c r="A8" s="55"/>
      <c r="B8" s="91" t="s">
        <v>42</v>
      </c>
      <c r="C8" s="99"/>
      <c r="D8" s="99"/>
      <c r="E8" s="99"/>
    </row>
    <row r="9" spans="1:5" ht="12.75">
      <c r="A9" s="85" t="s">
        <v>39</v>
      </c>
      <c r="B9" s="87">
        <v>0.05</v>
      </c>
      <c r="C9" s="83"/>
      <c r="D9" s="83"/>
      <c r="E9" s="83"/>
    </row>
    <row r="10" spans="1:5" ht="12.75">
      <c r="A10" s="85" t="s">
        <v>40</v>
      </c>
      <c r="B10" s="87">
        <v>0.05</v>
      </c>
      <c r="C10" s="83"/>
      <c r="D10" s="83"/>
      <c r="E10" s="83"/>
    </row>
    <row r="11" spans="1:5" ht="12.75">
      <c r="A11" s="85" t="s">
        <v>24</v>
      </c>
      <c r="B11" s="87">
        <f>(B9+B10)/2</f>
        <v>0.05</v>
      </c>
      <c r="C11" s="83"/>
      <c r="D11" s="83"/>
      <c r="E11" s="83"/>
    </row>
    <row r="12" spans="1:5" ht="12.75">
      <c r="A12" s="72" t="s">
        <v>25</v>
      </c>
      <c r="B12" s="89">
        <f>(B9+B10)/2</f>
        <v>0.05</v>
      </c>
      <c r="C12" s="83"/>
      <c r="D12" s="83"/>
      <c r="E12" s="83"/>
    </row>
    <row r="13" spans="1:5" ht="12.75">
      <c r="A13" s="56" t="s">
        <v>26</v>
      </c>
      <c r="B13" s="95">
        <f>(B9+B10)/2</f>
        <v>0.05</v>
      </c>
      <c r="C13" s="100"/>
      <c r="D13" s="100"/>
      <c r="E13" s="100"/>
    </row>
    <row r="15" spans="1:6" ht="12.75">
      <c r="A15" s="98" t="s">
        <v>64</v>
      </c>
      <c r="B15" s="97" t="s">
        <v>68</v>
      </c>
      <c r="C15" s="82"/>
      <c r="D15" s="82"/>
      <c r="E15" s="82"/>
      <c r="F15" s="82"/>
    </row>
    <row r="16" spans="1:6" ht="12.75">
      <c r="A16" s="96"/>
      <c r="B16" s="96" t="s">
        <v>69</v>
      </c>
      <c r="C16" s="82"/>
      <c r="D16" s="82"/>
      <c r="E16" s="82"/>
      <c r="F16" s="82"/>
    </row>
    <row r="17" spans="1:6" ht="12.75">
      <c r="A17" s="96"/>
      <c r="B17" s="96"/>
      <c r="C17" s="82"/>
      <c r="D17" s="82"/>
      <c r="E17" s="82"/>
      <c r="F17" s="82"/>
    </row>
    <row r="18" spans="1:6" ht="12.75">
      <c r="A18" s="96"/>
      <c r="B18" s="97"/>
      <c r="C18" s="82"/>
      <c r="D18" s="82"/>
      <c r="E18" s="82"/>
      <c r="F18" s="82"/>
    </row>
    <row r="20" ht="12.75">
      <c r="A20" s="29" t="s">
        <v>56</v>
      </c>
    </row>
    <row r="23" spans="1:5" ht="25.5">
      <c r="A23" s="55"/>
      <c r="B23" s="84" t="s">
        <v>23</v>
      </c>
      <c r="C23" s="118" t="s">
        <v>41</v>
      </c>
      <c r="D23" s="118"/>
      <c r="E23" s="84" t="s">
        <v>57</v>
      </c>
    </row>
    <row r="24" spans="1:5" ht="12.75">
      <c r="A24" s="85" t="s">
        <v>39</v>
      </c>
      <c r="B24" s="86">
        <f>40091+56670+163770+6304+3430+13644</f>
        <v>283909</v>
      </c>
      <c r="C24" s="119">
        <f>B9</f>
        <v>0.05</v>
      </c>
      <c r="D24" s="120"/>
      <c r="E24" s="86">
        <f>B24*C24</f>
        <v>14195.45</v>
      </c>
    </row>
    <row r="25" spans="1:5" ht="12.75">
      <c r="A25" s="85" t="s">
        <v>40</v>
      </c>
      <c r="B25" s="86">
        <f>61328+24976+216565+4451+2598+11784</f>
        <v>321702</v>
      </c>
      <c r="C25" s="119">
        <f>B10</f>
        <v>0.05</v>
      </c>
      <c r="D25" s="120"/>
      <c r="E25" s="86">
        <f>B25*C25</f>
        <v>16085.1</v>
      </c>
    </row>
    <row r="26" spans="1:5" ht="12.75">
      <c r="A26" s="85" t="s">
        <v>24</v>
      </c>
      <c r="B26" s="86">
        <f>540282*0.2</f>
        <v>108056.40000000001</v>
      </c>
      <c r="C26" s="119">
        <f>B11</f>
        <v>0.05</v>
      </c>
      <c r="D26" s="120"/>
      <c r="E26" s="86">
        <f>B26*C26</f>
        <v>5402.820000000001</v>
      </c>
    </row>
    <row r="27" spans="1:5" ht="12.75">
      <c r="A27" s="72" t="s">
        <v>25</v>
      </c>
      <c r="B27" s="88">
        <f>(171157+79954+73272+207544+15015+5169+6174)*0.2</f>
        <v>111657</v>
      </c>
      <c r="C27" s="129">
        <f>B12</f>
        <v>0.05</v>
      </c>
      <c r="D27" s="130"/>
      <c r="E27" s="88">
        <f>B27*C27</f>
        <v>5582.85</v>
      </c>
    </row>
    <row r="28" spans="1:5" ht="12.75">
      <c r="A28" s="56" t="s">
        <v>26</v>
      </c>
      <c r="B28" s="90">
        <f>SUM(B24:B27)</f>
        <v>825324.4</v>
      </c>
      <c r="C28" s="131"/>
      <c r="D28" s="132"/>
      <c r="E28" s="90">
        <f>SUM(E24:E27)</f>
        <v>41266.22</v>
      </c>
    </row>
    <row r="31" spans="1:2" ht="12.75">
      <c r="A31" s="98" t="s">
        <v>44</v>
      </c>
      <c r="B31" s="97" t="s">
        <v>58</v>
      </c>
    </row>
    <row r="32" spans="1:2" ht="12.75">
      <c r="A32" s="96"/>
      <c r="B32" s="97" t="s">
        <v>52</v>
      </c>
    </row>
    <row r="33" spans="1:2" ht="12.75">
      <c r="A33" s="96"/>
      <c r="B33" s="96"/>
    </row>
    <row r="34" spans="1:2" ht="12.75">
      <c r="A34" s="96"/>
      <c r="B34" s="96"/>
    </row>
    <row r="35" spans="1:2" ht="12.75">
      <c r="A35" s="96"/>
      <c r="B35" s="96"/>
    </row>
    <row r="37" ht="12.75">
      <c r="A37" s="29" t="s">
        <v>61</v>
      </c>
    </row>
    <row r="40" spans="1:6" ht="25.5">
      <c r="A40" s="55"/>
      <c r="B40" s="84" t="s">
        <v>57</v>
      </c>
      <c r="C40" s="121" t="s">
        <v>62</v>
      </c>
      <c r="D40" s="121"/>
      <c r="E40" s="84" t="s">
        <v>63</v>
      </c>
      <c r="F40" s="81"/>
    </row>
    <row r="41" spans="1:5" ht="12.75">
      <c r="A41" s="85" t="s">
        <v>39</v>
      </c>
      <c r="B41" s="86">
        <f>E24</f>
        <v>14195.45</v>
      </c>
      <c r="C41" s="123">
        <f>'evolutie 1999-2005'!C24</f>
        <v>0.38117953773121416</v>
      </c>
      <c r="D41" s="124"/>
      <c r="E41" s="86">
        <f>B41*$C$41</f>
        <v>5411.015068886564</v>
      </c>
    </row>
    <row r="42" spans="1:5" ht="12.75">
      <c r="A42" s="85" t="s">
        <v>40</v>
      </c>
      <c r="B42" s="86">
        <f>E25</f>
        <v>16085.1</v>
      </c>
      <c r="C42" s="125"/>
      <c r="D42" s="126"/>
      <c r="E42" s="86">
        <f>B42*$C$41</f>
        <v>6131.310982360353</v>
      </c>
    </row>
    <row r="43" spans="1:5" ht="12.75">
      <c r="A43" s="85" t="s">
        <v>24</v>
      </c>
      <c r="B43" s="86">
        <f>E26</f>
        <v>5402.820000000001</v>
      </c>
      <c r="C43" s="125"/>
      <c r="D43" s="126"/>
      <c r="E43" s="86">
        <f>B43*$C$41</f>
        <v>2059.4444300449586</v>
      </c>
    </row>
    <row r="44" spans="1:5" ht="12.75">
      <c r="A44" s="72" t="s">
        <v>25</v>
      </c>
      <c r="B44" s="86">
        <f>E27</f>
        <v>5582.85</v>
      </c>
      <c r="C44" s="127"/>
      <c r="D44" s="128"/>
      <c r="E44" s="86">
        <f>B44*$C$41</f>
        <v>2128.0681822227093</v>
      </c>
    </row>
    <row r="45" spans="1:5" ht="12.75">
      <c r="A45" s="56" t="s">
        <v>26</v>
      </c>
      <c r="B45" s="90">
        <f>E28</f>
        <v>41266.22</v>
      </c>
      <c r="C45" s="122"/>
      <c r="D45" s="122"/>
      <c r="E45" s="90">
        <f>SUM(E41:E44)</f>
        <v>15729.838663514583</v>
      </c>
    </row>
    <row r="48" ht="12.75">
      <c r="A48" s="29" t="s">
        <v>70</v>
      </c>
    </row>
    <row r="50" spans="1:5" ht="25.5">
      <c r="A50" s="55"/>
      <c r="B50" s="84" t="s">
        <v>71</v>
      </c>
      <c r="C50" s="133" t="s">
        <v>72</v>
      </c>
      <c r="D50" s="134"/>
      <c r="E50" s="84" t="s">
        <v>73</v>
      </c>
    </row>
    <row r="51" spans="1:5" ht="12.75">
      <c r="A51" s="85" t="s">
        <v>39</v>
      </c>
      <c r="B51" s="86">
        <f>E41</f>
        <v>5411.015068886564</v>
      </c>
      <c r="C51" s="136">
        <f>39385+59325+168982+6194+3580+14280</f>
        <v>291746</v>
      </c>
      <c r="D51" s="137"/>
      <c r="E51" s="102">
        <f>B51/C51</f>
        <v>0.018547006878882877</v>
      </c>
    </row>
    <row r="52" spans="1:5" ht="12.75">
      <c r="A52" s="85" t="s">
        <v>40</v>
      </c>
      <c r="B52" s="86">
        <f>E42</f>
        <v>6131.310982360353</v>
      </c>
      <c r="C52" s="138">
        <f>63724+25957+225970+4753+2562+12174</f>
        <v>335140</v>
      </c>
      <c r="D52" s="139"/>
      <c r="E52" s="102">
        <f>B52/C52</f>
        <v>0.01829477526514398</v>
      </c>
    </row>
    <row r="53" spans="1:5" ht="12.75">
      <c r="A53" s="85" t="s">
        <v>24</v>
      </c>
      <c r="B53" s="86">
        <f>E43</f>
        <v>2059.4444300449586</v>
      </c>
      <c r="C53" s="138">
        <f>554333*0.2</f>
        <v>110866.6</v>
      </c>
      <c r="D53" s="139"/>
      <c r="E53" s="102">
        <f>B53/C53</f>
        <v>0.01857587794741571</v>
      </c>
    </row>
    <row r="54" spans="1:5" ht="12.75">
      <c r="A54" s="72" t="s">
        <v>25</v>
      </c>
      <c r="B54" s="86">
        <f>E44</f>
        <v>2128.0681822227093</v>
      </c>
      <c r="C54" s="140">
        <f>(176804+6620+81251+74524+211105+15289+5259)*0.2</f>
        <v>114170.40000000001</v>
      </c>
      <c r="D54" s="141"/>
      <c r="E54" s="104">
        <f>B54/C54</f>
        <v>0.018639403752835317</v>
      </c>
    </row>
    <row r="55" spans="1:5" ht="12.75">
      <c r="A55" s="56" t="s">
        <v>26</v>
      </c>
      <c r="B55" s="90">
        <f>SUM(B51:B54)</f>
        <v>15729.838663514583</v>
      </c>
      <c r="C55" s="135">
        <f>SUM(C51:C54)</f>
        <v>851923</v>
      </c>
      <c r="D55" s="135"/>
      <c r="E55" s="103">
        <f>B55/C55</f>
        <v>0.018463920640145393</v>
      </c>
    </row>
  </sheetData>
  <mergeCells count="15">
    <mergeCell ref="C54:D54"/>
    <mergeCell ref="C55:D55"/>
    <mergeCell ref="C50:D50"/>
    <mergeCell ref="C51:D51"/>
    <mergeCell ref="C52:D52"/>
    <mergeCell ref="C53:D53"/>
    <mergeCell ref="C23:D23"/>
    <mergeCell ref="C24:D24"/>
    <mergeCell ref="C40:D40"/>
    <mergeCell ref="C45:D45"/>
    <mergeCell ref="C41:D44"/>
    <mergeCell ref="C27:D27"/>
    <mergeCell ref="C25:D25"/>
    <mergeCell ref="C26:D26"/>
    <mergeCell ref="C28:D2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8" sqref="B8"/>
    </sheetView>
  </sheetViews>
  <sheetFormatPr defaultColWidth="9.140625" defaultRowHeight="12.75"/>
  <cols>
    <col min="1" max="1" width="13.421875" style="0" customWidth="1"/>
    <col min="2" max="2" width="29.57421875" style="0" customWidth="1"/>
    <col min="3" max="3" width="12.140625" style="0" customWidth="1"/>
  </cols>
  <sheetData>
    <row r="1" ht="15.75">
      <c r="A1" s="27" t="s">
        <v>84</v>
      </c>
    </row>
    <row r="2" ht="12.75" customHeight="1">
      <c r="A2" s="27"/>
    </row>
    <row r="3" spans="1:2" ht="12.75" customHeight="1">
      <c r="A3" s="27"/>
      <c r="B3" s="117" t="s">
        <v>88</v>
      </c>
    </row>
    <row r="4" ht="12.75" customHeight="1">
      <c r="A4" s="27"/>
    </row>
    <row r="5" ht="12.75" customHeight="1">
      <c r="A5" s="101"/>
    </row>
    <row r="6" spans="1:2" ht="25.5">
      <c r="A6" s="55"/>
      <c r="B6" s="67" t="s">
        <v>33</v>
      </c>
    </row>
    <row r="7" spans="1:2" ht="12.75">
      <c r="A7" s="63"/>
      <c r="B7" s="69"/>
    </row>
    <row r="8" spans="1:2" ht="12.75">
      <c r="A8" s="64">
        <v>1999</v>
      </c>
      <c r="B8" s="70">
        <f>'1999'!C31</f>
        <v>0.21990940204787895</v>
      </c>
    </row>
    <row r="9" spans="1:2" ht="12.75">
      <c r="A9" s="64">
        <v>2000</v>
      </c>
      <c r="B9" s="70">
        <f>'2000'!C63</f>
        <v>0.36687699822669445</v>
      </c>
    </row>
    <row r="10" spans="1:2" ht="12.75">
      <c r="A10" s="64">
        <v>2001</v>
      </c>
      <c r="B10" s="70">
        <f>'2001'!C39</f>
        <v>0.3332857128740311</v>
      </c>
    </row>
    <row r="11" spans="1:2" ht="12.75">
      <c r="A11" s="64">
        <v>2002</v>
      </c>
      <c r="B11" s="70">
        <f>'2002'!B27</f>
        <v>0.3057427397260274</v>
      </c>
    </row>
    <row r="12" spans="1:2" ht="12.75">
      <c r="A12" s="64">
        <v>2003</v>
      </c>
      <c r="B12" s="71">
        <f>'2003'!B39</f>
        <v>0.3163180821917808</v>
      </c>
    </row>
    <row r="13" spans="1:2" ht="12.75">
      <c r="A13" s="64">
        <v>2004</v>
      </c>
      <c r="B13" s="71">
        <f>'2004'!F39</f>
        <v>0.37673278688524603</v>
      </c>
    </row>
    <row r="14" spans="1:2" ht="12.75">
      <c r="A14" s="64">
        <v>2005</v>
      </c>
      <c r="B14" s="70">
        <f>'2005'!B41</f>
        <v>0.5203356164383561</v>
      </c>
    </row>
    <row r="15" spans="1:2" ht="12.75" customHeight="1">
      <c r="A15" s="65"/>
      <c r="B15" s="72"/>
    </row>
    <row r="17" spans="1:3" ht="12.75">
      <c r="A17" s="68"/>
      <c r="B17" s="73"/>
      <c r="C17" s="78"/>
    </row>
    <row r="18" spans="1:3" ht="12.75">
      <c r="A18" s="74" t="s">
        <v>37</v>
      </c>
      <c r="B18" s="36"/>
      <c r="C18" s="79">
        <f>(B9-B8)/B8</f>
        <v>0.6683097439681889</v>
      </c>
    </row>
    <row r="19" spans="1:3" ht="12.75">
      <c r="A19" s="76"/>
      <c r="B19" s="66"/>
      <c r="C19" s="72"/>
    </row>
    <row r="20" spans="1:3" ht="12.75">
      <c r="A20" s="68"/>
      <c r="B20" s="73"/>
      <c r="C20" s="78"/>
    </row>
    <row r="21" spans="1:3" ht="12.75">
      <c r="A21" s="74" t="s">
        <v>34</v>
      </c>
      <c r="B21" s="36"/>
      <c r="C21" s="79">
        <f>(B13-B8)/B8</f>
        <v>0.7131272395676074</v>
      </c>
    </row>
    <row r="22" spans="1:3" ht="12.75">
      <c r="A22" s="77"/>
      <c r="B22" s="66"/>
      <c r="C22" s="80"/>
    </row>
    <row r="23" spans="1:3" ht="12.75">
      <c r="A23" s="75"/>
      <c r="B23" s="36"/>
      <c r="C23" s="79"/>
    </row>
    <row r="24" spans="1:3" ht="12.75">
      <c r="A24" s="74" t="s">
        <v>35</v>
      </c>
      <c r="B24" s="36"/>
      <c r="C24" s="79">
        <f>(B14-B13)/B13</f>
        <v>0.38117953773121416</v>
      </c>
    </row>
    <row r="25" spans="1:3" ht="12.75">
      <c r="A25" s="76"/>
      <c r="B25" s="66"/>
      <c r="C25" s="7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E16" sqref="E16"/>
    </sheetView>
  </sheetViews>
  <sheetFormatPr defaultColWidth="9.140625" defaultRowHeight="12.75" outlineLevelCol="1"/>
  <cols>
    <col min="1" max="1" width="5.7109375" style="0" customWidth="1"/>
    <col min="2" max="5" width="9.140625" style="0" hidden="1" customWidth="1" outlineLevel="1"/>
    <col min="6" max="6" width="12.8515625" style="0" customWidth="1" collapsed="1"/>
    <col min="7" max="7" width="12.28125" style="0" customWidth="1"/>
    <col min="8" max="8" width="9.421875" style="0" customWidth="1"/>
    <col min="9" max="9" width="16.7109375" style="0" customWidth="1"/>
    <col min="10" max="10" width="12.140625" style="0" customWidth="1"/>
    <col min="11" max="11" width="11.421875" style="0" customWidth="1"/>
  </cols>
  <sheetData>
    <row r="1" spans="1:5" ht="15.75">
      <c r="A1" s="27" t="s">
        <v>84</v>
      </c>
      <c r="B1" s="29"/>
      <c r="C1" s="29"/>
      <c r="D1" s="29"/>
      <c r="E1" s="29"/>
    </row>
    <row r="2" spans="1:5" ht="15.75">
      <c r="A2" s="27"/>
      <c r="B2" s="29"/>
      <c r="C2" s="29"/>
      <c r="D2" s="29"/>
      <c r="E2" s="29"/>
    </row>
    <row r="3" spans="1:6" ht="15.75">
      <c r="A3" s="27"/>
      <c r="B3" s="29"/>
      <c r="C3" s="29"/>
      <c r="D3" s="29"/>
      <c r="E3" s="29"/>
      <c r="F3" s="117" t="s">
        <v>89</v>
      </c>
    </row>
    <row r="5" spans="1:11" ht="12.75">
      <c r="A5" s="55"/>
      <c r="B5" s="107" t="s">
        <v>77</v>
      </c>
      <c r="C5" s="107" t="s">
        <v>78</v>
      </c>
      <c r="D5" s="107" t="s">
        <v>24</v>
      </c>
      <c r="E5" s="107" t="s">
        <v>79</v>
      </c>
      <c r="F5" s="131" t="s">
        <v>74</v>
      </c>
      <c r="G5" s="142"/>
      <c r="H5" s="142"/>
      <c r="I5" s="131" t="s">
        <v>75</v>
      </c>
      <c r="J5" s="142"/>
      <c r="K5" s="132"/>
    </row>
    <row r="6" spans="1:11" ht="25.5">
      <c r="A6" s="85"/>
      <c r="B6" s="85"/>
      <c r="C6" s="85"/>
      <c r="D6" s="85"/>
      <c r="E6" s="85"/>
      <c r="F6" s="67" t="s">
        <v>81</v>
      </c>
      <c r="G6" s="106" t="s">
        <v>76</v>
      </c>
      <c r="H6" s="106" t="s">
        <v>82</v>
      </c>
      <c r="I6" s="67" t="s">
        <v>80</v>
      </c>
      <c r="J6" s="106" t="s">
        <v>76</v>
      </c>
      <c r="K6" s="67" t="s">
        <v>83</v>
      </c>
    </row>
    <row r="7" spans="1:11" ht="12.75">
      <c r="A7" s="64">
        <v>1999</v>
      </c>
      <c r="B7" s="108">
        <f>'simulatie kostprijs (rapport)'!E8</f>
        <v>229389</v>
      </c>
      <c r="C7" s="108">
        <f>'simulatie kostprijs (rapport)'!E9</f>
        <v>280874</v>
      </c>
      <c r="D7" s="108">
        <f>'simulatie kostprijs (rapport)'!E10</f>
        <v>96571.40000000001</v>
      </c>
      <c r="E7" s="108">
        <f>'simulatie kostprijs (rapport)'!E11</f>
        <v>97801.8</v>
      </c>
      <c r="F7" s="112">
        <f aca="true" t="shared" si="0" ref="F7:F13">SUM(B7:E7)</f>
        <v>704636.2000000001</v>
      </c>
      <c r="G7" s="110"/>
      <c r="H7" s="110">
        <f>F7/F7</f>
        <v>1</v>
      </c>
      <c r="I7" s="113">
        <f>'evolutie 1999-2005'!B8</f>
        <v>0.21990940204787895</v>
      </c>
      <c r="J7" s="111"/>
      <c r="K7" s="110">
        <f>I7/I7</f>
        <v>1</v>
      </c>
    </row>
    <row r="8" spans="1:11" ht="12.75">
      <c r="A8" s="64">
        <v>2000</v>
      </c>
      <c r="B8" s="108">
        <f>39836+49886+143736+6296+2794+10835</f>
        <v>253383</v>
      </c>
      <c r="C8" s="108">
        <f>60303+22734+198330+3158+2650+10746</f>
        <v>297921</v>
      </c>
      <c r="D8" s="108">
        <f>496330*0.2</f>
        <v>99266</v>
      </c>
      <c r="E8" s="108">
        <f>(147846+21718+67011+192370+21465+28361+17236+4968)*0.2</f>
        <v>100195</v>
      </c>
      <c r="F8" s="112">
        <f t="shared" si="0"/>
        <v>750765</v>
      </c>
      <c r="G8" s="110">
        <f aca="true" t="shared" si="1" ref="G8:G13">(F8-F7)/F7</f>
        <v>0.06546470363004331</v>
      </c>
      <c r="H8" s="110">
        <f aca="true" t="shared" si="2" ref="H8:H13">F8/$F$7</f>
        <v>1.0654647036300433</v>
      </c>
      <c r="I8" s="114">
        <f>'evolutie 1999-2005'!B9</f>
        <v>0.36687699822669445</v>
      </c>
      <c r="J8" s="87">
        <f aca="true" t="shared" si="3" ref="J8:J13">(I8-I7)/I7</f>
        <v>0.6683097439681889</v>
      </c>
      <c r="K8" s="110">
        <f aca="true" t="shared" si="4" ref="K8:K13">I8/$I$7</f>
        <v>1.6683097439681889</v>
      </c>
    </row>
    <row r="9" spans="1:11" ht="12.75">
      <c r="A9" s="64">
        <v>2001</v>
      </c>
      <c r="B9" s="108">
        <f>40196+53766+152886+6329+3109+11936</f>
        <v>268222</v>
      </c>
      <c r="C9" s="108">
        <f>59271+23252+201748+3421+2660+10868</f>
        <v>301220</v>
      </c>
      <c r="D9" s="108">
        <f>493668*0.2</f>
        <v>98733.6</v>
      </c>
      <c r="E9" s="108">
        <f>(155841+22323+69284+196875+21978+29303+17833+4804+87)*0.2</f>
        <v>103665.6</v>
      </c>
      <c r="F9" s="112">
        <f t="shared" si="0"/>
        <v>771841.2</v>
      </c>
      <c r="G9" s="110">
        <f t="shared" si="1"/>
        <v>0.028072965575113323</v>
      </c>
      <c r="H9" s="110">
        <f t="shared" si="2"/>
        <v>1.0953754575765478</v>
      </c>
      <c r="I9" s="114">
        <f>'evolutie 1999-2005'!B10</f>
        <v>0.3332857128740311</v>
      </c>
      <c r="J9" s="87">
        <f t="shared" si="3"/>
        <v>-0.09156007467087704</v>
      </c>
      <c r="K9" s="110">
        <f t="shared" si="4"/>
        <v>1.5155591792363097</v>
      </c>
    </row>
    <row r="10" spans="1:11" ht="12.75">
      <c r="A10" s="64">
        <v>2002</v>
      </c>
      <c r="B10" s="108">
        <f>41296+57253+161427+6419+3389+12919</f>
        <v>282703</v>
      </c>
      <c r="C10" s="108">
        <f>59748+24088+212556+3787+2699+10954</f>
        <v>313832</v>
      </c>
      <c r="D10" s="108">
        <f>504396*0.2</f>
        <v>100879.20000000001</v>
      </c>
      <c r="E10" s="108">
        <f>(161344+70551+200420+13886+4871+73924+5202)*0.2</f>
        <v>106039.6</v>
      </c>
      <c r="F10" s="112">
        <f t="shared" si="0"/>
        <v>803453.7999999999</v>
      </c>
      <c r="G10" s="110">
        <f t="shared" si="1"/>
        <v>0.040957388644192586</v>
      </c>
      <c r="H10" s="110">
        <f t="shared" si="2"/>
        <v>1.1402391759038208</v>
      </c>
      <c r="I10" s="114">
        <f>'evolutie 1999-2005'!B11</f>
        <v>0.3057427397260274</v>
      </c>
      <c r="J10" s="87">
        <f t="shared" si="3"/>
        <v>-0.0826407256119432</v>
      </c>
      <c r="K10" s="110">
        <f t="shared" si="4"/>
        <v>1.39031226895638</v>
      </c>
    </row>
    <row r="11" spans="1:11" ht="12.75">
      <c r="A11" s="64">
        <v>2003</v>
      </c>
      <c r="B11" s="108">
        <f>44202+62253+180548+6951+3838+14608</f>
        <v>312400</v>
      </c>
      <c r="C11" s="108">
        <f>59337+23699+205033+4091+2604+11381</f>
        <v>306145</v>
      </c>
      <c r="D11" s="108">
        <f>523671*0.2</f>
        <v>104734.20000000001</v>
      </c>
      <c r="E11" s="108">
        <f>(166422+78177+72044+204136+14661+5068+5898)*0.2</f>
        <v>109281.20000000001</v>
      </c>
      <c r="F11" s="112">
        <f t="shared" si="0"/>
        <v>832560.3999999999</v>
      </c>
      <c r="G11" s="110">
        <f t="shared" si="1"/>
        <v>0.03622684963342009</v>
      </c>
      <c r="H11" s="110">
        <f t="shared" si="2"/>
        <v>1.1815464490754233</v>
      </c>
      <c r="I11" s="114">
        <f>'evolutie 1999-2005'!B12</f>
        <v>0.3163180821917808</v>
      </c>
      <c r="J11" s="87">
        <f t="shared" si="3"/>
        <v>0.03458902237622999</v>
      </c>
      <c r="K11" s="110">
        <f t="shared" si="4"/>
        <v>1.4384018111372594</v>
      </c>
    </row>
    <row r="12" spans="1:11" ht="12.75">
      <c r="A12" s="64">
        <v>2004</v>
      </c>
      <c r="B12" s="108">
        <f>'simulatie kostprijs (rapport)'!B29</f>
        <v>283909</v>
      </c>
      <c r="C12" s="108">
        <f>'simulatie kostprijs (rapport)'!B30</f>
        <v>321702</v>
      </c>
      <c r="D12" s="108">
        <f>'simulatie kostprijs (rapport)'!B31</f>
        <v>108056.40000000001</v>
      </c>
      <c r="E12" s="108">
        <f>'simulatie kostprijs (rapport)'!B32</f>
        <v>111657</v>
      </c>
      <c r="F12" s="112">
        <f t="shared" si="0"/>
        <v>825324.4</v>
      </c>
      <c r="G12" s="110">
        <f t="shared" si="1"/>
        <v>-0.00869126131869818</v>
      </c>
      <c r="H12" s="110">
        <f t="shared" si="2"/>
        <v>1.171277320126329</v>
      </c>
      <c r="I12" s="114">
        <f>'evolutie 1999-2005'!B13</f>
        <v>0.37673278688524603</v>
      </c>
      <c r="J12" s="87">
        <f t="shared" si="3"/>
        <v>0.19099352232679612</v>
      </c>
      <c r="K12" s="110">
        <f t="shared" si="4"/>
        <v>1.7131272395676074</v>
      </c>
    </row>
    <row r="13" spans="1:11" ht="12.75">
      <c r="A13" s="105">
        <v>2005</v>
      </c>
      <c r="B13" s="109">
        <f>39385+59325+168982+6194+3580+14280</f>
        <v>291746</v>
      </c>
      <c r="C13" s="109">
        <f>63724+25957+225970+4753+2562+12174</f>
        <v>335140</v>
      </c>
      <c r="D13" s="109">
        <f>554333*0.2</f>
        <v>110866.6</v>
      </c>
      <c r="E13" s="109">
        <f>(176804+81251+74524+211105+15289+5259+6620)*0.2</f>
        <v>114170.40000000001</v>
      </c>
      <c r="F13" s="115">
        <f t="shared" si="0"/>
        <v>851923</v>
      </c>
      <c r="G13" s="89">
        <f t="shared" si="1"/>
        <v>0.032228054810932494</v>
      </c>
      <c r="H13" s="89">
        <f t="shared" si="2"/>
        <v>1.2090253097981625</v>
      </c>
      <c r="I13" s="116">
        <f>'evolutie 1999-2005'!B14</f>
        <v>0.5203356164383561</v>
      </c>
      <c r="J13" s="89">
        <f t="shared" si="3"/>
        <v>0.38117953773121416</v>
      </c>
      <c r="K13" s="89">
        <f t="shared" si="4"/>
        <v>2.366136288820739</v>
      </c>
    </row>
  </sheetData>
  <mergeCells count="2">
    <mergeCell ref="I5:K5"/>
    <mergeCell ref="F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9" customWidth="1"/>
    <col min="2" max="2" width="14.140625" style="10" customWidth="1"/>
    <col min="3" max="3" width="14.8515625" style="1" customWidth="1"/>
    <col min="4" max="4" width="16.8515625" style="1" bestFit="1" customWidth="1"/>
    <col min="5" max="6" width="9.140625" style="1" customWidth="1"/>
    <col min="7" max="7" width="10.00390625" style="1" customWidth="1" collapsed="1"/>
    <col min="8" max="11" width="9.140625" style="1" customWidth="1"/>
    <col min="12" max="12" width="9.140625" style="1" customWidth="1" collapsed="1"/>
    <col min="13" max="16384" width="9.140625" style="1" customWidth="1"/>
  </cols>
  <sheetData>
    <row r="1" spans="1:7" ht="18">
      <c r="A1" s="50" t="s">
        <v>32</v>
      </c>
      <c r="B1" s="51"/>
      <c r="C1" s="52"/>
      <c r="D1" s="52"/>
      <c r="E1" s="52"/>
      <c r="F1" s="52"/>
      <c r="G1" s="52"/>
    </row>
    <row r="3" spans="1:4" ht="12.75">
      <c r="A3" s="143"/>
      <c r="B3" s="39" t="s">
        <v>2</v>
      </c>
      <c r="C3" s="40" t="s">
        <v>20</v>
      </c>
      <c r="D3" s="41" t="s">
        <v>22</v>
      </c>
    </row>
    <row r="4" spans="1:4" s="2" customFormat="1" ht="12.75">
      <c r="A4" s="144"/>
      <c r="B4" s="42" t="s">
        <v>11</v>
      </c>
      <c r="C4" s="43"/>
      <c r="D4" s="43"/>
    </row>
    <row r="5" spans="1:4" s="2" customFormat="1" ht="12.75">
      <c r="A5" s="145"/>
      <c r="B5" s="44" t="s">
        <v>8</v>
      </c>
      <c r="C5" s="45"/>
      <c r="D5" s="45"/>
    </row>
    <row r="7" spans="1:2" s="3" customFormat="1" ht="12.75">
      <c r="A7" s="14" t="s">
        <v>31</v>
      </c>
      <c r="B7" s="15">
        <v>0.3819</v>
      </c>
    </row>
    <row r="9" spans="1:4" ht="12.75">
      <c r="A9" s="38">
        <v>38353</v>
      </c>
      <c r="B9" s="30">
        <v>0.3819</v>
      </c>
      <c r="C9" s="8">
        <f>A10-A9</f>
        <v>6</v>
      </c>
      <c r="D9" s="8">
        <f>B9*C9</f>
        <v>2.2914000000000003</v>
      </c>
    </row>
    <row r="10" spans="1:4" s="8" customFormat="1" ht="12.75">
      <c r="A10" s="38">
        <v>38359</v>
      </c>
      <c r="B10" s="30">
        <v>0.3732</v>
      </c>
      <c r="C10" s="8">
        <f aca="true" t="shared" si="0" ref="C10:C34">A11-A10</f>
        <v>7</v>
      </c>
      <c r="D10" s="8">
        <f>B10*C10</f>
        <v>2.6124</v>
      </c>
    </row>
    <row r="11" spans="1:4" s="8" customFormat="1" ht="12.75">
      <c r="A11" s="38">
        <v>38366</v>
      </c>
      <c r="B11" s="30">
        <v>0.3842</v>
      </c>
      <c r="C11" s="8">
        <f t="shared" si="0"/>
        <v>6</v>
      </c>
      <c r="D11" s="8">
        <f>B11*C11</f>
        <v>2.3052</v>
      </c>
    </row>
    <row r="12" spans="1:4" s="8" customFormat="1" ht="12.75">
      <c r="A12" s="48">
        <v>38372</v>
      </c>
      <c r="B12" s="47">
        <v>0.4006</v>
      </c>
      <c r="C12" s="8">
        <f t="shared" si="0"/>
        <v>8</v>
      </c>
      <c r="D12" s="8">
        <f aca="true" t="shared" si="1" ref="D12:D38">B12*C12</f>
        <v>3.2048</v>
      </c>
    </row>
    <row r="13" spans="1:4" s="8" customFormat="1" ht="12.75">
      <c r="A13" s="48">
        <v>38380</v>
      </c>
      <c r="B13" s="47">
        <v>0.4238</v>
      </c>
      <c r="C13" s="8">
        <f t="shared" si="0"/>
        <v>7</v>
      </c>
      <c r="D13" s="8">
        <f t="shared" si="1"/>
        <v>2.9666</v>
      </c>
    </row>
    <row r="14" spans="1:4" s="8" customFormat="1" ht="12.75">
      <c r="A14" s="48">
        <v>38387</v>
      </c>
      <c r="B14" s="47">
        <v>0.4068</v>
      </c>
      <c r="C14" s="8">
        <f t="shared" si="0"/>
        <v>19</v>
      </c>
      <c r="D14" s="8">
        <f t="shared" si="1"/>
        <v>7.7292</v>
      </c>
    </row>
    <row r="15" spans="1:4" s="8" customFormat="1" ht="12.75">
      <c r="A15" s="48">
        <v>38406</v>
      </c>
      <c r="B15" s="47">
        <v>0.4298</v>
      </c>
      <c r="C15" s="8">
        <f t="shared" si="0"/>
        <v>6</v>
      </c>
      <c r="D15" s="8">
        <f t="shared" si="1"/>
        <v>2.5788</v>
      </c>
    </row>
    <row r="16" spans="1:4" s="8" customFormat="1" ht="12.75">
      <c r="A16" s="48">
        <v>38412</v>
      </c>
      <c r="B16" s="47">
        <v>0.4332</v>
      </c>
      <c r="C16" s="8">
        <f t="shared" si="0"/>
        <v>1</v>
      </c>
      <c r="D16" s="8">
        <f t="shared" si="1"/>
        <v>0.4332</v>
      </c>
    </row>
    <row r="17" spans="1:4" s="8" customFormat="1" ht="12.75">
      <c r="A17" s="48">
        <v>38413</v>
      </c>
      <c r="B17" s="47">
        <v>0.4572</v>
      </c>
      <c r="C17" s="8">
        <f t="shared" si="0"/>
        <v>8</v>
      </c>
      <c r="D17" s="8">
        <f t="shared" si="1"/>
        <v>3.6576</v>
      </c>
    </row>
    <row r="18" spans="1:4" s="8" customFormat="1" ht="12.75">
      <c r="A18" s="48">
        <v>38421</v>
      </c>
      <c r="B18" s="47">
        <v>0.4753</v>
      </c>
      <c r="C18" s="8">
        <f t="shared" si="0"/>
        <v>15</v>
      </c>
      <c r="D18" s="8">
        <f t="shared" si="1"/>
        <v>7.1295</v>
      </c>
    </row>
    <row r="19" spans="1:4" s="8" customFormat="1" ht="12.75">
      <c r="A19" s="48">
        <v>38436</v>
      </c>
      <c r="B19" s="47">
        <v>0.4826</v>
      </c>
      <c r="C19" s="8">
        <f t="shared" si="0"/>
        <v>11</v>
      </c>
      <c r="D19" s="8">
        <f t="shared" si="1"/>
        <v>5.308599999999999</v>
      </c>
    </row>
    <row r="20" spans="1:4" s="8" customFormat="1" ht="12.75">
      <c r="A20" s="48">
        <v>38447</v>
      </c>
      <c r="B20" s="47">
        <v>0.5131</v>
      </c>
      <c r="C20" s="8">
        <f t="shared" si="0"/>
        <v>9</v>
      </c>
      <c r="D20" s="8">
        <f t="shared" si="1"/>
        <v>4.6179</v>
      </c>
    </row>
    <row r="21" spans="1:4" s="8" customFormat="1" ht="12.75">
      <c r="A21" s="48">
        <v>38456</v>
      </c>
      <c r="B21" s="47">
        <v>0.479</v>
      </c>
      <c r="C21" s="8">
        <f t="shared" si="0"/>
        <v>26</v>
      </c>
      <c r="D21" s="8">
        <f t="shared" si="1"/>
        <v>12.453999999999999</v>
      </c>
    </row>
    <row r="22" spans="1:4" s="8" customFormat="1" ht="12.75">
      <c r="A22" s="48">
        <v>38482</v>
      </c>
      <c r="B22" s="47">
        <v>0.4654</v>
      </c>
      <c r="C22" s="8">
        <f t="shared" si="0"/>
        <v>8</v>
      </c>
      <c r="D22" s="8">
        <f t="shared" si="1"/>
        <v>3.7232</v>
      </c>
    </row>
    <row r="23" spans="1:4" s="8" customFormat="1" ht="12.75">
      <c r="A23" s="48">
        <v>38490</v>
      </c>
      <c r="B23" s="47">
        <v>0.4446</v>
      </c>
      <c r="C23" s="8">
        <f t="shared" si="0"/>
        <v>9</v>
      </c>
      <c r="D23" s="8">
        <f t="shared" si="1"/>
        <v>4.0014</v>
      </c>
    </row>
    <row r="24" spans="1:4" s="8" customFormat="1" ht="12.75">
      <c r="A24" s="48">
        <v>38499</v>
      </c>
      <c r="B24" s="47">
        <v>0.468</v>
      </c>
      <c r="C24" s="8">
        <f t="shared" si="0"/>
        <v>8</v>
      </c>
      <c r="D24" s="8">
        <f t="shared" si="1"/>
        <v>3.744</v>
      </c>
    </row>
    <row r="25" spans="1:4" s="8" customFormat="1" ht="12.75">
      <c r="A25" s="48">
        <v>38507</v>
      </c>
      <c r="B25" s="47">
        <v>0.5092</v>
      </c>
      <c r="C25" s="8">
        <f t="shared" si="0"/>
        <v>10</v>
      </c>
      <c r="D25" s="8">
        <f t="shared" si="1"/>
        <v>5.092</v>
      </c>
    </row>
    <row r="26" spans="1:4" s="8" customFormat="1" ht="12.75">
      <c r="A26" s="48">
        <v>38517</v>
      </c>
      <c r="B26" s="47">
        <v>0.5298</v>
      </c>
      <c r="C26" s="8">
        <f t="shared" si="0"/>
        <v>8</v>
      </c>
      <c r="D26" s="8">
        <f t="shared" si="1"/>
        <v>4.2384</v>
      </c>
    </row>
    <row r="27" spans="1:4" s="8" customFormat="1" ht="12.75">
      <c r="A27" s="48">
        <v>38525</v>
      </c>
      <c r="B27" s="47">
        <v>0.5397</v>
      </c>
      <c r="C27" s="8">
        <f t="shared" si="0"/>
        <v>14</v>
      </c>
      <c r="D27" s="8">
        <f t="shared" si="1"/>
        <v>7.5558</v>
      </c>
    </row>
    <row r="28" spans="1:4" s="8" customFormat="1" ht="12.75">
      <c r="A28" s="48">
        <v>38539</v>
      </c>
      <c r="B28" s="47">
        <v>0.5685</v>
      </c>
      <c r="C28" s="8">
        <f t="shared" si="0"/>
        <v>10</v>
      </c>
      <c r="D28" s="8">
        <f t="shared" si="1"/>
        <v>5.6850000000000005</v>
      </c>
    </row>
    <row r="29" spans="1:4" s="8" customFormat="1" ht="12.75">
      <c r="A29" s="48">
        <v>38549</v>
      </c>
      <c r="B29" s="47">
        <v>0.5455</v>
      </c>
      <c r="C29" s="8">
        <f t="shared" si="0"/>
        <v>10</v>
      </c>
      <c r="D29" s="8">
        <f t="shared" si="1"/>
        <v>5.455</v>
      </c>
    </row>
    <row r="30" spans="1:4" s="8" customFormat="1" ht="12.75">
      <c r="A30" s="48">
        <v>38559</v>
      </c>
      <c r="B30" s="47">
        <v>0.5309</v>
      </c>
      <c r="C30" s="8">
        <f t="shared" si="0"/>
        <v>8</v>
      </c>
      <c r="D30" s="8">
        <f t="shared" si="1"/>
        <v>4.2472</v>
      </c>
    </row>
    <row r="31" spans="1:4" s="8" customFormat="1" ht="12.75">
      <c r="A31" s="48">
        <v>38567</v>
      </c>
      <c r="B31" s="47">
        <v>0.5493</v>
      </c>
      <c r="C31" s="8">
        <f t="shared" si="0"/>
        <v>10</v>
      </c>
      <c r="D31" s="8">
        <f t="shared" si="1"/>
        <v>5.493</v>
      </c>
    </row>
    <row r="32" spans="1:4" s="8" customFormat="1" ht="12.75">
      <c r="A32" s="48">
        <v>38577</v>
      </c>
      <c r="B32" s="47">
        <v>0.5929</v>
      </c>
      <c r="C32" s="8">
        <f t="shared" si="0"/>
        <v>6</v>
      </c>
      <c r="D32" s="8">
        <f t="shared" si="1"/>
        <v>3.5574</v>
      </c>
    </row>
    <row r="33" spans="1:4" s="8" customFormat="1" ht="12.75">
      <c r="A33" s="48">
        <v>38583</v>
      </c>
      <c r="B33" s="47">
        <v>0.5777</v>
      </c>
      <c r="C33" s="8">
        <f t="shared" si="0"/>
        <v>7</v>
      </c>
      <c r="D33" s="8">
        <f t="shared" si="1"/>
        <v>4.0439</v>
      </c>
    </row>
    <row r="34" spans="1:4" s="8" customFormat="1" ht="12.75">
      <c r="A34" s="48">
        <v>38590</v>
      </c>
      <c r="B34" s="47">
        <v>0.5965</v>
      </c>
      <c r="C34" s="8">
        <f t="shared" si="0"/>
        <v>7</v>
      </c>
      <c r="D34" s="8">
        <f t="shared" si="1"/>
        <v>4.1755</v>
      </c>
    </row>
    <row r="35" spans="1:4" s="8" customFormat="1" ht="12.75">
      <c r="A35" s="38">
        <v>38597</v>
      </c>
      <c r="B35" s="30">
        <v>0.6392</v>
      </c>
      <c r="C35" s="8">
        <v>4</v>
      </c>
      <c r="D35" s="8">
        <f t="shared" si="1"/>
        <v>2.5568</v>
      </c>
    </row>
    <row r="36" spans="1:4" s="8" customFormat="1" ht="12.75">
      <c r="A36" s="38">
        <v>38601</v>
      </c>
      <c r="B36" s="30">
        <v>0.6219</v>
      </c>
      <c r="C36" s="8">
        <v>8</v>
      </c>
      <c r="D36" s="8">
        <f t="shared" si="1"/>
        <v>4.9752</v>
      </c>
    </row>
    <row r="37" spans="1:4" s="8" customFormat="1" ht="12.75">
      <c r="A37" s="38">
        <v>38609</v>
      </c>
      <c r="B37" s="30">
        <v>0.5707</v>
      </c>
      <c r="C37" s="8">
        <v>2</v>
      </c>
      <c r="D37" s="8">
        <f t="shared" si="1"/>
        <v>1.1414</v>
      </c>
    </row>
    <row r="38" spans="1:4" s="8" customFormat="1" ht="12.75">
      <c r="A38" s="38">
        <v>38611</v>
      </c>
      <c r="B38" s="30">
        <v>0.5883</v>
      </c>
      <c r="C38" s="8">
        <v>107</v>
      </c>
      <c r="D38" s="8">
        <f t="shared" si="1"/>
        <v>62.948100000000004</v>
      </c>
    </row>
    <row r="39" spans="1:2" s="8" customFormat="1" ht="12.75">
      <c r="A39" s="38"/>
      <c r="B39" s="30"/>
    </row>
    <row r="40" spans="1:2" s="8" customFormat="1" ht="12.75">
      <c r="A40" s="38"/>
      <c r="B40" s="30"/>
    </row>
    <row r="41" spans="1:4" ht="25.5">
      <c r="A41" s="32" t="s">
        <v>21</v>
      </c>
      <c r="B41" s="23">
        <f>D41/C41</f>
        <v>0.5203356164383561</v>
      </c>
      <c r="C41" s="1">
        <f>SUM(C9:C40)</f>
        <v>365</v>
      </c>
      <c r="D41" s="1">
        <f>SUM(D9:D40)</f>
        <v>189.92249999999999</v>
      </c>
    </row>
    <row r="45" ht="12.75">
      <c r="A45" s="46" t="s">
        <v>30</v>
      </c>
    </row>
  </sheetData>
  <mergeCells count="1">
    <mergeCell ref="A3:A5"/>
  </mergeCells>
  <printOptions horizontalCentered="1"/>
  <pageMargins left="0.65" right="0.48" top="0.984251968503937" bottom="1.31" header="0.53" footer="0.85"/>
  <pageSetup fitToHeight="1" fitToWidth="1" horizontalDpi="600" verticalDpi="600" orientation="portrait" paperSize="9" scale="98" r:id="rId1"/>
  <headerFooter alignWithMargins="0">
    <oddHeader>&amp;L&amp;D&amp;R&amp;F</oddHeader>
    <oddFooter>&amp;LDepartement Onderwijs&amp;RAfdeling Begroting en Gegevensbeheer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0.140625" style="9" customWidth="1"/>
    <col min="2" max="2" width="14.140625" style="10" hidden="1" customWidth="1" outlineLevel="1"/>
    <col min="3" max="3" width="14.140625" style="10" hidden="1" customWidth="1" outlineLevel="1" collapsed="1"/>
    <col min="4" max="5" width="14.140625" style="10" hidden="1" customWidth="1" outlineLevel="1"/>
    <col min="6" max="6" width="14.140625" style="10" customWidth="1" collapsed="1"/>
    <col min="7" max="10" width="14.140625" style="10" hidden="1" customWidth="1" outlineLevel="1"/>
    <col min="11" max="11" width="15.57421875" style="10" hidden="1" customWidth="1" outlineLevel="1"/>
    <col min="12" max="12" width="14.8515625" style="1" customWidth="1" collapsed="1"/>
    <col min="13" max="13" width="16.8515625" style="1" bestFit="1" customWidth="1"/>
    <col min="14" max="16384" width="9.140625" style="1" customWidth="1"/>
  </cols>
  <sheetData>
    <row r="1" spans="1:11" ht="39.75" customHeight="1" thickBot="1" thickTop="1">
      <c r="A1" s="156" t="s">
        <v>15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ht="14.25" thickBot="1" thickTop="1"/>
    <row r="3" spans="1:13" ht="39" thickTop="1">
      <c r="A3" s="146"/>
      <c r="B3" s="11" t="s">
        <v>4</v>
      </c>
      <c r="C3" s="11" t="s">
        <v>5</v>
      </c>
      <c r="D3" s="11" t="s">
        <v>0</v>
      </c>
      <c r="E3" s="11" t="s">
        <v>1</v>
      </c>
      <c r="F3" s="18" t="s">
        <v>2</v>
      </c>
      <c r="G3" s="11" t="s">
        <v>3</v>
      </c>
      <c r="H3" s="11" t="s">
        <v>13</v>
      </c>
      <c r="I3" s="11" t="s">
        <v>6</v>
      </c>
      <c r="J3" s="11" t="s">
        <v>7</v>
      </c>
      <c r="K3" s="11" t="s">
        <v>14</v>
      </c>
      <c r="L3" s="22" t="s">
        <v>20</v>
      </c>
      <c r="M3" s="21" t="s">
        <v>22</v>
      </c>
    </row>
    <row r="4" spans="1:11" s="2" customFormat="1" ht="12.75">
      <c r="A4" s="147"/>
      <c r="B4" s="6"/>
      <c r="C4" s="6" t="s">
        <v>12</v>
      </c>
      <c r="D4" s="6" t="s">
        <v>12</v>
      </c>
      <c r="E4" s="6"/>
      <c r="F4" s="19" t="s">
        <v>11</v>
      </c>
      <c r="G4" s="6" t="s">
        <v>11</v>
      </c>
      <c r="H4" s="6"/>
      <c r="I4" s="6"/>
      <c r="J4" s="6" t="s">
        <v>11</v>
      </c>
      <c r="K4" s="6"/>
    </row>
    <row r="5" spans="1:11" s="2" customFormat="1" ht="13.5" thickBot="1">
      <c r="A5" s="148"/>
      <c r="B5" s="7" t="s">
        <v>8</v>
      </c>
      <c r="C5" s="7" t="s">
        <v>8</v>
      </c>
      <c r="D5" s="7" t="s">
        <v>8</v>
      </c>
      <c r="E5" s="7" t="s">
        <v>8</v>
      </c>
      <c r="F5" s="20" t="s">
        <v>8</v>
      </c>
      <c r="G5" s="7" t="s">
        <v>8</v>
      </c>
      <c r="H5" s="7" t="s">
        <v>10</v>
      </c>
      <c r="I5" s="7" t="s">
        <v>10</v>
      </c>
      <c r="J5" s="7" t="s">
        <v>8</v>
      </c>
      <c r="K5" s="7" t="s">
        <v>9</v>
      </c>
    </row>
    <row r="6" ht="13.5" thickTop="1"/>
    <row r="7" spans="1:11" s="3" customFormat="1" ht="12.75">
      <c r="A7" s="14" t="s">
        <v>16</v>
      </c>
      <c r="B7" s="15">
        <v>1.019</v>
      </c>
      <c r="C7" s="15">
        <v>1.047</v>
      </c>
      <c r="D7" s="15">
        <v>0.768</v>
      </c>
      <c r="E7" s="15">
        <v>0.361</v>
      </c>
      <c r="F7" s="15">
        <v>0.3087</v>
      </c>
      <c r="G7" s="16">
        <v>0.3238</v>
      </c>
      <c r="H7" s="15">
        <v>1.2775</v>
      </c>
      <c r="I7" s="15">
        <v>1.3248</v>
      </c>
      <c r="J7" s="15">
        <v>0.3676</v>
      </c>
      <c r="K7" s="15">
        <v>175</v>
      </c>
    </row>
    <row r="9" spans="1:13" ht="12.75">
      <c r="A9" s="38">
        <v>37987</v>
      </c>
      <c r="B9" s="30"/>
      <c r="C9" s="30"/>
      <c r="D9" s="30"/>
      <c r="E9" s="30"/>
      <c r="F9" s="30">
        <v>0.3087</v>
      </c>
      <c r="G9" s="30"/>
      <c r="H9" s="30"/>
      <c r="I9" s="30"/>
      <c r="J9" s="30"/>
      <c r="K9" s="30"/>
      <c r="L9" s="8">
        <f>A10-A9</f>
        <v>9</v>
      </c>
      <c r="M9" s="8">
        <f>F9*L9</f>
        <v>2.7782999999999998</v>
      </c>
    </row>
    <row r="10" spans="1:13" s="8" customFormat="1" ht="12.75">
      <c r="A10" s="38">
        <v>37996</v>
      </c>
      <c r="B10" s="30"/>
      <c r="C10" s="30"/>
      <c r="D10" s="30"/>
      <c r="E10" s="30"/>
      <c r="F10" s="30">
        <v>0.32</v>
      </c>
      <c r="G10" s="30">
        <v>0.3302</v>
      </c>
      <c r="H10" s="30"/>
      <c r="I10" s="30"/>
      <c r="J10" s="30"/>
      <c r="K10" s="30"/>
      <c r="L10" s="8">
        <f aca="true" t="shared" si="0" ref="L10:L36">A11-A10</f>
        <v>21</v>
      </c>
      <c r="M10" s="8">
        <f aca="true" t="shared" si="1" ref="M10:M25">F10*L10</f>
        <v>6.72</v>
      </c>
    </row>
    <row r="11" spans="1:13" s="8" customFormat="1" ht="12.75">
      <c r="A11" s="38">
        <v>38017</v>
      </c>
      <c r="B11" s="30"/>
      <c r="C11" s="30"/>
      <c r="D11" s="30"/>
      <c r="E11" s="30"/>
      <c r="F11" s="30">
        <v>0.2999</v>
      </c>
      <c r="G11" s="30">
        <v>0.3096</v>
      </c>
      <c r="H11" s="30"/>
      <c r="I11" s="30"/>
      <c r="J11" s="30"/>
      <c r="K11" s="30"/>
      <c r="L11" s="8">
        <f t="shared" si="0"/>
        <v>32</v>
      </c>
      <c r="M11" s="8">
        <f t="shared" si="1"/>
        <v>9.5968</v>
      </c>
    </row>
    <row r="12" spans="1:13" s="8" customFormat="1" ht="12.75">
      <c r="A12" s="38">
        <v>38049</v>
      </c>
      <c r="B12" s="30"/>
      <c r="C12" s="30"/>
      <c r="D12" s="30"/>
      <c r="E12" s="30"/>
      <c r="F12" s="30">
        <v>0.3212</v>
      </c>
      <c r="G12" s="30">
        <v>0.351</v>
      </c>
      <c r="H12" s="30"/>
      <c r="I12" s="30"/>
      <c r="J12" s="30"/>
      <c r="K12" s="30"/>
      <c r="L12" s="8">
        <f t="shared" si="0"/>
        <v>17</v>
      </c>
      <c r="M12" s="8">
        <f t="shared" si="1"/>
        <v>5.4604</v>
      </c>
    </row>
    <row r="13" spans="1:13" s="8" customFormat="1" ht="12.75">
      <c r="A13" s="38">
        <v>38066</v>
      </c>
      <c r="B13" s="30"/>
      <c r="C13" s="30"/>
      <c r="D13" s="30"/>
      <c r="E13" s="30"/>
      <c r="F13" s="30">
        <v>0.3495</v>
      </c>
      <c r="G13" s="30">
        <v>0.393</v>
      </c>
      <c r="H13" s="30"/>
      <c r="I13" s="30"/>
      <c r="J13" s="30"/>
      <c r="K13" s="30"/>
      <c r="L13" s="8">
        <f t="shared" si="0"/>
        <v>4</v>
      </c>
      <c r="M13" s="8">
        <f t="shared" si="1"/>
        <v>1.398</v>
      </c>
    </row>
    <row r="14" spans="1:13" s="8" customFormat="1" ht="12.75">
      <c r="A14" s="38">
        <v>38070</v>
      </c>
      <c r="B14" s="30"/>
      <c r="C14" s="30"/>
      <c r="D14" s="30"/>
      <c r="E14" s="30"/>
      <c r="F14" s="30">
        <v>0.3255</v>
      </c>
      <c r="G14" s="30">
        <v>0.3709</v>
      </c>
      <c r="H14" s="30"/>
      <c r="I14" s="30"/>
      <c r="J14" s="30"/>
      <c r="K14" s="30"/>
      <c r="L14" s="8">
        <f t="shared" si="0"/>
        <v>23</v>
      </c>
      <c r="M14" s="8">
        <f t="shared" si="1"/>
        <v>7.4865</v>
      </c>
    </row>
    <row r="15" spans="1:13" s="8" customFormat="1" ht="12.75">
      <c r="A15" s="38">
        <v>38093</v>
      </c>
      <c r="B15" s="30">
        <v>1.1</v>
      </c>
      <c r="C15" s="30">
        <v>1.132</v>
      </c>
      <c r="D15" s="30"/>
      <c r="E15" s="30"/>
      <c r="F15" s="30">
        <v>0.3473</v>
      </c>
      <c r="G15" s="30">
        <v>0.3636</v>
      </c>
      <c r="H15" s="30"/>
      <c r="I15" s="30"/>
      <c r="J15" s="30"/>
      <c r="K15" s="30"/>
      <c r="L15" s="8">
        <f t="shared" si="0"/>
        <v>21</v>
      </c>
      <c r="M15" s="8">
        <f t="shared" si="1"/>
        <v>7.2933</v>
      </c>
    </row>
    <row r="16" spans="1:13" s="8" customFormat="1" ht="12.75">
      <c r="A16" s="38">
        <v>38114</v>
      </c>
      <c r="B16" s="30"/>
      <c r="C16" s="30"/>
      <c r="D16" s="30"/>
      <c r="E16" s="30"/>
      <c r="F16" s="30">
        <v>0.3624</v>
      </c>
      <c r="G16" s="30">
        <v>0.3648</v>
      </c>
      <c r="H16" s="30"/>
      <c r="I16" s="30"/>
      <c r="J16" s="30"/>
      <c r="K16" s="30"/>
      <c r="L16" s="8">
        <f t="shared" si="0"/>
        <v>11</v>
      </c>
      <c r="M16" s="8">
        <f t="shared" si="1"/>
        <v>3.9864</v>
      </c>
    </row>
    <row r="17" spans="1:13" ht="12.75">
      <c r="A17" s="38">
        <v>38125</v>
      </c>
      <c r="B17" s="30">
        <v>1.173</v>
      </c>
      <c r="C17" s="30">
        <v>1.204</v>
      </c>
      <c r="D17" s="30"/>
      <c r="E17" s="30"/>
      <c r="F17" s="30">
        <v>0.3774</v>
      </c>
      <c r="G17" s="30">
        <v>0.4055</v>
      </c>
      <c r="H17" s="30"/>
      <c r="I17" s="30"/>
      <c r="J17" s="30"/>
      <c r="K17" s="30"/>
      <c r="L17" s="8">
        <f t="shared" si="0"/>
        <v>9</v>
      </c>
      <c r="M17" s="8">
        <f t="shared" si="1"/>
        <v>3.3966000000000003</v>
      </c>
    </row>
    <row r="18" spans="1:13" ht="12.75">
      <c r="A18" s="38">
        <v>38134</v>
      </c>
      <c r="B18" s="30"/>
      <c r="C18" s="30"/>
      <c r="D18" s="30"/>
      <c r="E18" s="30"/>
      <c r="F18" s="30">
        <v>0.3656</v>
      </c>
      <c r="G18" s="30">
        <v>0.3842</v>
      </c>
      <c r="H18" s="30"/>
      <c r="I18" s="30"/>
      <c r="J18" s="30"/>
      <c r="K18" s="30"/>
      <c r="L18" s="8">
        <f t="shared" si="0"/>
        <v>12</v>
      </c>
      <c r="M18" s="8">
        <f t="shared" si="1"/>
        <v>4.3872</v>
      </c>
    </row>
    <row r="19" spans="1:13" ht="12.75">
      <c r="A19" s="38">
        <v>38146</v>
      </c>
      <c r="B19" s="30"/>
      <c r="C19" s="30"/>
      <c r="D19" s="30"/>
      <c r="E19" s="30"/>
      <c r="F19" s="30">
        <v>0.353</v>
      </c>
      <c r="G19" s="30">
        <v>0.3743</v>
      </c>
      <c r="H19" s="30"/>
      <c r="I19" s="30"/>
      <c r="J19" s="30"/>
      <c r="K19" s="30"/>
      <c r="L19" s="8">
        <f t="shared" si="0"/>
        <v>28</v>
      </c>
      <c r="M19" s="8">
        <f t="shared" si="1"/>
        <v>9.884</v>
      </c>
    </row>
    <row r="20" spans="1:13" ht="12.75">
      <c r="A20" s="38">
        <v>38174</v>
      </c>
      <c r="B20" s="30"/>
      <c r="C20" s="30"/>
      <c r="D20" s="30"/>
      <c r="E20" s="30"/>
      <c r="F20" s="30">
        <v>0.3769</v>
      </c>
      <c r="G20" s="30">
        <v>0.3911</v>
      </c>
      <c r="H20" s="30"/>
      <c r="I20" s="30"/>
      <c r="J20" s="30"/>
      <c r="K20" s="30"/>
      <c r="L20" s="8">
        <f t="shared" si="0"/>
        <v>22</v>
      </c>
      <c r="M20" s="8">
        <f t="shared" si="1"/>
        <v>8.2918</v>
      </c>
    </row>
    <row r="21" spans="1:13" ht="12.75">
      <c r="A21" s="38">
        <v>38196</v>
      </c>
      <c r="B21" s="30">
        <v>1.167</v>
      </c>
      <c r="C21" s="30">
        <v>1.197</v>
      </c>
      <c r="D21" s="30"/>
      <c r="E21" s="30"/>
      <c r="F21" s="30">
        <v>0.393</v>
      </c>
      <c r="G21" s="30">
        <v>0.4125</v>
      </c>
      <c r="H21" s="30"/>
      <c r="I21" s="30"/>
      <c r="J21" s="30"/>
      <c r="K21" s="30"/>
      <c r="L21" s="8">
        <f t="shared" si="0"/>
        <v>8</v>
      </c>
      <c r="M21" s="8">
        <f t="shared" si="1"/>
        <v>3.144</v>
      </c>
    </row>
    <row r="22" spans="1:13" ht="12.75">
      <c r="A22" s="38">
        <v>38204</v>
      </c>
      <c r="B22" s="30"/>
      <c r="C22" s="30"/>
      <c r="D22" s="30"/>
      <c r="E22" s="30"/>
      <c r="F22" s="30">
        <v>0.4128</v>
      </c>
      <c r="G22" s="30">
        <v>0.4473</v>
      </c>
      <c r="H22" s="30"/>
      <c r="I22" s="30"/>
      <c r="J22" s="30"/>
      <c r="K22" s="30"/>
      <c r="L22" s="8">
        <f t="shared" si="0"/>
        <v>28</v>
      </c>
      <c r="M22" s="8">
        <f t="shared" si="1"/>
        <v>11.5584</v>
      </c>
    </row>
    <row r="23" spans="1:13" ht="12.75">
      <c r="A23" s="38">
        <v>38232</v>
      </c>
      <c r="B23" s="30"/>
      <c r="C23" s="30"/>
      <c r="D23" s="30"/>
      <c r="E23" s="30"/>
      <c r="F23" s="30">
        <v>0.3904</v>
      </c>
      <c r="G23" s="30">
        <v>0.4222</v>
      </c>
      <c r="H23" s="30"/>
      <c r="I23" s="30"/>
      <c r="J23" s="30"/>
      <c r="K23" s="30">
        <v>192.87</v>
      </c>
      <c r="L23" s="8">
        <f t="shared" si="0"/>
        <v>6</v>
      </c>
      <c r="M23" s="8">
        <f t="shared" si="1"/>
        <v>2.3424</v>
      </c>
    </row>
    <row r="24" spans="1:13" ht="12.75">
      <c r="A24" s="38">
        <v>38238</v>
      </c>
      <c r="B24" s="30"/>
      <c r="C24" s="30"/>
      <c r="D24" s="30"/>
      <c r="E24" s="30"/>
      <c r="F24" s="30">
        <v>0.4092</v>
      </c>
      <c r="G24" s="30">
        <v>0.442</v>
      </c>
      <c r="H24" s="30"/>
      <c r="I24" s="30"/>
      <c r="J24" s="30"/>
      <c r="K24" s="30"/>
      <c r="L24" s="8">
        <f t="shared" si="0"/>
        <v>9</v>
      </c>
      <c r="M24" s="8">
        <f t="shared" si="1"/>
        <v>3.6828000000000003</v>
      </c>
    </row>
    <row r="25" spans="1:13" ht="12.75">
      <c r="A25" s="38">
        <v>38247</v>
      </c>
      <c r="B25" s="30"/>
      <c r="C25" s="30"/>
      <c r="D25" s="30"/>
      <c r="E25" s="30"/>
      <c r="F25" s="30">
        <v>0.4235</v>
      </c>
      <c r="G25" s="30">
        <v>0.4479</v>
      </c>
      <c r="H25" s="30"/>
      <c r="I25" s="30"/>
      <c r="J25" s="30"/>
      <c r="K25" s="30"/>
      <c r="L25" s="8">
        <f t="shared" si="0"/>
        <v>8</v>
      </c>
      <c r="M25" s="8">
        <f t="shared" si="1"/>
        <v>3.388</v>
      </c>
    </row>
    <row r="26" spans="1:13" ht="12.75">
      <c r="A26" s="38">
        <v>38255</v>
      </c>
      <c r="B26" s="30"/>
      <c r="C26" s="30"/>
      <c r="D26" s="30">
        <v>0.952</v>
      </c>
      <c r="E26" s="30"/>
      <c r="F26" s="30">
        <v>0.4467</v>
      </c>
      <c r="G26" s="30">
        <v>0.4665</v>
      </c>
      <c r="H26" s="30"/>
      <c r="I26" s="30"/>
      <c r="J26" s="30"/>
      <c r="K26" s="30"/>
      <c r="L26" s="8">
        <f t="shared" si="0"/>
        <v>11</v>
      </c>
      <c r="M26" s="8">
        <f aca="true" t="shared" si="2" ref="M26:M37">F26*L26</f>
        <v>4.9136999999999995</v>
      </c>
    </row>
    <row r="27" spans="1:13" ht="12.75">
      <c r="A27" s="38">
        <v>38266</v>
      </c>
      <c r="B27" s="30"/>
      <c r="C27" s="30"/>
      <c r="D27" s="30">
        <v>0.96</v>
      </c>
      <c r="E27" s="30"/>
      <c r="F27" s="30">
        <v>0.4631</v>
      </c>
      <c r="G27" s="30">
        <v>0.4737</v>
      </c>
      <c r="H27" s="30"/>
      <c r="I27" s="30"/>
      <c r="J27" s="30"/>
      <c r="K27" s="30"/>
      <c r="L27" s="8">
        <f t="shared" si="0"/>
        <v>7</v>
      </c>
      <c r="M27" s="8">
        <f t="shared" si="2"/>
        <v>3.2417000000000002</v>
      </c>
    </row>
    <row r="28" spans="1:13" ht="12.75">
      <c r="A28" s="38">
        <v>38273</v>
      </c>
      <c r="B28" s="30">
        <v>1.213</v>
      </c>
      <c r="C28" s="30">
        <v>1.242</v>
      </c>
      <c r="D28" s="30">
        <v>0.99</v>
      </c>
      <c r="E28" s="30"/>
      <c r="F28" s="30">
        <v>0.4983</v>
      </c>
      <c r="G28" s="30">
        <v>0.5046</v>
      </c>
      <c r="H28" s="30"/>
      <c r="I28" s="30"/>
      <c r="J28" s="30"/>
      <c r="K28" s="30">
        <v>229.96</v>
      </c>
      <c r="L28" s="8">
        <f t="shared" si="0"/>
        <v>15</v>
      </c>
      <c r="M28" s="8">
        <f t="shared" si="2"/>
        <v>7.4745</v>
      </c>
    </row>
    <row r="29" spans="1:13" ht="12.75">
      <c r="A29" s="38">
        <v>38288</v>
      </c>
      <c r="B29" s="30"/>
      <c r="C29" s="30"/>
      <c r="D29" s="30"/>
      <c r="E29" s="30"/>
      <c r="F29" s="30">
        <v>0.4888</v>
      </c>
      <c r="G29" s="30">
        <v>0.5199</v>
      </c>
      <c r="H29" s="30"/>
      <c r="I29" s="30"/>
      <c r="J29" s="30"/>
      <c r="K29" s="30"/>
      <c r="L29" s="8">
        <f t="shared" si="0"/>
        <v>7</v>
      </c>
      <c r="M29" s="8">
        <f t="shared" si="2"/>
        <v>3.4216</v>
      </c>
    </row>
    <row r="30" spans="1:13" ht="12.75">
      <c r="A30" s="38">
        <v>38295</v>
      </c>
      <c r="B30" s="30">
        <v>1.173</v>
      </c>
      <c r="C30" s="30">
        <v>1.202</v>
      </c>
      <c r="D30" s="30">
        <v>0.961</v>
      </c>
      <c r="E30" s="30"/>
      <c r="F30" s="30">
        <v>0.4392</v>
      </c>
      <c r="G30" s="30">
        <v>0.4665</v>
      </c>
      <c r="H30" s="30">
        <v>1.4377</v>
      </c>
      <c r="I30" s="30">
        <v>1.4728</v>
      </c>
      <c r="J30" s="30">
        <v>0.4394</v>
      </c>
      <c r="K30" s="30"/>
      <c r="L30" s="8">
        <f t="shared" si="0"/>
        <v>7</v>
      </c>
      <c r="M30" s="8">
        <f t="shared" si="2"/>
        <v>3.0744</v>
      </c>
    </row>
    <row r="31" spans="1:13" ht="12.75">
      <c r="A31" s="38">
        <v>38302</v>
      </c>
      <c r="B31" s="30"/>
      <c r="C31" s="30"/>
      <c r="D31" s="30"/>
      <c r="E31" s="30"/>
      <c r="F31" s="30">
        <v>0.4255</v>
      </c>
      <c r="G31" s="30">
        <v>0.4533</v>
      </c>
      <c r="H31" s="30"/>
      <c r="I31" s="30"/>
      <c r="J31" s="30"/>
      <c r="K31" s="30"/>
      <c r="L31" s="8">
        <f t="shared" si="0"/>
        <v>14</v>
      </c>
      <c r="M31" s="8">
        <f t="shared" si="2"/>
        <v>5.957</v>
      </c>
    </row>
    <row r="32" spans="1:13" ht="12.75">
      <c r="A32" s="38">
        <v>38316</v>
      </c>
      <c r="B32" s="30"/>
      <c r="C32" s="30"/>
      <c r="D32" s="30"/>
      <c r="E32" s="30"/>
      <c r="F32" s="30">
        <v>0.4498</v>
      </c>
      <c r="G32" s="30">
        <v>0.5012</v>
      </c>
      <c r="H32" s="30"/>
      <c r="I32" s="30"/>
      <c r="J32" s="30"/>
      <c r="K32" s="30">
        <v>217.94</v>
      </c>
      <c r="L32" s="8">
        <f t="shared" si="0"/>
        <v>8</v>
      </c>
      <c r="M32" s="8">
        <f t="shared" si="2"/>
        <v>3.5984</v>
      </c>
    </row>
    <row r="33" spans="1:15" ht="12.75">
      <c r="A33" s="38">
        <v>38324</v>
      </c>
      <c r="B33" s="30"/>
      <c r="C33" s="30"/>
      <c r="D33" s="30"/>
      <c r="E33" s="30"/>
      <c r="F33" s="30">
        <v>0.4106</v>
      </c>
      <c r="G33" s="30"/>
      <c r="H33" s="30"/>
      <c r="I33" s="30"/>
      <c r="J33" s="30"/>
      <c r="K33" s="30"/>
      <c r="L33" s="8">
        <f t="shared" si="0"/>
        <v>6</v>
      </c>
      <c r="M33" s="8">
        <f t="shared" si="2"/>
        <v>2.4636</v>
      </c>
      <c r="O33" s="21"/>
    </row>
    <row r="34" spans="1:15" ht="12.75">
      <c r="A34" s="38">
        <v>38330</v>
      </c>
      <c r="B34" s="30"/>
      <c r="C34" s="30"/>
      <c r="D34" s="30"/>
      <c r="E34" s="30"/>
      <c r="F34" s="30">
        <v>0.3732</v>
      </c>
      <c r="G34" s="30"/>
      <c r="H34" s="30"/>
      <c r="I34" s="30"/>
      <c r="J34" s="30"/>
      <c r="K34" s="30"/>
      <c r="L34" s="8">
        <f t="shared" si="0"/>
        <v>7</v>
      </c>
      <c r="M34" s="8">
        <f t="shared" si="2"/>
        <v>2.6124</v>
      </c>
      <c r="O34" s="21"/>
    </row>
    <row r="35" spans="1:13" ht="12.75">
      <c r="A35" s="38">
        <v>38337</v>
      </c>
      <c r="B35" s="30"/>
      <c r="C35" s="30"/>
      <c r="D35" s="30"/>
      <c r="E35" s="30"/>
      <c r="F35" s="30">
        <v>0.3863</v>
      </c>
      <c r="G35" s="30"/>
      <c r="H35" s="30"/>
      <c r="I35" s="30"/>
      <c r="J35" s="30"/>
      <c r="K35" s="30"/>
      <c r="L35" s="8">
        <f t="shared" si="0"/>
        <v>6</v>
      </c>
      <c r="M35" s="8">
        <f t="shared" si="2"/>
        <v>2.3178</v>
      </c>
    </row>
    <row r="36" spans="1:15" ht="12.75">
      <c r="A36" s="38">
        <v>38343</v>
      </c>
      <c r="B36" s="30"/>
      <c r="C36" s="30"/>
      <c r="D36" s="30"/>
      <c r="E36" s="30"/>
      <c r="F36" s="30">
        <v>0.4063</v>
      </c>
      <c r="G36" s="30"/>
      <c r="H36" s="30"/>
      <c r="I36" s="30"/>
      <c r="J36" s="30"/>
      <c r="K36" s="30"/>
      <c r="L36" s="8">
        <f t="shared" si="0"/>
        <v>8</v>
      </c>
      <c r="M36" s="8">
        <f t="shared" si="2"/>
        <v>3.2504</v>
      </c>
      <c r="O36" s="21"/>
    </row>
    <row r="37" spans="1:15" ht="12.75">
      <c r="A37" s="38">
        <v>38351</v>
      </c>
      <c r="B37" s="30"/>
      <c r="C37" s="30"/>
      <c r="D37" s="30"/>
      <c r="E37" s="30"/>
      <c r="F37" s="30">
        <v>0.3819</v>
      </c>
      <c r="G37" s="30"/>
      <c r="H37" s="30"/>
      <c r="I37" s="30"/>
      <c r="J37" s="30"/>
      <c r="K37" s="30"/>
      <c r="L37" s="8">
        <v>2</v>
      </c>
      <c r="M37" s="8">
        <f t="shared" si="2"/>
        <v>0.7638</v>
      </c>
      <c r="O37" s="21"/>
    </row>
    <row r="39" spans="1:13" ht="25.5">
      <c r="A39" s="58" t="s">
        <v>21</v>
      </c>
      <c r="B39" s="59"/>
      <c r="C39" s="59"/>
      <c r="D39" s="59"/>
      <c r="E39" s="59"/>
      <c r="F39" s="23">
        <f>M39/L39</f>
        <v>0.37673278688524603</v>
      </c>
      <c r="G39" s="59"/>
      <c r="H39" s="59"/>
      <c r="I39" s="59"/>
      <c r="J39" s="59"/>
      <c r="K39" s="59"/>
      <c r="L39" s="60">
        <f>SUM(L9:L38)</f>
        <v>366</v>
      </c>
      <c r="M39" s="61">
        <f>SUM(M9:M38)</f>
        <v>137.88420000000005</v>
      </c>
    </row>
    <row r="43" ht="12.75">
      <c r="A43" s="37" t="s">
        <v>30</v>
      </c>
    </row>
  </sheetData>
  <mergeCells count="1">
    <mergeCell ref="A3:A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Header>&amp;RPrepared by Ingrid Vervenne on &amp;D
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2.140625" style="0" customWidth="1"/>
    <col min="2" max="2" width="18.8515625" style="0" customWidth="1"/>
    <col min="3" max="11" width="0" style="0" hidden="1" customWidth="1" outlineLevel="1"/>
    <col min="12" max="12" width="15.7109375" style="0" customWidth="1" collapsed="1"/>
    <col min="13" max="13" width="16.8515625" style="0" bestFit="1" customWidth="1"/>
  </cols>
  <sheetData>
    <row r="1" spans="1:11" ht="19.5" thickBot="1" thickTop="1">
      <c r="A1" s="156" t="s">
        <v>18</v>
      </c>
      <c r="B1" s="17"/>
      <c r="C1" s="4"/>
      <c r="D1" s="4"/>
      <c r="E1" s="4"/>
      <c r="F1" s="4"/>
      <c r="G1" s="4"/>
      <c r="H1" s="4"/>
      <c r="I1" s="4"/>
      <c r="J1" s="4"/>
      <c r="K1" s="5"/>
    </row>
    <row r="2" spans="1:11" ht="14.25" thickBot="1" thickTop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13" ht="51.75" thickTop="1">
      <c r="A3" s="146"/>
      <c r="B3" s="11" t="s">
        <v>2</v>
      </c>
      <c r="C3" s="11" t="s">
        <v>4</v>
      </c>
      <c r="D3" s="11" t="s">
        <v>5</v>
      </c>
      <c r="E3" s="11" t="s">
        <v>0</v>
      </c>
      <c r="F3" s="11" t="s">
        <v>1</v>
      </c>
      <c r="G3" s="11" t="s">
        <v>3</v>
      </c>
      <c r="H3" s="11" t="s">
        <v>13</v>
      </c>
      <c r="I3" s="11" t="s">
        <v>6</v>
      </c>
      <c r="J3" s="11" t="s">
        <v>7</v>
      </c>
      <c r="K3" s="11" t="s">
        <v>14</v>
      </c>
      <c r="L3" s="25" t="s">
        <v>20</v>
      </c>
      <c r="M3" s="24" t="s">
        <v>22</v>
      </c>
    </row>
    <row r="4" spans="1:11" ht="12.75">
      <c r="A4" s="147"/>
      <c r="B4" s="6" t="s">
        <v>11</v>
      </c>
      <c r="C4" s="6"/>
      <c r="D4" s="6" t="s">
        <v>12</v>
      </c>
      <c r="E4" s="6" t="s">
        <v>12</v>
      </c>
      <c r="F4" s="6"/>
      <c r="G4" s="6" t="s">
        <v>11</v>
      </c>
      <c r="H4" s="6"/>
      <c r="I4" s="6"/>
      <c r="J4" s="6" t="s">
        <v>11</v>
      </c>
      <c r="K4" s="6"/>
    </row>
    <row r="5" spans="1:11" ht="13.5" thickBot="1">
      <c r="A5" s="148"/>
      <c r="B5" s="7" t="s">
        <v>8</v>
      </c>
      <c r="C5" s="7" t="s">
        <v>8</v>
      </c>
      <c r="D5" s="7" t="s">
        <v>8</v>
      </c>
      <c r="E5" s="7" t="s">
        <v>8</v>
      </c>
      <c r="F5" s="7" t="s">
        <v>8</v>
      </c>
      <c r="G5" s="7" t="s">
        <v>8</v>
      </c>
      <c r="H5" s="7" t="s">
        <v>10</v>
      </c>
      <c r="I5" s="7" t="s">
        <v>10</v>
      </c>
      <c r="J5" s="7" t="s">
        <v>8</v>
      </c>
      <c r="K5" s="7" t="s">
        <v>9</v>
      </c>
    </row>
    <row r="6" spans="1:11" ht="13.5" thickTop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33" t="s">
        <v>19</v>
      </c>
      <c r="B7" s="15">
        <v>0.3507</v>
      </c>
      <c r="C7" s="15">
        <v>1.028</v>
      </c>
      <c r="D7" s="15">
        <v>1.075</v>
      </c>
      <c r="E7" s="15">
        <v>0.786</v>
      </c>
      <c r="F7" s="15">
        <v>0.401</v>
      </c>
      <c r="G7" s="16" t="s">
        <v>17</v>
      </c>
      <c r="H7" s="15">
        <v>1.3007</v>
      </c>
      <c r="I7" s="15">
        <v>1.4255</v>
      </c>
      <c r="J7" s="15">
        <v>0.4217</v>
      </c>
      <c r="K7" s="15">
        <v>258.73</v>
      </c>
    </row>
    <row r="9" spans="1:13" ht="12.75">
      <c r="A9" s="38">
        <v>37622</v>
      </c>
      <c r="B9" s="30">
        <v>0.3507</v>
      </c>
      <c r="C9" s="12"/>
      <c r="D9" s="12"/>
      <c r="E9" s="12"/>
      <c r="F9" s="12"/>
      <c r="G9" s="12"/>
      <c r="H9" s="12"/>
      <c r="I9" s="12"/>
      <c r="J9" s="12"/>
      <c r="K9" s="12">
        <v>266.6</v>
      </c>
      <c r="L9">
        <f>A10-A9</f>
        <v>9</v>
      </c>
      <c r="M9">
        <f>B9*L9</f>
        <v>3.1563</v>
      </c>
    </row>
    <row r="10" spans="1:13" ht="12.75">
      <c r="A10" s="38">
        <v>37631</v>
      </c>
      <c r="B10" s="30">
        <v>0.331</v>
      </c>
      <c r="C10" s="12"/>
      <c r="D10" s="12"/>
      <c r="E10" s="12"/>
      <c r="F10" s="12"/>
      <c r="G10" s="12">
        <v>0.3381</v>
      </c>
      <c r="H10" s="12"/>
      <c r="I10" s="12"/>
      <c r="J10" s="12"/>
      <c r="K10" s="12"/>
      <c r="L10">
        <f aca="true" t="shared" si="0" ref="L10:L36">A11-A10</f>
        <v>11</v>
      </c>
      <c r="M10">
        <f aca="true" t="shared" si="1" ref="M10:M27">B10*L10</f>
        <v>3.641</v>
      </c>
    </row>
    <row r="11" spans="1:13" ht="12.75">
      <c r="A11" s="38">
        <v>37642</v>
      </c>
      <c r="B11" s="30">
        <v>0.3394</v>
      </c>
      <c r="C11" s="12"/>
      <c r="D11" s="12"/>
      <c r="E11" s="12">
        <v>0.776</v>
      </c>
      <c r="F11" s="12"/>
      <c r="G11" s="12">
        <v>0.347</v>
      </c>
      <c r="H11" s="12"/>
      <c r="I11" s="12"/>
      <c r="J11" s="12"/>
      <c r="K11" s="12">
        <v>259.24</v>
      </c>
      <c r="L11">
        <f t="shared" si="0"/>
        <v>17</v>
      </c>
      <c r="M11">
        <f t="shared" si="1"/>
        <v>5.7698</v>
      </c>
    </row>
    <row r="12" spans="1:13" ht="12.75">
      <c r="A12" s="38">
        <v>37659</v>
      </c>
      <c r="B12" s="30">
        <v>0.3531</v>
      </c>
      <c r="C12" s="12"/>
      <c r="D12" s="12"/>
      <c r="E12" s="12">
        <v>0.79</v>
      </c>
      <c r="F12" s="12"/>
      <c r="G12" s="12">
        <v>0.3615</v>
      </c>
      <c r="H12" s="12"/>
      <c r="I12" s="12"/>
      <c r="J12" s="12"/>
      <c r="K12" s="12">
        <v>280.7</v>
      </c>
      <c r="L12">
        <f t="shared" si="0"/>
        <v>7</v>
      </c>
      <c r="M12">
        <f t="shared" si="1"/>
        <v>2.4717000000000002</v>
      </c>
    </row>
    <row r="13" spans="1:13" ht="12.75">
      <c r="A13" s="38">
        <v>37666</v>
      </c>
      <c r="B13" s="30">
        <v>0.3831</v>
      </c>
      <c r="C13" s="12"/>
      <c r="D13" s="12"/>
      <c r="E13" s="12">
        <v>0.82</v>
      </c>
      <c r="F13" s="12"/>
      <c r="G13" s="12">
        <v>0.3913</v>
      </c>
      <c r="H13" s="12"/>
      <c r="I13" s="12"/>
      <c r="J13" s="12"/>
      <c r="K13" s="12"/>
      <c r="L13">
        <f t="shared" si="0"/>
        <v>14</v>
      </c>
      <c r="M13">
        <f t="shared" si="1"/>
        <v>5.3634</v>
      </c>
    </row>
    <row r="14" spans="1:13" ht="12.75">
      <c r="A14" s="38">
        <v>37680</v>
      </c>
      <c r="B14" s="30">
        <v>0.401</v>
      </c>
      <c r="C14" s="12"/>
      <c r="D14" s="12"/>
      <c r="E14" s="12">
        <v>0.836</v>
      </c>
      <c r="F14" s="12"/>
      <c r="G14" s="12">
        <v>0.4077</v>
      </c>
      <c r="H14" s="12"/>
      <c r="I14" s="12"/>
      <c r="J14" s="12"/>
      <c r="K14" s="12"/>
      <c r="L14">
        <f t="shared" si="0"/>
        <v>19</v>
      </c>
      <c r="M14">
        <f t="shared" si="1"/>
        <v>7.619000000000001</v>
      </c>
    </row>
    <row r="15" spans="1:13" ht="12.75">
      <c r="A15" s="38">
        <v>37699</v>
      </c>
      <c r="B15" s="30">
        <v>0.3775</v>
      </c>
      <c r="C15" s="13"/>
      <c r="D15" s="13"/>
      <c r="E15" s="13"/>
      <c r="F15" s="13"/>
      <c r="G15" s="13">
        <v>0.401</v>
      </c>
      <c r="H15" s="13"/>
      <c r="I15" s="13"/>
      <c r="J15" s="13"/>
      <c r="K15" s="13"/>
      <c r="L15">
        <f t="shared" si="0"/>
        <v>6</v>
      </c>
      <c r="M15">
        <f t="shared" si="1"/>
        <v>2.265</v>
      </c>
    </row>
    <row r="16" spans="1:13" ht="12.75">
      <c r="A16" s="38">
        <v>37705</v>
      </c>
      <c r="B16" s="30">
        <v>0.328</v>
      </c>
      <c r="C16" s="12"/>
      <c r="D16" s="12"/>
      <c r="E16" s="12"/>
      <c r="F16" s="12"/>
      <c r="G16" s="12">
        <v>0.3818</v>
      </c>
      <c r="H16" s="12"/>
      <c r="I16" s="12"/>
      <c r="J16" s="12"/>
      <c r="K16" s="12"/>
      <c r="L16">
        <f t="shared" si="0"/>
        <v>11</v>
      </c>
      <c r="M16">
        <f t="shared" si="1"/>
        <v>3.608</v>
      </c>
    </row>
    <row r="17" spans="1:13" ht="12.75">
      <c r="A17" s="38">
        <v>37716</v>
      </c>
      <c r="B17" s="30">
        <v>0.2967</v>
      </c>
      <c r="C17" s="13"/>
      <c r="D17" s="13"/>
      <c r="E17" s="13"/>
      <c r="F17" s="13">
        <v>0.332</v>
      </c>
      <c r="G17" s="13">
        <v>0.3286</v>
      </c>
      <c r="H17" s="13">
        <v>1.2008</v>
      </c>
      <c r="I17" s="13">
        <v>1.2925</v>
      </c>
      <c r="J17" s="13">
        <v>0.3511</v>
      </c>
      <c r="K17" s="13"/>
      <c r="L17">
        <f t="shared" si="0"/>
        <v>18</v>
      </c>
      <c r="M17">
        <f t="shared" si="1"/>
        <v>5.3406</v>
      </c>
    </row>
    <row r="18" spans="1:13" ht="12.75">
      <c r="A18" s="38">
        <v>37734</v>
      </c>
      <c r="B18" s="30">
        <v>0.3042</v>
      </c>
      <c r="C18" s="13"/>
      <c r="D18" s="13"/>
      <c r="E18" s="13"/>
      <c r="F18" s="13"/>
      <c r="G18" s="13">
        <v>0.3293</v>
      </c>
      <c r="H18" s="13"/>
      <c r="I18" s="13"/>
      <c r="J18" s="13"/>
      <c r="K18" s="13"/>
      <c r="L18">
        <f t="shared" si="0"/>
        <v>8</v>
      </c>
      <c r="M18">
        <f t="shared" si="1"/>
        <v>2.4336</v>
      </c>
    </row>
    <row r="19" spans="1:13" ht="12.75">
      <c r="A19" s="38">
        <v>37742</v>
      </c>
      <c r="B19" s="30">
        <v>0.2804</v>
      </c>
      <c r="C19" s="13"/>
      <c r="D19" s="13"/>
      <c r="E19" s="13"/>
      <c r="F19" s="13">
        <v>0.306</v>
      </c>
      <c r="G19" s="13">
        <v>0.2992</v>
      </c>
      <c r="H19" s="13">
        <v>1.1585</v>
      </c>
      <c r="I19" s="13">
        <v>1.2375</v>
      </c>
      <c r="J19" s="13">
        <v>0.323</v>
      </c>
      <c r="K19" s="13"/>
      <c r="L19">
        <f t="shared" si="0"/>
        <v>41</v>
      </c>
      <c r="M19">
        <f t="shared" si="1"/>
        <v>11.4964</v>
      </c>
    </row>
    <row r="20" spans="1:13" ht="12.75">
      <c r="A20" s="38">
        <v>37783</v>
      </c>
      <c r="B20" s="30">
        <v>0.2947</v>
      </c>
      <c r="C20" s="13"/>
      <c r="D20" s="13"/>
      <c r="E20" s="13"/>
      <c r="F20" s="13"/>
      <c r="G20" s="13">
        <v>0.3117</v>
      </c>
      <c r="H20" s="13"/>
      <c r="I20" s="13"/>
      <c r="J20" s="13"/>
      <c r="K20" s="13"/>
      <c r="L20">
        <f t="shared" si="0"/>
        <v>9</v>
      </c>
      <c r="M20">
        <f t="shared" si="1"/>
        <v>2.6523000000000003</v>
      </c>
    </row>
    <row r="21" spans="1:13" ht="12.75">
      <c r="A21" s="38">
        <v>37792</v>
      </c>
      <c r="B21" s="30">
        <v>0.2792</v>
      </c>
      <c r="C21" s="12"/>
      <c r="D21" s="12"/>
      <c r="E21" s="12"/>
      <c r="F21" s="12"/>
      <c r="G21" s="12">
        <v>0.2925</v>
      </c>
      <c r="H21" s="12"/>
      <c r="I21" s="12"/>
      <c r="J21" s="12"/>
      <c r="K21" s="12"/>
      <c r="L21">
        <f t="shared" si="0"/>
        <v>11</v>
      </c>
      <c r="M21">
        <f t="shared" si="1"/>
        <v>3.0712</v>
      </c>
    </row>
    <row r="22" spans="1:13" ht="12.75">
      <c r="A22" s="38">
        <v>37803</v>
      </c>
      <c r="B22" s="30">
        <v>0.2881</v>
      </c>
      <c r="C22" s="12"/>
      <c r="D22" s="12"/>
      <c r="E22" s="12"/>
      <c r="F22" s="12"/>
      <c r="G22" s="12">
        <v>0.3</v>
      </c>
      <c r="H22" s="12"/>
      <c r="I22" s="12"/>
      <c r="J22" s="12"/>
      <c r="K22" s="12"/>
      <c r="L22">
        <f t="shared" si="0"/>
        <v>14</v>
      </c>
      <c r="M22">
        <f t="shared" si="1"/>
        <v>4.0334</v>
      </c>
    </row>
    <row r="23" spans="1:13" ht="15" customHeight="1">
      <c r="A23" s="38">
        <v>37817</v>
      </c>
      <c r="B23" s="30">
        <v>0.3062</v>
      </c>
      <c r="C23" s="12"/>
      <c r="D23" s="12"/>
      <c r="E23" s="12"/>
      <c r="F23" s="12"/>
      <c r="G23" s="12">
        <v>0.3206</v>
      </c>
      <c r="H23" s="12"/>
      <c r="I23" s="12"/>
      <c r="J23" s="12"/>
      <c r="K23" s="12"/>
      <c r="L23">
        <f t="shared" si="0"/>
        <v>10</v>
      </c>
      <c r="M23">
        <f t="shared" si="1"/>
        <v>3.0620000000000003</v>
      </c>
    </row>
    <row r="24" spans="1:13" ht="12.75">
      <c r="A24" s="38">
        <v>37827</v>
      </c>
      <c r="B24" s="30">
        <v>0.2887</v>
      </c>
      <c r="C24" s="12"/>
      <c r="D24" s="12"/>
      <c r="E24" s="12"/>
      <c r="F24" s="12"/>
      <c r="G24" s="12">
        <v>0.2969</v>
      </c>
      <c r="H24" s="12"/>
      <c r="I24" s="12"/>
      <c r="J24" s="12"/>
      <c r="K24" s="12"/>
      <c r="L24">
        <f t="shared" si="0"/>
        <v>10</v>
      </c>
      <c r="M24">
        <f t="shared" si="1"/>
        <v>2.887</v>
      </c>
    </row>
    <row r="25" spans="1:13" ht="12.75">
      <c r="A25" s="38">
        <v>37837</v>
      </c>
      <c r="B25" s="30">
        <v>0.2948</v>
      </c>
      <c r="C25" s="13">
        <v>1.025</v>
      </c>
      <c r="D25" s="13">
        <v>1.059</v>
      </c>
      <c r="E25" s="13">
        <v>0.747</v>
      </c>
      <c r="F25" s="13"/>
      <c r="G25" s="13">
        <v>0.3031</v>
      </c>
      <c r="H25" s="13"/>
      <c r="I25" s="13"/>
      <c r="J25" s="13"/>
      <c r="K25" s="13"/>
      <c r="L25">
        <f t="shared" si="0"/>
        <v>1</v>
      </c>
      <c r="M25">
        <f t="shared" si="1"/>
        <v>0.2948</v>
      </c>
    </row>
    <row r="26" spans="1:13" ht="12.75">
      <c r="A26" s="38">
        <v>37838</v>
      </c>
      <c r="B26" s="30">
        <v>0.3191</v>
      </c>
      <c r="C26" s="12"/>
      <c r="D26" s="12"/>
      <c r="E26" s="12"/>
      <c r="F26" s="12"/>
      <c r="G26" s="12">
        <v>0.3278</v>
      </c>
      <c r="H26" s="12"/>
      <c r="I26" s="12"/>
      <c r="J26" s="12"/>
      <c r="K26" s="12">
        <v>239.77</v>
      </c>
      <c r="L26">
        <f t="shared" si="0"/>
        <v>15</v>
      </c>
      <c r="M26">
        <f t="shared" si="1"/>
        <v>4.7865</v>
      </c>
    </row>
    <row r="27" spans="1:13" ht="12.75">
      <c r="A27" s="38">
        <v>37853</v>
      </c>
      <c r="B27" s="30">
        <v>0.3098</v>
      </c>
      <c r="C27" s="12"/>
      <c r="D27" s="12"/>
      <c r="E27" s="12"/>
      <c r="F27" s="12"/>
      <c r="G27" s="12">
        <v>0.3177</v>
      </c>
      <c r="H27" s="12"/>
      <c r="I27" s="12"/>
      <c r="J27" s="12"/>
      <c r="K27" s="12">
        <v>230.93</v>
      </c>
      <c r="L27">
        <f t="shared" si="0"/>
        <v>9</v>
      </c>
      <c r="M27">
        <f t="shared" si="1"/>
        <v>2.7882000000000002</v>
      </c>
    </row>
    <row r="28" spans="1:13" ht="12.75">
      <c r="A28" s="38">
        <v>37862</v>
      </c>
      <c r="B28" s="30">
        <v>0.3179</v>
      </c>
      <c r="C28" s="12"/>
      <c r="D28" s="12"/>
      <c r="E28" s="12"/>
      <c r="F28" s="12"/>
      <c r="G28" s="12">
        <v>0.3246</v>
      </c>
      <c r="H28" s="12"/>
      <c r="I28" s="12"/>
      <c r="J28" s="12"/>
      <c r="K28" s="12"/>
      <c r="L28">
        <f t="shared" si="0"/>
        <v>13</v>
      </c>
      <c r="M28">
        <f aca="true" t="shared" si="2" ref="M28:M37">B28*L28</f>
        <v>4.1327</v>
      </c>
    </row>
    <row r="29" spans="1:13" ht="12.75">
      <c r="A29" s="38">
        <v>37875</v>
      </c>
      <c r="B29" s="30">
        <v>0.3023</v>
      </c>
      <c r="C29" s="13">
        <v>1.058</v>
      </c>
      <c r="D29" s="13">
        <v>1.094</v>
      </c>
      <c r="E29" s="13"/>
      <c r="F29" s="13"/>
      <c r="G29" s="13">
        <v>0.3111</v>
      </c>
      <c r="H29" s="13"/>
      <c r="I29" s="13"/>
      <c r="J29" s="13"/>
      <c r="K29" s="13"/>
      <c r="L29">
        <f t="shared" si="0"/>
        <v>9</v>
      </c>
      <c r="M29">
        <f t="shared" si="2"/>
        <v>2.7207</v>
      </c>
    </row>
    <row r="30" spans="1:13" ht="12.75">
      <c r="A30" s="38">
        <v>37884</v>
      </c>
      <c r="B30" s="30">
        <v>0.2822</v>
      </c>
      <c r="C30" s="12"/>
      <c r="D30" s="12"/>
      <c r="E30" s="12"/>
      <c r="F30" s="12"/>
      <c r="G30" s="12">
        <v>0.2918</v>
      </c>
      <c r="H30" s="12"/>
      <c r="I30" s="12"/>
      <c r="J30" s="12"/>
      <c r="K30" s="12"/>
      <c r="L30">
        <f t="shared" si="0"/>
        <v>12</v>
      </c>
      <c r="M30">
        <f t="shared" si="2"/>
        <v>3.3864</v>
      </c>
    </row>
    <row r="31" spans="1:13" ht="12.75">
      <c r="A31" s="38">
        <v>37896</v>
      </c>
      <c r="B31" s="30">
        <v>0.2971</v>
      </c>
      <c r="C31" s="12"/>
      <c r="D31" s="12"/>
      <c r="E31" s="12">
        <v>0.758</v>
      </c>
      <c r="F31" s="12"/>
      <c r="G31" s="12">
        <v>0.3159</v>
      </c>
      <c r="H31" s="12"/>
      <c r="I31" s="12"/>
      <c r="J31" s="12"/>
      <c r="K31" s="12"/>
      <c r="L31">
        <f t="shared" si="0"/>
        <v>9</v>
      </c>
      <c r="M31">
        <f t="shared" si="2"/>
        <v>2.6738999999999997</v>
      </c>
    </row>
    <row r="32" spans="1:13" ht="12.75">
      <c r="A32" s="38">
        <v>37905</v>
      </c>
      <c r="B32" s="30">
        <v>0.3183</v>
      </c>
      <c r="C32" s="12"/>
      <c r="D32" s="12"/>
      <c r="E32" s="12"/>
      <c r="F32" s="12"/>
      <c r="G32" s="12">
        <v>0.3429</v>
      </c>
      <c r="H32" s="12"/>
      <c r="I32" s="12"/>
      <c r="J32" s="12"/>
      <c r="K32" s="12"/>
      <c r="L32">
        <f t="shared" si="0"/>
        <v>25</v>
      </c>
      <c r="M32">
        <f t="shared" si="2"/>
        <v>7.9575000000000005</v>
      </c>
    </row>
    <row r="33" spans="1:13" ht="12.75">
      <c r="A33" s="38">
        <v>37930</v>
      </c>
      <c r="B33" s="30">
        <v>0.3112</v>
      </c>
      <c r="C33" s="13"/>
      <c r="D33" s="13"/>
      <c r="E33" s="13">
        <v>0.772</v>
      </c>
      <c r="F33" s="13"/>
      <c r="G33" s="13">
        <v>0.3306</v>
      </c>
      <c r="H33" s="13"/>
      <c r="I33" s="13"/>
      <c r="J33" s="13"/>
      <c r="K33" s="13"/>
      <c r="L33">
        <f t="shared" si="0"/>
        <v>9</v>
      </c>
      <c r="M33">
        <f t="shared" si="2"/>
        <v>2.8007999999999997</v>
      </c>
    </row>
    <row r="34" spans="1:13" ht="12.75">
      <c r="A34" s="38">
        <v>37939</v>
      </c>
      <c r="B34" s="30">
        <v>0.3185</v>
      </c>
      <c r="C34" s="12"/>
      <c r="D34" s="12"/>
      <c r="E34" s="12"/>
      <c r="F34" s="12"/>
      <c r="G34" s="12">
        <v>0.3373</v>
      </c>
      <c r="H34" s="12"/>
      <c r="I34" s="12"/>
      <c r="J34" s="12"/>
      <c r="K34" s="12"/>
      <c r="L34">
        <f t="shared" si="0"/>
        <v>18</v>
      </c>
      <c r="M34">
        <f t="shared" si="2"/>
        <v>5.7330000000000005</v>
      </c>
    </row>
    <row r="35" spans="1:13" ht="12.75">
      <c r="A35" s="38">
        <v>37957</v>
      </c>
      <c r="B35" s="30">
        <v>0.304</v>
      </c>
      <c r="C35" s="12"/>
      <c r="D35" s="12"/>
      <c r="E35" s="12"/>
      <c r="F35" s="12"/>
      <c r="G35" s="12">
        <v>0.3191</v>
      </c>
      <c r="H35" s="12"/>
      <c r="I35" s="12"/>
      <c r="J35" s="12"/>
      <c r="K35" s="12"/>
      <c r="L35">
        <f t="shared" si="0"/>
        <v>15</v>
      </c>
      <c r="M35">
        <f t="shared" si="2"/>
        <v>4.56</v>
      </c>
    </row>
    <row r="36" spans="1:13" ht="12.75">
      <c r="A36" s="38">
        <v>37972</v>
      </c>
      <c r="B36" s="30">
        <v>0.3173</v>
      </c>
      <c r="C36" s="13"/>
      <c r="D36" s="13"/>
      <c r="E36" s="13"/>
      <c r="F36" s="13"/>
      <c r="G36" s="13">
        <v>0.3362</v>
      </c>
      <c r="H36" s="13"/>
      <c r="I36" s="13"/>
      <c r="J36" s="13"/>
      <c r="K36" s="13"/>
      <c r="L36">
        <f t="shared" si="0"/>
        <v>14</v>
      </c>
      <c r="M36">
        <f t="shared" si="2"/>
        <v>4.442200000000001</v>
      </c>
    </row>
    <row r="37" spans="1:13" ht="12.75">
      <c r="A37" s="38">
        <v>37986</v>
      </c>
      <c r="B37" s="30">
        <v>0.3087</v>
      </c>
      <c r="C37" s="13"/>
      <c r="D37" s="13"/>
      <c r="E37" s="13"/>
      <c r="F37" s="13"/>
      <c r="G37" s="13">
        <v>0.3238</v>
      </c>
      <c r="H37" s="13"/>
      <c r="I37" s="13"/>
      <c r="J37" s="13"/>
      <c r="K37" s="13"/>
      <c r="L37">
        <v>1</v>
      </c>
      <c r="M37">
        <f t="shared" si="2"/>
        <v>0.3087</v>
      </c>
    </row>
    <row r="38" spans="1:2" ht="12.75">
      <c r="A38" s="49"/>
      <c r="B38" s="49"/>
    </row>
    <row r="39" spans="1:13" ht="25.5">
      <c r="A39" s="62" t="s">
        <v>21</v>
      </c>
      <c r="B39" s="26">
        <f>M39/L39</f>
        <v>0.3163180821917808</v>
      </c>
      <c r="C39" s="53"/>
      <c r="D39" s="53"/>
      <c r="E39" s="53"/>
      <c r="F39" s="53"/>
      <c r="G39" s="53"/>
      <c r="H39" s="53"/>
      <c r="I39" s="53"/>
      <c r="J39" s="53"/>
      <c r="K39" s="53"/>
      <c r="L39" s="55">
        <f>SUM(L9:L38)</f>
        <v>365</v>
      </c>
      <c r="M39" s="54">
        <f>SUM(M9:M38)</f>
        <v>115.45609999999999</v>
      </c>
    </row>
  </sheetData>
  <mergeCells count="1">
    <mergeCell ref="A3:A5"/>
  </mergeCells>
  <printOptions/>
  <pageMargins left="0.75" right="0.3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5" sqref="A5"/>
    </sheetView>
  </sheetViews>
  <sheetFormatPr defaultColWidth="9.140625" defaultRowHeight="12.75"/>
  <cols>
    <col min="1" max="1" width="20.8515625" style="28" customWidth="1"/>
    <col min="2" max="2" width="12.140625" style="0" bestFit="1" customWidth="1"/>
    <col min="3" max="3" width="13.00390625" style="0" bestFit="1" customWidth="1"/>
    <col min="4" max="4" width="16.8515625" style="0" bestFit="1" customWidth="1"/>
  </cols>
  <sheetData>
    <row r="1" spans="1:4" ht="13.5" thickTop="1">
      <c r="A1" s="149"/>
      <c r="B1" s="11" t="s">
        <v>2</v>
      </c>
      <c r="C1" s="25" t="s">
        <v>20</v>
      </c>
      <c r="D1" s="24" t="s">
        <v>22</v>
      </c>
    </row>
    <row r="2" spans="1:2" ht="12.75">
      <c r="A2" s="150"/>
      <c r="B2" s="6" t="s">
        <v>11</v>
      </c>
    </row>
    <row r="3" spans="1:2" ht="13.5" thickBot="1">
      <c r="A3" s="151"/>
      <c r="B3" s="7" t="s">
        <v>8</v>
      </c>
    </row>
    <row r="4" ht="13.5" thickTop="1"/>
    <row r="5" spans="1:4" ht="12.75">
      <c r="A5" s="28">
        <v>37257</v>
      </c>
      <c r="B5">
        <v>0.2702</v>
      </c>
      <c r="C5">
        <f>A6-A5</f>
        <v>7</v>
      </c>
      <c r="D5">
        <f>B5*C5</f>
        <v>1.8914</v>
      </c>
    </row>
    <row r="6" spans="1:4" ht="12.75">
      <c r="A6" s="28">
        <v>37264</v>
      </c>
      <c r="B6">
        <v>0.28</v>
      </c>
      <c r="C6">
        <f aca="true" t="shared" si="0" ref="C6:C24">A7-A6</f>
        <v>9</v>
      </c>
      <c r="D6">
        <f aca="true" t="shared" si="1" ref="D6:D25">B6*C6</f>
        <v>2.5200000000000005</v>
      </c>
    </row>
    <row r="7" spans="1:4" ht="12.75">
      <c r="A7" s="28">
        <v>37273</v>
      </c>
      <c r="B7">
        <v>0.2633</v>
      </c>
      <c r="C7">
        <f t="shared" si="0"/>
        <v>14</v>
      </c>
      <c r="D7">
        <f t="shared" si="1"/>
        <v>3.6861999999999995</v>
      </c>
    </row>
    <row r="8" spans="1:4" ht="12.75">
      <c r="A8" s="28">
        <v>37287</v>
      </c>
      <c r="B8">
        <v>0.2727</v>
      </c>
      <c r="C8">
        <f t="shared" si="0"/>
        <v>35</v>
      </c>
      <c r="D8">
        <f t="shared" si="1"/>
        <v>9.5445</v>
      </c>
    </row>
    <row r="9" spans="1:4" ht="12.75">
      <c r="A9" s="28">
        <v>37322</v>
      </c>
      <c r="B9">
        <v>0.2918</v>
      </c>
      <c r="C9">
        <f t="shared" si="0"/>
        <v>8</v>
      </c>
      <c r="D9">
        <f t="shared" si="1"/>
        <v>2.3344</v>
      </c>
    </row>
    <row r="10" spans="1:4" ht="12.75">
      <c r="A10" s="28">
        <v>37330</v>
      </c>
      <c r="B10">
        <v>0.3098</v>
      </c>
      <c r="C10">
        <f t="shared" si="0"/>
        <v>22</v>
      </c>
      <c r="D10">
        <f t="shared" si="1"/>
        <v>6.815600000000001</v>
      </c>
    </row>
    <row r="11" spans="1:4" ht="12.75">
      <c r="A11" s="28">
        <v>37352</v>
      </c>
      <c r="B11">
        <v>0.3321</v>
      </c>
      <c r="C11">
        <f t="shared" si="0"/>
        <v>10</v>
      </c>
      <c r="D11">
        <f t="shared" si="1"/>
        <v>3.321</v>
      </c>
    </row>
    <row r="12" spans="1:4" ht="12.75">
      <c r="A12" s="28">
        <v>37362</v>
      </c>
      <c r="B12">
        <v>0.3015</v>
      </c>
      <c r="C12">
        <f t="shared" si="0"/>
        <v>10</v>
      </c>
      <c r="D12">
        <f t="shared" si="1"/>
        <v>3.0149999999999997</v>
      </c>
    </row>
    <row r="13" spans="1:4" ht="12.75">
      <c r="A13" s="28">
        <v>37372</v>
      </c>
      <c r="B13">
        <v>0.3105</v>
      </c>
      <c r="C13">
        <f t="shared" si="0"/>
        <v>35</v>
      </c>
      <c r="D13">
        <f t="shared" si="1"/>
        <v>10.8675</v>
      </c>
    </row>
    <row r="14" spans="1:4" ht="12.75">
      <c r="A14" s="28">
        <v>37407</v>
      </c>
      <c r="B14">
        <v>0.2922</v>
      </c>
      <c r="C14">
        <f t="shared" si="0"/>
        <v>39</v>
      </c>
      <c r="D14">
        <f t="shared" si="1"/>
        <v>11.395800000000001</v>
      </c>
    </row>
    <row r="15" spans="1:4" ht="12.75">
      <c r="A15" s="28">
        <v>37446</v>
      </c>
      <c r="B15">
        <v>0.302</v>
      </c>
      <c r="C15">
        <f t="shared" si="0"/>
        <v>43</v>
      </c>
      <c r="D15">
        <f t="shared" si="1"/>
        <v>12.985999999999999</v>
      </c>
    </row>
    <row r="16" spans="1:4" ht="12.75">
      <c r="A16" s="28">
        <v>37489</v>
      </c>
      <c r="B16">
        <v>0.3184</v>
      </c>
      <c r="C16">
        <f t="shared" si="0"/>
        <v>13</v>
      </c>
      <c r="D16">
        <f t="shared" si="1"/>
        <v>4.139200000000001</v>
      </c>
    </row>
    <row r="17" spans="1:4" ht="12.75">
      <c r="A17" s="28">
        <v>37502</v>
      </c>
      <c r="B17">
        <v>0.3265</v>
      </c>
      <c r="C17">
        <f t="shared" si="0"/>
        <v>15</v>
      </c>
      <c r="D17">
        <f t="shared" si="1"/>
        <v>4.8975</v>
      </c>
    </row>
    <row r="18" spans="1:4" ht="12.75">
      <c r="A18" s="28">
        <v>37517</v>
      </c>
      <c r="B18">
        <v>0.3367</v>
      </c>
      <c r="C18">
        <f t="shared" si="0"/>
        <v>41</v>
      </c>
      <c r="D18">
        <f t="shared" si="1"/>
        <v>13.8047</v>
      </c>
    </row>
    <row r="19" spans="1:4" ht="12.75">
      <c r="A19" s="28">
        <v>37558</v>
      </c>
      <c r="B19">
        <v>0.3224</v>
      </c>
      <c r="C19">
        <f t="shared" si="0"/>
        <v>8</v>
      </c>
      <c r="D19">
        <f t="shared" si="1"/>
        <v>2.5792</v>
      </c>
    </row>
    <row r="20" spans="1:4" ht="12.75">
      <c r="A20" s="28">
        <v>37566</v>
      </c>
      <c r="B20">
        <v>0.3089</v>
      </c>
      <c r="C20">
        <f t="shared" si="0"/>
        <v>8</v>
      </c>
      <c r="D20">
        <f t="shared" si="1"/>
        <v>2.4712</v>
      </c>
    </row>
    <row r="21" spans="1:4" ht="12.75">
      <c r="A21" s="28">
        <v>37574</v>
      </c>
      <c r="B21">
        <v>0.2927</v>
      </c>
      <c r="C21">
        <f t="shared" si="0"/>
        <v>12</v>
      </c>
      <c r="D21">
        <f t="shared" si="1"/>
        <v>3.5124000000000004</v>
      </c>
    </row>
    <row r="22" spans="1:4" ht="12.75">
      <c r="A22" s="28">
        <v>37586</v>
      </c>
      <c r="B22">
        <v>0.312</v>
      </c>
      <c r="C22">
        <f t="shared" si="0"/>
        <v>9</v>
      </c>
      <c r="D22">
        <f t="shared" si="1"/>
        <v>2.808</v>
      </c>
    </row>
    <row r="23" spans="1:4" ht="12.75">
      <c r="A23" s="28">
        <v>37595</v>
      </c>
      <c r="B23">
        <v>0.3218</v>
      </c>
      <c r="C23">
        <f t="shared" si="0"/>
        <v>16</v>
      </c>
      <c r="D23">
        <f t="shared" si="1"/>
        <v>5.1488</v>
      </c>
    </row>
    <row r="24" spans="1:4" ht="12.75">
      <c r="A24" s="28">
        <v>37611</v>
      </c>
      <c r="B24">
        <v>0.3507</v>
      </c>
      <c r="C24">
        <f t="shared" si="0"/>
        <v>10</v>
      </c>
      <c r="D24">
        <f t="shared" si="1"/>
        <v>3.507</v>
      </c>
    </row>
    <row r="25" spans="1:4" ht="12.75">
      <c r="A25" s="28">
        <v>37621</v>
      </c>
      <c r="B25">
        <v>0.3507</v>
      </c>
      <c r="C25">
        <v>1</v>
      </c>
      <c r="D25">
        <f t="shared" si="1"/>
        <v>0.3507</v>
      </c>
    </row>
    <row r="27" spans="1:4" ht="25.5">
      <c r="A27" s="34" t="s">
        <v>21</v>
      </c>
      <c r="B27" s="26">
        <f>D27/C27</f>
        <v>0.3057427397260274</v>
      </c>
      <c r="C27" s="55">
        <f>SUM(C5:C26)</f>
        <v>365</v>
      </c>
      <c r="D27" s="55">
        <f>SUM(D5:D26)</f>
        <v>111.59609999999999</v>
      </c>
    </row>
  </sheetData>
  <mergeCells count="1">
    <mergeCell ref="A1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FEDERATION PETROLIERE BELGE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Vervenne</dc:creator>
  <cp:keywords/>
  <dc:description/>
  <cp:lastModifiedBy>ebe</cp:lastModifiedBy>
  <cp:lastPrinted>2005-10-19T14:37:00Z</cp:lastPrinted>
  <dcterms:created xsi:type="dcterms:W3CDTF">2003-01-28T08:29:12Z</dcterms:created>
  <dcterms:modified xsi:type="dcterms:W3CDTF">2005-10-19T14:44:35Z</dcterms:modified>
  <cp:category/>
  <cp:version/>
  <cp:contentType/>
  <cp:contentStatus/>
</cp:coreProperties>
</file>