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180" yWindow="1905" windowWidth="19440" windowHeight="11700"/>
  </bookViews>
  <sheets>
    <sheet name="Rekenblad front" sheetId="6" r:id="rId1"/>
    <sheet name="Rekenblad reduced" sheetId="13" r:id="rId2"/>
    <sheet name="Blad3" sheetId="10" r:id="rId3"/>
    <sheet name="Blad2" sheetId="9" r:id="rId4"/>
    <sheet name="Blad1" sheetId="11" r:id="rId5"/>
    <sheet name="Blad4" sheetId="12" r:id="rId6"/>
    <sheet name="ontslagverg opera" sheetId="14" r:id="rId7"/>
    <sheet name="Lonen ballet correcties" sheetId="15" r:id="rId8"/>
    <sheet name="EI Ballet evolutie" sheetId="16" r:id="rId9"/>
  </sheets>
  <externalReferences>
    <externalReference r:id="rId10"/>
    <externalReference r:id="rId11"/>
    <externalReference r:id="rId12"/>
  </externalReferences>
  <definedNames>
    <definedName name="_xlnm.Print_Area" localSheetId="0">'Rekenblad front'!$A$1:$L$51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6" l="1"/>
  <c r="A2" i="13"/>
  <c r="A1" i="13"/>
  <c r="D13" i="6"/>
  <c r="E13" i="6"/>
  <c r="C9" i="14"/>
  <c r="C15" i="14" s="1"/>
  <c r="D10" i="6"/>
  <c r="F10" i="6" s="1"/>
  <c r="E10" i="6"/>
  <c r="C14" i="14"/>
  <c r="D6" i="6"/>
  <c r="E6" i="6"/>
  <c r="C13" i="14"/>
  <c r="F6" i="6"/>
  <c r="G6" i="6" s="1"/>
  <c r="D9" i="14"/>
  <c r="E9" i="14"/>
  <c r="F9" i="14"/>
  <c r="G9" i="14"/>
  <c r="C2" i="16"/>
  <c r="D2" i="16"/>
  <c r="E2" i="16"/>
  <c r="F2" i="16"/>
  <c r="K3" i="6"/>
  <c r="G2" i="16" s="1"/>
  <c r="B2" i="16"/>
  <c r="D8" i="6"/>
  <c r="E8" i="6"/>
  <c r="F8" i="6" s="1"/>
  <c r="D3" i="15"/>
  <c r="D4" i="15"/>
  <c r="D5" i="15"/>
  <c r="D18" i="15"/>
  <c r="H2" i="15"/>
  <c r="H15" i="15"/>
  <c r="H18" i="15" s="1"/>
  <c r="I18" i="15" s="1"/>
  <c r="H46" i="15"/>
  <c r="H47" i="15"/>
  <c r="H48" i="15"/>
  <c r="H51" i="15"/>
  <c r="D46" i="15"/>
  <c r="D47" i="15"/>
  <c r="D48" i="15"/>
  <c r="D51" i="15"/>
  <c r="I51" i="15"/>
  <c r="K51" i="15" s="1"/>
  <c r="J51" i="15"/>
  <c r="I46" i="15"/>
  <c r="K46" i="15"/>
  <c r="I47" i="15"/>
  <c r="K47" i="15"/>
  <c r="I48" i="15"/>
  <c r="K48" i="15"/>
  <c r="H45" i="15"/>
  <c r="H49" i="15"/>
  <c r="I49" i="15" s="1"/>
  <c r="D45" i="15"/>
  <c r="D49" i="15"/>
  <c r="I45" i="15"/>
  <c r="K45" i="15"/>
  <c r="J46" i="15"/>
  <c r="J47" i="15"/>
  <c r="J48" i="15"/>
  <c r="J45" i="15"/>
  <c r="I3" i="15"/>
  <c r="I12" i="15"/>
  <c r="I11" i="15"/>
  <c r="I10" i="15"/>
  <c r="I9" i="15"/>
  <c r="I8" i="15"/>
  <c r="I7" i="15"/>
  <c r="I6" i="15"/>
  <c r="I4" i="15"/>
  <c r="I2" i="15"/>
  <c r="I5" i="15"/>
  <c r="E18" i="15"/>
  <c r="B26" i="6"/>
  <c r="C26" i="6"/>
  <c r="D11" i="14"/>
  <c r="E11" i="14"/>
  <c r="F11" i="14"/>
  <c r="G11" i="14"/>
  <c r="C11" i="14"/>
  <c r="E22" i="6"/>
  <c r="E13" i="14"/>
  <c r="F13" i="14"/>
  <c r="G13" i="14"/>
  <c r="E14" i="14"/>
  <c r="F14" i="14"/>
  <c r="G14" i="14"/>
  <c r="E15" i="14"/>
  <c r="F15" i="14"/>
  <c r="G15" i="14"/>
  <c r="D14" i="14"/>
  <c r="D15" i="14"/>
  <c r="D13" i="14"/>
  <c r="E9" i="6"/>
  <c r="F9" i="6" s="1"/>
  <c r="G9" i="6" s="1"/>
  <c r="H9" i="6" s="1"/>
  <c r="I9" i="6" s="1"/>
  <c r="J9" i="6" s="1"/>
  <c r="E7" i="6"/>
  <c r="F7" i="6" s="1"/>
  <c r="G7" i="6" s="1"/>
  <c r="H7" i="6" s="1"/>
  <c r="I7" i="6" s="1"/>
  <c r="E24" i="6"/>
  <c r="F24" i="6" s="1"/>
  <c r="G24" i="6" s="1"/>
  <c r="H24" i="6" s="1"/>
  <c r="I24" i="6" s="1"/>
  <c r="J24" i="6" s="1"/>
  <c r="K20" i="6"/>
  <c r="F41" i="6"/>
  <c r="E12" i="6"/>
  <c r="F12" i="6" s="1"/>
  <c r="G12" i="6" s="1"/>
  <c r="H12" i="6" s="1"/>
  <c r="I12" i="6" s="1"/>
  <c r="J12" i="6" s="1"/>
  <c r="D16" i="14"/>
  <c r="E16" i="14"/>
  <c r="F16" i="14"/>
  <c r="G16" i="14"/>
  <c r="C4" i="14"/>
  <c r="F34" i="6"/>
  <c r="E2" i="6"/>
  <c r="G34" i="6"/>
  <c r="H34" i="6"/>
  <c r="M3" i="6"/>
  <c r="F4" i="6"/>
  <c r="F22" i="6" s="1"/>
  <c r="G22" i="6" s="1"/>
  <c r="G4" i="6"/>
  <c r="H4" i="6"/>
  <c r="I4" i="6"/>
  <c r="J4" i="6"/>
  <c r="E23" i="6"/>
  <c r="F23" i="6"/>
  <c r="G23" i="6" s="1"/>
  <c r="H23" i="6" s="1"/>
  <c r="I23" i="6" s="1"/>
  <c r="F35" i="6"/>
  <c r="G35" i="6" s="1"/>
  <c r="E25" i="6"/>
  <c r="F25" i="6"/>
  <c r="E11" i="6"/>
  <c r="F11" i="6" s="1"/>
  <c r="G11" i="6" s="1"/>
  <c r="H11" i="6" s="1"/>
  <c r="I11" i="6" s="1"/>
  <c r="J11" i="6" s="1"/>
  <c r="E14" i="6"/>
  <c r="F14" i="6" s="1"/>
  <c r="G14" i="6" s="1"/>
  <c r="H14" i="6" s="1"/>
  <c r="I14" i="6" s="1"/>
  <c r="J14" i="6" s="1"/>
  <c r="F15" i="6"/>
  <c r="G15" i="6" s="1"/>
  <c r="E16" i="6"/>
  <c r="F16" i="6" s="1"/>
  <c r="G16" i="6" s="1"/>
  <c r="H16" i="6" s="1"/>
  <c r="E17" i="6"/>
  <c r="F17" i="6"/>
  <c r="G17" i="6" s="1"/>
  <c r="G12" i="13" s="1"/>
  <c r="H17" i="6"/>
  <c r="I17" i="6" s="1"/>
  <c r="J17" i="6" s="1"/>
  <c r="J12" i="13" s="1"/>
  <c r="E18" i="6"/>
  <c r="F18" i="6" s="1"/>
  <c r="G18" i="6" s="1"/>
  <c r="E19" i="6"/>
  <c r="F19" i="6"/>
  <c r="G19" i="6" s="1"/>
  <c r="G14" i="13" s="1"/>
  <c r="H19" i="6"/>
  <c r="I19" i="6" s="1"/>
  <c r="J19" i="6" s="1"/>
  <c r="J14" i="13" s="1"/>
  <c r="K20" i="13"/>
  <c r="G40" i="6"/>
  <c r="H37" i="6"/>
  <c r="H40" i="6" s="1"/>
  <c r="I40" i="6" s="1"/>
  <c r="I37" i="6"/>
  <c r="J37" i="6"/>
  <c r="G41" i="6"/>
  <c r="E38" i="6"/>
  <c r="F37" i="6"/>
  <c r="F38" i="6" s="1"/>
  <c r="G37" i="6"/>
  <c r="I14" i="13"/>
  <c r="H18" i="13"/>
  <c r="H14" i="13"/>
  <c r="G18" i="13"/>
  <c r="G42" i="6"/>
  <c r="F17" i="13"/>
  <c r="F18" i="13"/>
  <c r="F20" i="13"/>
  <c r="F10" i="13"/>
  <c r="F11" i="13"/>
  <c r="F12" i="13"/>
  <c r="F13" i="13"/>
  <c r="F14" i="13"/>
  <c r="F40" i="6"/>
  <c r="F35" i="13" s="1"/>
  <c r="F42" i="6"/>
  <c r="F46" i="6"/>
  <c r="F41" i="13" s="1"/>
  <c r="J7" i="6"/>
  <c r="I34" i="6"/>
  <c r="J34" i="6"/>
  <c r="E20" i="6"/>
  <c r="F20" i="6"/>
  <c r="G20" i="6" s="1"/>
  <c r="E21" i="6"/>
  <c r="F21" i="6" s="1"/>
  <c r="E39" i="6"/>
  <c r="F39" i="6"/>
  <c r="G39" i="6" s="1"/>
  <c r="I19" i="13"/>
  <c r="H19" i="13"/>
  <c r="G19" i="13"/>
  <c r="F6" i="13"/>
  <c r="F19" i="13"/>
  <c r="F45" i="6"/>
  <c r="F40" i="13" s="1"/>
  <c r="F43" i="13" s="1"/>
  <c r="K25" i="6"/>
  <c r="F29" i="6"/>
  <c r="F33" i="13"/>
  <c r="F34" i="13"/>
  <c r="G35" i="13"/>
  <c r="H35" i="13"/>
  <c r="I35" i="13"/>
  <c r="F36" i="13"/>
  <c r="G36" i="13"/>
  <c r="F37" i="13"/>
  <c r="G37" i="13"/>
  <c r="F38" i="13"/>
  <c r="G38" i="13"/>
  <c r="H38" i="13"/>
  <c r="I38" i="13"/>
  <c r="J38" i="13"/>
  <c r="F39" i="13"/>
  <c r="G39" i="13"/>
  <c r="H39" i="13"/>
  <c r="I39" i="13"/>
  <c r="J39" i="13"/>
  <c r="E35" i="13"/>
  <c r="E36" i="13"/>
  <c r="E42" i="6"/>
  <c r="E37" i="13"/>
  <c r="E38" i="13"/>
  <c r="E39" i="13"/>
  <c r="E40" i="13"/>
  <c r="E41" i="13"/>
  <c r="C35" i="13"/>
  <c r="C36" i="13"/>
  <c r="C37" i="13"/>
  <c r="C38" i="13"/>
  <c r="C39" i="13"/>
  <c r="C40" i="13"/>
  <c r="C41" i="13"/>
  <c r="D8" i="13"/>
  <c r="D7" i="13"/>
  <c r="D6" i="13"/>
  <c r="G29" i="13"/>
  <c r="H29" i="13"/>
  <c r="I29" i="13"/>
  <c r="J29" i="13"/>
  <c r="G30" i="13"/>
  <c r="F30" i="13"/>
  <c r="F29" i="13"/>
  <c r="D30" i="13"/>
  <c r="D29" i="13"/>
  <c r="A29" i="13" s="1"/>
  <c r="C30" i="13"/>
  <c r="C29" i="13"/>
  <c r="E34" i="13"/>
  <c r="E33" i="13"/>
  <c r="C34" i="13"/>
  <c r="C33" i="13"/>
  <c r="E11" i="13"/>
  <c r="E12" i="13"/>
  <c r="E69" i="13" s="1"/>
  <c r="E13" i="13"/>
  <c r="E14" i="13"/>
  <c r="E15" i="13"/>
  <c r="E16" i="13"/>
  <c r="E17" i="13"/>
  <c r="E18" i="13"/>
  <c r="E19" i="13"/>
  <c r="E20" i="13"/>
  <c r="E15" i="6"/>
  <c r="E10" i="13"/>
  <c r="C12" i="13"/>
  <c r="C13" i="13"/>
  <c r="C14" i="13"/>
  <c r="C15" i="13"/>
  <c r="C16" i="13"/>
  <c r="C17" i="13"/>
  <c r="C49" i="13" s="1"/>
  <c r="C18" i="13"/>
  <c r="C19" i="13"/>
  <c r="L19" i="13" s="1"/>
  <c r="L20" i="13" s="1"/>
  <c r="C20" i="13"/>
  <c r="C11" i="13"/>
  <c r="C57" i="13" s="1"/>
  <c r="B10" i="13"/>
  <c r="E9" i="13"/>
  <c r="E8" i="13"/>
  <c r="E7" i="13"/>
  <c r="E6" i="13"/>
  <c r="B9" i="13"/>
  <c r="B8" i="13"/>
  <c r="B7" i="13"/>
  <c r="B6" i="13"/>
  <c r="N3" i="13"/>
  <c r="G4" i="13"/>
  <c r="I4" i="13"/>
  <c r="C68" i="13"/>
  <c r="G62" i="13"/>
  <c r="G1" i="13"/>
  <c r="E53" i="13"/>
  <c r="F49" i="13"/>
  <c r="E48" i="13"/>
  <c r="C48" i="13"/>
  <c r="F32" i="13"/>
  <c r="G32" i="13"/>
  <c r="H32" i="13"/>
  <c r="I32" i="13"/>
  <c r="J32" i="13"/>
  <c r="A30" i="13"/>
  <c r="E22" i="13"/>
  <c r="K3" i="13"/>
  <c r="C29" i="6"/>
  <c r="C27" i="6"/>
  <c r="C32" i="6" s="1"/>
  <c r="F48" i="6"/>
  <c r="C28" i="6"/>
  <c r="C31" i="6"/>
  <c r="C49" i="6" s="1"/>
  <c r="C51" i="6" s="1"/>
  <c r="C50" i="6"/>
  <c r="C47" i="6"/>
  <c r="F47" i="6"/>
  <c r="E27" i="6"/>
  <c r="E26" i="6"/>
  <c r="A35" i="6"/>
  <c r="A34" i="6"/>
  <c r="G93" i="10"/>
  <c r="G99" i="10" s="1"/>
  <c r="F95" i="10"/>
  <c r="G95" i="10" s="1"/>
  <c r="C88" i="10"/>
  <c r="B88" i="10"/>
  <c r="L4" i="6"/>
  <c r="L5" i="6"/>
  <c r="B37" i="10"/>
  <c r="C61" i="10" s="1"/>
  <c r="B40" i="10"/>
  <c r="C52" i="10" s="1"/>
  <c r="K4" i="6"/>
  <c r="B33" i="10"/>
  <c r="C51" i="10" s="1"/>
  <c r="B31" i="10"/>
  <c r="B43" i="10" s="1"/>
  <c r="B29" i="10"/>
  <c r="B27" i="10"/>
  <c r="B3" i="10"/>
  <c r="G67" i="6"/>
  <c r="B32" i="10"/>
  <c r="B51" i="10" s="1"/>
  <c r="C24" i="10"/>
  <c r="C23" i="10"/>
  <c r="C19" i="10"/>
  <c r="C73" i="10" s="1"/>
  <c r="C18" i="10"/>
  <c r="B83" i="10" s="1"/>
  <c r="B91" i="10" s="1"/>
  <c r="C92" i="10" s="1"/>
  <c r="L24" i="10"/>
  <c r="M24" i="10"/>
  <c r="N24" i="10" s="1"/>
  <c r="O24" i="10" s="1"/>
  <c r="P24" i="10" s="1"/>
  <c r="Q24" i="10" s="1"/>
  <c r="K26" i="10"/>
  <c r="L26" i="10"/>
  <c r="M26" i="10" s="1"/>
  <c r="N26" i="10" s="1"/>
  <c r="O26" i="10" s="1"/>
  <c r="P26" i="10" s="1"/>
  <c r="Q26" i="10" s="1"/>
  <c r="K25" i="10"/>
  <c r="L25" i="10" s="1"/>
  <c r="M25" i="10" s="1"/>
  <c r="N25" i="10" s="1"/>
  <c r="O25" i="10" s="1"/>
  <c r="P25" i="10" s="1"/>
  <c r="Q25" i="10" s="1"/>
  <c r="M4" i="10"/>
  <c r="L4" i="10"/>
  <c r="I4" i="10"/>
  <c r="I3" i="10"/>
  <c r="I5" i="10" s="1"/>
  <c r="K27" i="10"/>
  <c r="Q28" i="10" s="1"/>
  <c r="L27" i="10"/>
  <c r="L28" i="10" s="1"/>
  <c r="C16" i="10"/>
  <c r="F3" i="9"/>
  <c r="E3" i="9"/>
  <c r="D3" i="9"/>
  <c r="C3" i="9"/>
  <c r="B3" i="9"/>
  <c r="C72" i="10"/>
  <c r="M27" i="10"/>
  <c r="N27" i="10" s="1"/>
  <c r="M28" i="10"/>
  <c r="C70" i="10"/>
  <c r="C54" i="6"/>
  <c r="L24" i="6"/>
  <c r="B17" i="9"/>
  <c r="E29" i="6"/>
  <c r="B10" i="9"/>
  <c r="L25" i="6"/>
  <c r="F66" i="6"/>
  <c r="G66" i="6"/>
  <c r="G68" i="6" s="1"/>
  <c r="B16" i="9"/>
  <c r="C31" i="9" s="1"/>
  <c r="B18" i="9"/>
  <c r="B6" i="9"/>
  <c r="B25" i="9" s="1"/>
  <c r="E54" i="6"/>
  <c r="D17" i="9"/>
  <c r="G32" i="9" s="1"/>
  <c r="C10" i="9"/>
  <c r="B7" i="9"/>
  <c r="C16" i="9"/>
  <c r="E31" i="9" s="1"/>
  <c r="F54" i="6"/>
  <c r="C18" i="9"/>
  <c r="E33" i="9" s="1"/>
  <c r="D16" i="9"/>
  <c r="G31" i="9" s="1"/>
  <c r="C6" i="9"/>
  <c r="C17" i="9"/>
  <c r="E32" i="9" s="1"/>
  <c r="C33" i="9"/>
  <c r="D10" i="9"/>
  <c r="E17" i="9"/>
  <c r="I32" i="9" s="1"/>
  <c r="C7" i="9"/>
  <c r="D25" i="9"/>
  <c r="C32" i="9"/>
  <c r="E10" i="9"/>
  <c r="D7" i="9"/>
  <c r="F17" i="9"/>
  <c r="K32" i="9" s="1"/>
  <c r="F10" i="9"/>
  <c r="E7" i="9"/>
  <c r="F7" i="9"/>
  <c r="B36" i="10"/>
  <c r="B5" i="10" s="1"/>
  <c r="B39" i="10"/>
  <c r="B52" i="10" s="1"/>
  <c r="B8" i="10"/>
  <c r="B1" i="10"/>
  <c r="B79" i="10" s="1"/>
  <c r="F94" i="10"/>
  <c r="G94" i="10" s="1"/>
  <c r="B28" i="10"/>
  <c r="B8" i="9"/>
  <c r="B26" i="9" s="1"/>
  <c r="B30" i="10"/>
  <c r="B42" i="10"/>
  <c r="B53" i="10" s="1"/>
  <c r="B11" i="9"/>
  <c r="C29" i="10"/>
  <c r="C8" i="9"/>
  <c r="B9" i="9"/>
  <c r="B26" i="10"/>
  <c r="B2" i="10"/>
  <c r="B12" i="9"/>
  <c r="B27" i="9" s="1"/>
  <c r="C14" i="10"/>
  <c r="B82" i="10" s="1"/>
  <c r="C12" i="10"/>
  <c r="C9" i="9"/>
  <c r="D26" i="9" s="1"/>
  <c r="C12" i="9"/>
  <c r="C57" i="6"/>
  <c r="C60" i="6"/>
  <c r="C10" i="10"/>
  <c r="C20" i="10" s="1"/>
  <c r="D9" i="9"/>
  <c r="C33" i="6"/>
  <c r="C73" i="6"/>
  <c r="D12" i="9"/>
  <c r="B5" i="9"/>
  <c r="C53" i="6"/>
  <c r="E9" i="9"/>
  <c r="C74" i="6"/>
  <c r="C75" i="6" s="1"/>
  <c r="E12" i="9"/>
  <c r="F12" i="9"/>
  <c r="C5" i="9"/>
  <c r="C55" i="6"/>
  <c r="C62" i="6"/>
  <c r="C64" i="6" s="1"/>
  <c r="C58" i="6"/>
  <c r="E74" i="6"/>
  <c r="D5" i="9"/>
  <c r="F9" i="9"/>
  <c r="F74" i="6"/>
  <c r="F78" i="6" s="1"/>
  <c r="B4" i="9"/>
  <c r="B24" i="9" s="1"/>
  <c r="E57" i="6"/>
  <c r="E60" i="6"/>
  <c r="E61" i="6" s="1"/>
  <c r="E5" i="9"/>
  <c r="E73" i="6"/>
  <c r="B14" i="9"/>
  <c r="C29" i="9" s="1"/>
  <c r="E28" i="6"/>
  <c r="B15" i="9"/>
  <c r="C30" i="9" s="1"/>
  <c r="E53" i="6"/>
  <c r="C4" i="9"/>
  <c r="D24" i="9"/>
  <c r="E32" i="6"/>
  <c r="B20" i="9" s="1"/>
  <c r="C35" i="9" s="1"/>
  <c r="E62" i="6"/>
  <c r="E64" i="6" s="1"/>
  <c r="E58" i="6"/>
  <c r="B13" i="9"/>
  <c r="C28" i="9" s="1"/>
  <c r="E55" i="6"/>
  <c r="F5" i="9"/>
  <c r="F73" i="6"/>
  <c r="F77" i="6"/>
  <c r="F55" i="6"/>
  <c r="F62" i="6"/>
  <c r="F63" i="6" s="1"/>
  <c r="C13" i="9"/>
  <c r="E28" i="9"/>
  <c r="F58" i="6"/>
  <c r="F59" i="6"/>
  <c r="F53" i="6"/>
  <c r="C15" i="9"/>
  <c r="E30" i="9" s="1"/>
  <c r="E63" i="6"/>
  <c r="C14" i="9"/>
  <c r="E29" i="9" s="1"/>
  <c r="E31" i="6"/>
  <c r="B19" i="9" s="1"/>
  <c r="C34" i="9" s="1"/>
  <c r="D13" i="9"/>
  <c r="G28" i="9" s="1"/>
  <c r="D14" i="9"/>
  <c r="G29" i="9" s="1"/>
  <c r="D15" i="9"/>
  <c r="G30" i="9" s="1"/>
  <c r="E33" i="6"/>
  <c r="E13" i="9"/>
  <c r="I28" i="9" s="1"/>
  <c r="H94" i="10" l="1"/>
  <c r="C31" i="10"/>
  <c r="B4" i="10"/>
  <c r="C27" i="10"/>
  <c r="C34" i="10" s="1"/>
  <c r="B61" i="10"/>
  <c r="D61" i="10" s="1"/>
  <c r="C60" i="10"/>
  <c r="C62" i="10" s="1"/>
  <c r="B60" i="10"/>
  <c r="D52" i="10"/>
  <c r="F96" i="10"/>
  <c r="N28" i="10"/>
  <c r="O27" i="10"/>
  <c r="B54" i="10"/>
  <c r="D51" i="10"/>
  <c r="H95" i="10"/>
  <c r="H97" i="10" s="1"/>
  <c r="B84" i="10"/>
  <c r="D60" i="10"/>
  <c r="D62" i="10" s="1"/>
  <c r="D64" i="10" s="1"/>
  <c r="B62" i="10"/>
  <c r="C75" i="10"/>
  <c r="C74" i="10"/>
  <c r="C53" i="10"/>
  <c r="C54" i="10" s="1"/>
  <c r="C43" i="10"/>
  <c r="H20" i="6"/>
  <c r="G15" i="13"/>
  <c r="G53" i="6"/>
  <c r="G73" i="6"/>
  <c r="G77" i="6" s="1"/>
  <c r="F97" i="10"/>
  <c r="B45" i="10"/>
  <c r="B78" i="10"/>
  <c r="B80" i="10" s="1"/>
  <c r="B85" i="10" s="1"/>
  <c r="B6" i="10"/>
  <c r="B46" i="10"/>
  <c r="B7" i="10"/>
  <c r="B9" i="10" s="1"/>
  <c r="F4" i="13"/>
  <c r="H4" i="13"/>
  <c r="J4" i="13"/>
  <c r="L4" i="13"/>
  <c r="L5" i="13" s="1"/>
  <c r="H39" i="6"/>
  <c r="G45" i="6"/>
  <c r="G34" i="13"/>
  <c r="G21" i="6"/>
  <c r="G28" i="6" s="1"/>
  <c r="F16" i="13"/>
  <c r="F69" i="13" s="1"/>
  <c r="F73" i="13" s="1"/>
  <c r="F28" i="6"/>
  <c r="H18" i="6"/>
  <c r="G13" i="13"/>
  <c r="J19" i="13"/>
  <c r="K34" i="6"/>
  <c r="K29" i="13" s="1"/>
  <c r="B21" i="13"/>
  <c r="C52" i="13" s="1"/>
  <c r="E23" i="13"/>
  <c r="E26" i="13" s="1"/>
  <c r="C22" i="13"/>
  <c r="C24" i="13"/>
  <c r="C50" i="13"/>
  <c r="E24" i="13"/>
  <c r="E27" i="13" s="1"/>
  <c r="E68" i="13"/>
  <c r="C42" i="13"/>
  <c r="F42" i="13"/>
  <c r="F15" i="13"/>
  <c r="F23" i="13" s="1"/>
  <c r="G46" i="6"/>
  <c r="G41" i="13" s="1"/>
  <c r="G11" i="13"/>
  <c r="H12" i="13"/>
  <c r="I12" i="13"/>
  <c r="G38" i="6"/>
  <c r="H41" i="6"/>
  <c r="G10" i="13"/>
  <c r="H15" i="6"/>
  <c r="I18" i="13"/>
  <c r="J23" i="6"/>
  <c r="J18" i="13" s="1"/>
  <c r="H22" i="6"/>
  <c r="G17" i="13"/>
  <c r="K49" i="15"/>
  <c r="J49" i="15"/>
  <c r="J18" i="15"/>
  <c r="K18" i="15"/>
  <c r="F7" i="13"/>
  <c r="G8" i="6"/>
  <c r="G10" i="6"/>
  <c r="D8" i="9" s="1"/>
  <c r="F26" i="9" s="1"/>
  <c r="F8" i="13"/>
  <c r="F57" i="13"/>
  <c r="J40" i="6"/>
  <c r="J35" i="13" s="1"/>
  <c r="H11" i="13"/>
  <c r="I16" i="6"/>
  <c r="H35" i="6"/>
  <c r="G25" i="6"/>
  <c r="F13" i="6"/>
  <c r="C16" i="14"/>
  <c r="F24" i="13"/>
  <c r="B37" i="9"/>
  <c r="B36" i="9"/>
  <c r="C27" i="13"/>
  <c r="C45" i="13" s="1"/>
  <c r="E49" i="13"/>
  <c r="F50" i="13"/>
  <c r="E21" i="13"/>
  <c r="C55" i="13"/>
  <c r="C59" i="13" s="1"/>
  <c r="E57" i="13"/>
  <c r="F61" i="13"/>
  <c r="G61" i="13" s="1"/>
  <c r="G63" i="13" s="1"/>
  <c r="F68" i="13"/>
  <c r="F72" i="13" s="1"/>
  <c r="G8" i="13"/>
  <c r="H6" i="6"/>
  <c r="H10" i="6"/>
  <c r="D4" i="9"/>
  <c r="F24" i="9" s="1"/>
  <c r="C21" i="13"/>
  <c r="G48" i="13"/>
  <c r="E50" i="13"/>
  <c r="E52" i="13"/>
  <c r="C53" i="13"/>
  <c r="F53" i="13"/>
  <c r="F54" i="13" s="1"/>
  <c r="E55" i="13"/>
  <c r="E56" i="13" s="1"/>
  <c r="C69" i="13"/>
  <c r="C70" i="13" s="1"/>
  <c r="G6" i="13"/>
  <c r="C23" i="13"/>
  <c r="C26" i="13" s="1"/>
  <c r="F48" i="13"/>
  <c r="G13" i="6" l="1"/>
  <c r="F9" i="13"/>
  <c r="F27" i="6"/>
  <c r="F32" i="6" s="1"/>
  <c r="F26" i="6"/>
  <c r="F60" i="6"/>
  <c r="C11" i="9"/>
  <c r="D27" i="9" s="1"/>
  <c r="D36" i="9" s="1"/>
  <c r="F57" i="6"/>
  <c r="I35" i="6"/>
  <c r="H30" i="13"/>
  <c r="I22" i="6"/>
  <c r="H17" i="13"/>
  <c r="E16" i="9"/>
  <c r="I31" i="9" s="1"/>
  <c r="G33" i="13"/>
  <c r="G42" i="13" s="1"/>
  <c r="H38" i="6"/>
  <c r="G47" i="6"/>
  <c r="G68" i="13"/>
  <c r="G72" i="13" s="1"/>
  <c r="H13" i="13"/>
  <c r="I18" i="6"/>
  <c r="H73" i="6"/>
  <c r="H77" i="6" s="1"/>
  <c r="E14" i="9"/>
  <c r="I29" i="9" s="1"/>
  <c r="H34" i="13"/>
  <c r="I39" i="6"/>
  <c r="H45" i="6"/>
  <c r="K4" i="13"/>
  <c r="I20" i="6"/>
  <c r="H15" i="13"/>
  <c r="H48" i="13" s="1"/>
  <c r="E15" i="9"/>
  <c r="I30" i="9" s="1"/>
  <c r="H53" i="6"/>
  <c r="D53" i="10"/>
  <c r="P27" i="10"/>
  <c r="Q27" i="10" s="1"/>
  <c r="O28" i="10"/>
  <c r="G96" i="10"/>
  <c r="H96" i="10" s="1"/>
  <c r="G23" i="13"/>
  <c r="G20" i="13"/>
  <c r="H25" i="6"/>
  <c r="H29" i="6" s="1"/>
  <c r="G29" i="6"/>
  <c r="D18" i="9"/>
  <c r="G33" i="9" s="1"/>
  <c r="G55" i="6"/>
  <c r="G54" i="6"/>
  <c r="J16" i="6"/>
  <c r="I11" i="13"/>
  <c r="I73" i="6"/>
  <c r="I77" i="6" s="1"/>
  <c r="H8" i="6"/>
  <c r="G7" i="13"/>
  <c r="D6" i="9"/>
  <c r="F25" i="9" s="1"/>
  <c r="G24" i="13"/>
  <c r="I15" i="6"/>
  <c r="H10" i="13"/>
  <c r="H42" i="6"/>
  <c r="I41" i="6"/>
  <c r="H36" i="13"/>
  <c r="E28" i="13"/>
  <c r="F31" i="6"/>
  <c r="H21" i="6"/>
  <c r="G16" i="13"/>
  <c r="G74" i="6"/>
  <c r="G78" i="6" s="1"/>
  <c r="G58" i="6"/>
  <c r="G59" i="6" s="1"/>
  <c r="G62" i="6"/>
  <c r="G63" i="6" s="1"/>
  <c r="G40" i="13"/>
  <c r="G43" i="13" s="1"/>
  <c r="G48" i="6"/>
  <c r="E9" i="10"/>
  <c r="B20" i="10"/>
  <c r="D54" i="10"/>
  <c r="D56" i="10" s="1"/>
  <c r="E59" i="13"/>
  <c r="E58" i="13"/>
  <c r="I6" i="6"/>
  <c r="H6" i="13"/>
  <c r="E4" i="9"/>
  <c r="H24" i="9" s="1"/>
  <c r="H28" i="6"/>
  <c r="F58" i="13"/>
  <c r="C44" i="13"/>
  <c r="C46" i="13" s="1"/>
  <c r="C28" i="13"/>
  <c r="H8" i="13"/>
  <c r="E8" i="9"/>
  <c r="H26" i="9" s="1"/>
  <c r="I10" i="6"/>
  <c r="C35" i="10" l="1"/>
  <c r="B21" i="10"/>
  <c r="I21" i="6"/>
  <c r="H16" i="13"/>
  <c r="H69" i="13" s="1"/>
  <c r="H73" i="13" s="1"/>
  <c r="H74" i="6"/>
  <c r="H78" i="6" s="1"/>
  <c r="J41" i="6"/>
  <c r="I42" i="6"/>
  <c r="I36" i="13"/>
  <c r="G69" i="13"/>
  <c r="G73" i="13" s="1"/>
  <c r="G57" i="13"/>
  <c r="F49" i="6"/>
  <c r="F33" i="6"/>
  <c r="C19" i="9"/>
  <c r="E34" i="9" s="1"/>
  <c r="H46" i="6"/>
  <c r="H41" i="13" s="1"/>
  <c r="H37" i="13"/>
  <c r="J15" i="6"/>
  <c r="J10" i="13" s="1"/>
  <c r="I10" i="13"/>
  <c r="I58" i="6"/>
  <c r="I59" i="6" s="1"/>
  <c r="J11" i="13"/>
  <c r="F13" i="9"/>
  <c r="K28" i="9" s="1"/>
  <c r="G50" i="13"/>
  <c r="G49" i="13"/>
  <c r="G97" i="10"/>
  <c r="I96" i="10" s="1"/>
  <c r="J96" i="10" s="1"/>
  <c r="J20" i="6"/>
  <c r="I15" i="13"/>
  <c r="I48" i="13" s="1"/>
  <c r="I53" i="6"/>
  <c r="H40" i="13"/>
  <c r="H48" i="6"/>
  <c r="H58" i="6"/>
  <c r="H59" i="6" s="1"/>
  <c r="H68" i="13"/>
  <c r="H72" i="13" s="1"/>
  <c r="G53" i="13"/>
  <c r="G54" i="13" s="1"/>
  <c r="J22" i="6"/>
  <c r="I17" i="13"/>
  <c r="J35" i="6"/>
  <c r="J30" i="13" s="1"/>
  <c r="I30" i="13"/>
  <c r="F55" i="13"/>
  <c r="F22" i="13"/>
  <c r="F21" i="13"/>
  <c r="F52" i="13" s="1"/>
  <c r="I8" i="6"/>
  <c r="H7" i="13"/>
  <c r="E6" i="9"/>
  <c r="H25" i="9" s="1"/>
  <c r="H20" i="13"/>
  <c r="I25" i="6"/>
  <c r="E18" i="9"/>
  <c r="I33" i="9" s="1"/>
  <c r="H54" i="6"/>
  <c r="H55" i="6"/>
  <c r="J39" i="6"/>
  <c r="I45" i="6"/>
  <c r="I34" i="13"/>
  <c r="H62" i="6"/>
  <c r="H63" i="6" s="1"/>
  <c r="J18" i="6"/>
  <c r="I13" i="13"/>
  <c r="I38" i="6"/>
  <c r="H33" i="13"/>
  <c r="H42" i="13" s="1"/>
  <c r="H47" i="6"/>
  <c r="H24" i="13"/>
  <c r="H53" i="13"/>
  <c r="H54" i="13" s="1"/>
  <c r="F61" i="6"/>
  <c r="F64" i="6"/>
  <c r="C20" i="9"/>
  <c r="E35" i="9" s="1"/>
  <c r="D37" i="9" s="1"/>
  <c r="F50" i="6"/>
  <c r="G9" i="13"/>
  <c r="D11" i="9"/>
  <c r="F27" i="9" s="1"/>
  <c r="F36" i="9" s="1"/>
  <c r="G60" i="6"/>
  <c r="G27" i="6"/>
  <c r="H13" i="6"/>
  <c r="H26" i="6" s="1"/>
  <c r="H57" i="6" s="1"/>
  <c r="G26" i="6"/>
  <c r="G57" i="6" s="1"/>
  <c r="H23" i="13"/>
  <c r="J6" i="6"/>
  <c r="I28" i="6"/>
  <c r="I6" i="13"/>
  <c r="J10" i="6"/>
  <c r="I8" i="13"/>
  <c r="G22" i="13" l="1"/>
  <c r="G55" i="13"/>
  <c r="G56" i="13" s="1"/>
  <c r="G21" i="13"/>
  <c r="G52" i="13" s="1"/>
  <c r="G32" i="6"/>
  <c r="G31" i="6"/>
  <c r="J38" i="6"/>
  <c r="I33" i="13"/>
  <c r="I47" i="6"/>
  <c r="J13" i="13"/>
  <c r="F14" i="9"/>
  <c r="K29" i="9" s="1"/>
  <c r="J34" i="13"/>
  <c r="J45" i="6"/>
  <c r="H49" i="13"/>
  <c r="H50" i="13"/>
  <c r="I7" i="13"/>
  <c r="J8" i="6"/>
  <c r="F27" i="13"/>
  <c r="F45" i="13" s="1"/>
  <c r="F26" i="13"/>
  <c r="H57" i="13"/>
  <c r="H58" i="13" s="1"/>
  <c r="H43" i="13"/>
  <c r="G101" i="10"/>
  <c r="I94" i="10"/>
  <c r="I95" i="10"/>
  <c r="J95" i="10" s="1"/>
  <c r="J73" i="6"/>
  <c r="J77" i="6" s="1"/>
  <c r="F51" i="6"/>
  <c r="I37" i="13"/>
  <c r="I42" i="13" s="1"/>
  <c r="I46" i="6"/>
  <c r="I41" i="13" s="1"/>
  <c r="J21" i="6"/>
  <c r="I16" i="13"/>
  <c r="I69" i="13" s="1"/>
  <c r="I73" i="13" s="1"/>
  <c r="I74" i="6"/>
  <c r="I78" i="6" s="1"/>
  <c r="I13" i="6"/>
  <c r="E11" i="9"/>
  <c r="H27" i="9" s="1"/>
  <c r="H36" i="9" s="1"/>
  <c r="H9" i="13"/>
  <c r="H27" i="6"/>
  <c r="G61" i="6"/>
  <c r="G64" i="6"/>
  <c r="I40" i="13"/>
  <c r="I48" i="6"/>
  <c r="J25" i="6"/>
  <c r="I20" i="13"/>
  <c r="I54" i="6"/>
  <c r="I55" i="6"/>
  <c r="I68" i="13"/>
  <c r="I72" i="13" s="1"/>
  <c r="F59" i="13"/>
  <c r="F56" i="13"/>
  <c r="I29" i="6"/>
  <c r="J17" i="13"/>
  <c r="F16" i="9"/>
  <c r="K31" i="9" s="1"/>
  <c r="J15" i="13"/>
  <c r="J48" i="13" s="1"/>
  <c r="J53" i="6"/>
  <c r="F15" i="9"/>
  <c r="K30" i="9" s="1"/>
  <c r="J58" i="6"/>
  <c r="J59" i="6" s="1"/>
  <c r="G58" i="13"/>
  <c r="G59" i="13"/>
  <c r="H60" i="6"/>
  <c r="J36" i="13"/>
  <c r="J42" i="6"/>
  <c r="I62" i="6"/>
  <c r="I63" i="6" s="1"/>
  <c r="J8" i="13"/>
  <c r="F8" i="9"/>
  <c r="J26" i="9" s="1"/>
  <c r="I23" i="13"/>
  <c r="F4" i="9"/>
  <c r="J24" i="9" s="1"/>
  <c r="J6" i="13"/>
  <c r="J28" i="6"/>
  <c r="J20" i="13" l="1"/>
  <c r="J24" i="13" s="1"/>
  <c r="K35" i="6"/>
  <c r="K30" i="13" s="1"/>
  <c r="F18" i="9"/>
  <c r="K33" i="9" s="1"/>
  <c r="J55" i="6"/>
  <c r="J54" i="6"/>
  <c r="H55" i="13"/>
  <c r="H22" i="13"/>
  <c r="H21" i="13"/>
  <c r="H52" i="13" s="1"/>
  <c r="I26" i="6"/>
  <c r="I57" i="6" s="1"/>
  <c r="I27" i="6"/>
  <c r="I9" i="13"/>
  <c r="J13" i="6"/>
  <c r="I60" i="6"/>
  <c r="I43" i="13"/>
  <c r="J62" i="6"/>
  <c r="J63" i="6" s="1"/>
  <c r="J40" i="13"/>
  <c r="J48" i="6"/>
  <c r="G33" i="6"/>
  <c r="D19" i="9"/>
  <c r="G34" i="9" s="1"/>
  <c r="G49" i="6"/>
  <c r="G27" i="13"/>
  <c r="G45" i="13" s="1"/>
  <c r="G26" i="13"/>
  <c r="J46" i="6"/>
  <c r="J41" i="13" s="1"/>
  <c r="J37" i="13"/>
  <c r="H61" i="6"/>
  <c r="H64" i="6"/>
  <c r="J29" i="6"/>
  <c r="I49" i="13"/>
  <c r="I50" i="13"/>
  <c r="H32" i="6"/>
  <c r="H31" i="6"/>
  <c r="J16" i="13"/>
  <c r="J69" i="13" s="1"/>
  <c r="J73" i="13" s="1"/>
  <c r="J74" i="6"/>
  <c r="J78" i="6" s="1"/>
  <c r="J68" i="13"/>
  <c r="J72" i="13" s="1"/>
  <c r="J94" i="10"/>
  <c r="J97" i="10" s="1"/>
  <c r="K97" i="10" s="1"/>
  <c r="I97" i="10"/>
  <c r="I24" i="13"/>
  <c r="F44" i="13"/>
  <c r="F46" i="13" s="1"/>
  <c r="F28" i="13"/>
  <c r="J7" i="13"/>
  <c r="F6" i="9"/>
  <c r="J25" i="9" s="1"/>
  <c r="I57" i="13"/>
  <c r="I58" i="13" s="1"/>
  <c r="J33" i="13"/>
  <c r="J42" i="13" s="1"/>
  <c r="J47" i="6"/>
  <c r="D20" i="9"/>
  <c r="G35" i="9" s="1"/>
  <c r="G50" i="6"/>
  <c r="I53" i="13"/>
  <c r="I54" i="13" s="1"/>
  <c r="J23" i="13"/>
  <c r="J53" i="13" l="1"/>
  <c r="J54" i="13" s="1"/>
  <c r="H49" i="6"/>
  <c r="E19" i="9"/>
  <c r="I34" i="9" s="1"/>
  <c r="H33" i="6"/>
  <c r="G44" i="13"/>
  <c r="G46" i="13" s="1"/>
  <c r="G28" i="13"/>
  <c r="G51" i="6"/>
  <c r="J43" i="13"/>
  <c r="J57" i="13"/>
  <c r="J58" i="13" s="1"/>
  <c r="I61" i="6"/>
  <c r="I64" i="6"/>
  <c r="I32" i="6"/>
  <c r="I50" i="6" s="1"/>
  <c r="I31" i="6"/>
  <c r="H56" i="13"/>
  <c r="H59" i="13"/>
  <c r="H50" i="6"/>
  <c r="E20" i="9"/>
  <c r="I35" i="9" s="1"/>
  <c r="F37" i="9"/>
  <c r="J9" i="13"/>
  <c r="J27" i="6"/>
  <c r="F11" i="9"/>
  <c r="J27" i="9" s="1"/>
  <c r="J36" i="9" s="1"/>
  <c r="J60" i="6"/>
  <c r="J26" i="6"/>
  <c r="J57" i="6" s="1"/>
  <c r="I22" i="13"/>
  <c r="I55" i="13"/>
  <c r="I21" i="13"/>
  <c r="I52" i="13" s="1"/>
  <c r="H27" i="13"/>
  <c r="H45" i="13" s="1"/>
  <c r="H26" i="13"/>
  <c r="J50" i="13"/>
  <c r="J49" i="13"/>
  <c r="J21" i="13" l="1"/>
  <c r="J52" i="13" s="1"/>
  <c r="J22" i="13"/>
  <c r="J55" i="13"/>
  <c r="H28" i="13"/>
  <c r="H44" i="13"/>
  <c r="H46" i="13" s="1"/>
  <c r="I27" i="13"/>
  <c r="I45" i="13" s="1"/>
  <c r="I26" i="13"/>
  <c r="J61" i="6"/>
  <c r="J64" i="6"/>
  <c r="J32" i="6"/>
  <c r="J31" i="6"/>
  <c r="H51" i="6"/>
  <c r="I56" i="13"/>
  <c r="I59" i="13"/>
  <c r="I49" i="6"/>
  <c r="I51" i="6" s="1"/>
  <c r="I33" i="6"/>
  <c r="H37" i="9"/>
  <c r="F19" i="9" l="1"/>
  <c r="K34" i="9" s="1"/>
  <c r="J49" i="6"/>
  <c r="J33" i="6"/>
  <c r="I28" i="13"/>
  <c r="I44" i="13"/>
  <c r="I46" i="13" s="1"/>
  <c r="J59" i="13"/>
  <c r="J56" i="13"/>
  <c r="F20" i="9"/>
  <c r="K35" i="9" s="1"/>
  <c r="J50" i="6"/>
  <c r="J27" i="13"/>
  <c r="J45" i="13" s="1"/>
  <c r="J26" i="13"/>
  <c r="J44" i="13" l="1"/>
  <c r="J46" i="13" s="1"/>
  <c r="J28" i="13"/>
  <c r="J51" i="6"/>
  <c r="J37" i="9"/>
</calcChain>
</file>

<file path=xl/sharedStrings.xml><?xml version="1.0" encoding="utf-8"?>
<sst xmlns="http://schemas.openxmlformats.org/spreadsheetml/2006/main" count="384" uniqueCount="221">
  <si>
    <t>Werkingskosten lonen</t>
  </si>
  <si>
    <t>Werkingskosten nt lonen</t>
  </si>
  <si>
    <t>Infrastructuur energie</t>
  </si>
  <si>
    <t>Infrastructuur lonen</t>
  </si>
  <si>
    <t>Infrastructuur andere</t>
  </si>
  <si>
    <t>Subsidie infrastructuur</t>
  </si>
  <si>
    <t>Subsidie algemeen</t>
  </si>
  <si>
    <t>Productiekosten lonen opera</t>
  </si>
  <si>
    <t>Productiekosten nt lonen opera</t>
  </si>
  <si>
    <t>Productiekosten lonen Ballet</t>
  </si>
  <si>
    <t>Productiekosten nt lonen Ballet</t>
  </si>
  <si>
    <t>Subsidie artistiek Opera</t>
  </si>
  <si>
    <t>Subsidie artistiek Ballet</t>
  </si>
  <si>
    <t>Eigen Inkomsten Opera</t>
  </si>
  <si>
    <t>Eigen Inkomsten Ballet</t>
  </si>
  <si>
    <t>Kosten</t>
  </si>
  <si>
    <t>Res Opera</t>
  </si>
  <si>
    <t>Res Ballet</t>
  </si>
  <si>
    <t>Res Opera assume def alg</t>
  </si>
  <si>
    <t>Res Ballet assume def alg</t>
  </si>
  <si>
    <t>Eigen Ink/Art Sub Opera</t>
  </si>
  <si>
    <t>Eigen Ink/Art Sub Ballet</t>
  </si>
  <si>
    <t>Opbrengsten</t>
  </si>
  <si>
    <t>Tot kost</t>
  </si>
  <si>
    <t>Tot ink</t>
  </si>
  <si>
    <t>2013 kst</t>
  </si>
  <si>
    <t>2014 kst</t>
  </si>
  <si>
    <t>2015 kst</t>
  </si>
  <si>
    <t>2016 kst</t>
  </si>
  <si>
    <t>2017 kst</t>
  </si>
  <si>
    <t>2013 opb</t>
  </si>
  <si>
    <t>2014 opb</t>
  </si>
  <si>
    <t>2015 opb</t>
  </si>
  <si>
    <t>2016 opb</t>
  </si>
  <si>
    <t>2017 opb</t>
  </si>
  <si>
    <t>Pr'kosten Opera</t>
  </si>
  <si>
    <t>Pr'kosten Ballet</t>
  </si>
  <si>
    <t>Kost Ond.</t>
  </si>
  <si>
    <t>Kosten Infra</t>
  </si>
  <si>
    <t>Subs Infra</t>
  </si>
  <si>
    <t>Subs Ond</t>
  </si>
  <si>
    <t>Subs art Opera</t>
  </si>
  <si>
    <t>Subs art Ballet</t>
  </si>
  <si>
    <t>EI Opera</t>
  </si>
  <si>
    <t>EI Ballet</t>
  </si>
  <si>
    <t>Totaal subsidie</t>
  </si>
  <si>
    <t>uit lonen</t>
  </si>
  <si>
    <t>Productiekosten Opera totaal</t>
  </si>
  <si>
    <t>Productiekosten Ballet totaal</t>
  </si>
  <si>
    <t>Werkingskosten Opera totaal</t>
  </si>
  <si>
    <t>Werkingskosten Ballet totaal</t>
  </si>
  <si>
    <t>Infrastructuur Energie Ballet</t>
  </si>
  <si>
    <t>Infrastructuur Energie Opera</t>
  </si>
  <si>
    <t>Infrastructuur Opera Totaal</t>
  </si>
  <si>
    <t>Werkingskosten lonen opera</t>
  </si>
  <si>
    <t>Werkingskosten lonen ballet</t>
  </si>
  <si>
    <t>Infrastructuurkosten lonen opera</t>
  </si>
  <si>
    <t>Infrastructuurkosten lonen ballet</t>
  </si>
  <si>
    <t>Infra opera totaal</t>
  </si>
  <si>
    <t>Infra ballet totaal</t>
  </si>
  <si>
    <t>Subsidie Opera</t>
  </si>
  <si>
    <t>Subsidie Ballet</t>
  </si>
  <si>
    <t>inflatie overheden</t>
  </si>
  <si>
    <t xml:space="preserve">Inflatie </t>
  </si>
  <si>
    <t>Resultaat opera</t>
  </si>
  <si>
    <t>Resultaat ballet</t>
  </si>
  <si>
    <t>gezh index  okt 2012</t>
  </si>
  <si>
    <t>gezh 04</t>
  </si>
  <si>
    <t>4m gem</t>
  </si>
  <si>
    <t>gezh index  okt 2011</t>
  </si>
  <si>
    <t>verschil</t>
  </si>
  <si>
    <t>jr</t>
  </si>
  <si>
    <t>Deficit Opera</t>
  </si>
  <si>
    <t>Deficit Ballet</t>
  </si>
  <si>
    <t>Totaal kosten</t>
  </si>
  <si>
    <t>Totaal opbrengsten</t>
  </si>
  <si>
    <t>Resultaat</t>
  </si>
  <si>
    <t>Resultaat Opera + Ballet</t>
  </si>
  <si>
    <t>Eigen Ink/Tot Ink Opera + Ballet</t>
  </si>
  <si>
    <t>gebruikte % deficit</t>
  </si>
  <si>
    <t>ei opera-ballet</t>
  </si>
  <si>
    <t>gem e.i.</t>
  </si>
  <si>
    <t>sub</t>
  </si>
  <si>
    <t>Subsidie Art Opera (inhaal sub)</t>
  </si>
  <si>
    <t>Subsidie Art Ballet (inhaal sub)</t>
  </si>
  <si>
    <t>stijging</t>
  </si>
  <si>
    <t>inflatiecijfers Planbureau</t>
  </si>
  <si>
    <t>indexering subsidie</t>
  </si>
  <si>
    <t>Gecum stijging</t>
  </si>
  <si>
    <t>% lonen/Totale kost</t>
  </si>
  <si>
    <t>Subsidie "relance" ballet</t>
  </si>
  <si>
    <t>Infrastructuur Ballet Totaal</t>
  </si>
  <si>
    <t>Loondeel</t>
  </si>
  <si>
    <t>werkdeel</t>
  </si>
  <si>
    <t>Opera</t>
  </si>
  <si>
    <t>Ballet</t>
  </si>
  <si>
    <t>Totaal</t>
  </si>
  <si>
    <t>Totaal kost Infrastructuur</t>
  </si>
  <si>
    <t>Onderst. diensten nt lonen</t>
  </si>
  <si>
    <t>Onderst. diensten lonen</t>
  </si>
  <si>
    <t>Subsidie ondersteunende diensten</t>
  </si>
  <si>
    <t>Totaal Productiekosten Ballet</t>
  </si>
  <si>
    <t>Subiside Artistiek Ballet</t>
  </si>
  <si>
    <t>Inkomsten minus Art Sub</t>
  </si>
  <si>
    <t>Totaal sub Art Ballet + Eigen Ink</t>
  </si>
  <si>
    <t>Totaal Productiekosten Opera</t>
  </si>
  <si>
    <t>Subiside Artistiek Opera</t>
  </si>
  <si>
    <t>Productiekosten vast</t>
  </si>
  <si>
    <t>Productiekosten variabel</t>
  </si>
  <si>
    <t>Subsidie infrastructuur Vl Gem</t>
  </si>
  <si>
    <t>Subsidie infrastructuur Prov/Steden</t>
  </si>
  <si>
    <t>Subsidie algemeen Vl Gem</t>
  </si>
  <si>
    <t>Subsidie algemeen Prov/Steden</t>
  </si>
  <si>
    <t>Subsidie artistiek Opera Vl Gem</t>
  </si>
  <si>
    <t>Subsidie artistiek Ballet Prov/Steden</t>
  </si>
  <si>
    <t>Vl Gem</t>
  </si>
  <si>
    <t>Prov en Steden</t>
  </si>
  <si>
    <t>Subsidie artistiek Opera Prov/Steden</t>
  </si>
  <si>
    <t>Subsidie artistiek Ballet Vl Gem</t>
  </si>
  <si>
    <t>indexering</t>
  </si>
  <si>
    <t>Vl Gem Opera</t>
  </si>
  <si>
    <t>OPERA INDEXERINGEN</t>
  </si>
  <si>
    <t>Verschil indexering</t>
  </si>
  <si>
    <t>Productiekosten lonen</t>
  </si>
  <si>
    <t>subsidie</t>
  </si>
  <si>
    <t>EIGEN INKOMSTEN OPERA</t>
  </si>
  <si>
    <t>Ticketinkomsten Opera</t>
  </si>
  <si>
    <t>van 71 naar 80 voorstellingen (80/71)</t>
  </si>
  <si>
    <t>UIT CIJFERS BALLET</t>
  </si>
  <si>
    <t>door 71 -&gt; 80 vrst in 2015</t>
  </si>
  <si>
    <t>vergrijzingscoëf.</t>
  </si>
  <si>
    <t>Vlaamse subsidies</t>
  </si>
  <si>
    <t>Subsidies Steden &amp; Prov</t>
  </si>
  <si>
    <t>stijging subsidies</t>
  </si>
  <si>
    <t>BUDGET 2013 REËEL</t>
  </si>
  <si>
    <t>geïndexeerd</t>
  </si>
  <si>
    <t>zonder herstr sub 2013</t>
  </si>
  <si>
    <t>nt geïndexeerd</t>
  </si>
  <si>
    <t>Financiele kost Ballet</t>
  </si>
  <si>
    <t>Res Onderst en Infra</t>
  </si>
  <si>
    <t>2013 calc</t>
  </si>
  <si>
    <t>aanpassing beslissing Opera</t>
  </si>
  <si>
    <t>Orkestbegeleiding door Opera</t>
  </si>
  <si>
    <t>inflatiecijfers maatregelen</t>
  </si>
  <si>
    <t>var op lonen opera</t>
  </si>
  <si>
    <t>var deel op pk opera</t>
  </si>
  <si>
    <t>aanpassing Ballet</t>
  </si>
  <si>
    <t>"CORRECTIELIJNEN"</t>
  </si>
  <si>
    <t>Totaal "correctielijnen"</t>
  </si>
  <si>
    <t>Totaal Resultaat na Correctielijnen</t>
  </si>
  <si>
    <t>Resultaat Correctielijnen Opera</t>
  </si>
  <si>
    <t>Resultaat Correctielijnen Ballet</t>
  </si>
  <si>
    <t>Resultaat na Correctielijnen Opera</t>
  </si>
  <si>
    <t>Resultaat na Correctielijnen Ballet</t>
  </si>
  <si>
    <t>50% vanaf '14, 100% vanaf ' 15</t>
  </si>
  <si>
    <t>in res Ballet</t>
  </si>
  <si>
    <t>Eigen Inkomsten Opera zaalhuur Ballet in Opera</t>
  </si>
  <si>
    <t>Uitgaven Ballet zaalhuur Ballet in Opera</t>
  </si>
  <si>
    <t>100% vanaf '13</t>
  </si>
  <si>
    <t>Productiekosten opera</t>
  </si>
  <si>
    <t>Productiekosten Ballet</t>
  </si>
  <si>
    <t>Infrastructuur</t>
  </si>
  <si>
    <t>Onderst diensten lonen</t>
  </si>
  <si>
    <t>Onderst diensten nt lonen</t>
  </si>
  <si>
    <t>Onderst diensten</t>
  </si>
  <si>
    <t>Overige Opera</t>
  </si>
  <si>
    <t>Overige Ballet</t>
  </si>
  <si>
    <t>80vrst/71 vrst</t>
  </si>
  <si>
    <t>margin cost opera</t>
  </si>
  <si>
    <t>loondeel</t>
  </si>
  <si>
    <t>werkingsdeel</t>
  </si>
  <si>
    <t>perf rel income opera</t>
  </si>
  <si>
    <t>80/71 marg cost</t>
  </si>
  <si>
    <t>Correctie</t>
  </si>
  <si>
    <t>Lonen ond opera</t>
  </si>
  <si>
    <t>Lonen infra opera</t>
  </si>
  <si>
    <t>Lonen opera art</t>
  </si>
  <si>
    <t>Lonen opera ond</t>
  </si>
  <si>
    <t>Lonen opera inf</t>
  </si>
  <si>
    <t>rek houdend met marginale kost</t>
  </si>
  <si>
    <t>correcties ontslagvergoedingen opera</t>
  </si>
  <si>
    <t>fin kost vermindert door cfo</t>
  </si>
  <si>
    <t>marginaal inkom</t>
  </si>
  <si>
    <t>door 71 -&gt; 80 vrst</t>
  </si>
  <si>
    <t>aandeel opera</t>
  </si>
  <si>
    <t>vergr opera</t>
  </si>
  <si>
    <t>vergr ballet</t>
  </si>
  <si>
    <t>Financiële kost Ballet</t>
  </si>
  <si>
    <t>eindejaarspremie</t>
  </si>
  <si>
    <t>PRT</t>
  </si>
  <si>
    <t>wedde dansers</t>
  </si>
  <si>
    <t>ARTVST</t>
  </si>
  <si>
    <t>wedde technici/atelier/onderhoud</t>
  </si>
  <si>
    <t>TEC</t>
  </si>
  <si>
    <t>wedde artistieke omkadering</t>
  </si>
  <si>
    <t>OND</t>
  </si>
  <si>
    <t>wedde directie / alg.diensten</t>
  </si>
  <si>
    <t>wedde onregelm.prestaties n-art.+19j</t>
  </si>
  <si>
    <t>honorarium tijdelijken ballet</t>
  </si>
  <si>
    <t>ARTVAR</t>
  </si>
  <si>
    <t>wedde onregelm.prestaties art.</t>
  </si>
  <si>
    <t>wedde stagiaires ballet</t>
  </si>
  <si>
    <t>wedde onregelm.prestaties n-art.- 19j</t>
  </si>
  <si>
    <t>INF</t>
  </si>
  <si>
    <t>wedde stagiaires - 19j</t>
  </si>
  <si>
    <t>ontslagvergoedingen</t>
  </si>
  <si>
    <t>vakantiegeld</t>
  </si>
  <si>
    <t>voordelen bedrijfswagens</t>
  </si>
  <si>
    <t>aangegeven voordelen bedrijfswag.</t>
  </si>
  <si>
    <t>EJP</t>
  </si>
  <si>
    <t>VG</t>
  </si>
  <si>
    <t>Lonen ballet art</t>
  </si>
  <si>
    <t>Eigen Inkomsten Ballet evolutie</t>
  </si>
  <si>
    <t>Ink binnenland</t>
  </si>
  <si>
    <t>Uit binnenland</t>
  </si>
  <si>
    <t>Ink buitenland</t>
  </si>
  <si>
    <t>Uit buitenland</t>
  </si>
  <si>
    <t>Marginaal</t>
  </si>
  <si>
    <t>Scenario 0 - as is - WG Fin 12/2/'13</t>
  </si>
  <si>
    <t>Technisch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</si>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</sst>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0.0%"/>
    <numFmt numFmtId="166" formatCode="_-* #,##0\ _€_-;\-* #,##0\ _€_-;_-* &quot;-&quot;??\ _€_-;_-@_-"/>
    <numFmt numFmtId="167" formatCode="0.000%"/>
    <numFmt numFmtId="168" formatCode="0.000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rgb="FFFF3399"/>
      <name val="Calibri"/>
      <family val="2"/>
      <scheme val="minor"/>
    </font>
    <font>
      <sz val="11"/>
      <color rgb="FFFF339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sz val="8"/>
      <name val="Calibri"/>
      <family val="2"/>
      <scheme val="minor"/>
    </font>
    <font>
      <b/>
      <i/>
      <sz val="8"/>
      <color rgb="FFFF3399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b/>
      <sz val="11"/>
      <color rgb="FFFF3399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i/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9"/>
      <color rgb="FFFF3399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1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000000"/>
      </patternFill>
    </fill>
  </fills>
  <borders count="4">
    <border>
      <left/>
      <right/>
      <top/>
      <bottom/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auto="1"/>
      </left>
      <right/>
      <top/>
      <bottom/>
      <diagonal/>
    </border>
  </borders>
  <cellStyleXfs count="9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42">
    <xf numFmtId="0" fontId="0" fillId="0" borderId="0" xfId="0"/>
    <xf numFmtId="164" fontId="0" fillId="0" borderId="0" xfId="1" applyNumberFormat="1" applyFont="1"/>
    <xf numFmtId="9" fontId="0" fillId="0" borderId="0" xfId="2" applyFont="1"/>
    <xf numFmtId="165" fontId="0" fillId="0" borderId="0" xfId="2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10" fontId="0" fillId="0" borderId="0" xfId="2" applyNumberFormat="1" applyFont="1"/>
    <xf numFmtId="164" fontId="0" fillId="3" borderId="0" xfId="1" applyNumberFormat="1" applyFont="1" applyFill="1"/>
    <xf numFmtId="164" fontId="4" fillId="0" borderId="0" xfId="1" applyNumberFormat="1" applyFont="1"/>
    <xf numFmtId="3" fontId="0" fillId="0" borderId="0" xfId="0" applyNumberFormat="1"/>
    <xf numFmtId="164" fontId="0" fillId="5" borderId="0" xfId="1" applyNumberFormat="1" applyFont="1" applyFill="1"/>
    <xf numFmtId="0" fontId="6" fillId="6" borderId="0" xfId="0" applyFont="1" applyFill="1"/>
    <xf numFmtId="0" fontId="0" fillId="6" borderId="0" xfId="0" applyFill="1"/>
    <xf numFmtId="10" fontId="0" fillId="6" borderId="0" xfId="0" applyNumberFormat="1" applyFill="1"/>
    <xf numFmtId="9" fontId="0" fillId="6" borderId="0" xfId="0" applyNumberFormat="1" applyFill="1"/>
    <xf numFmtId="10" fontId="7" fillId="6" borderId="0" xfId="0" applyNumberFormat="1" applyFont="1" applyFill="1"/>
    <xf numFmtId="164" fontId="0" fillId="8" borderId="0" xfId="1" applyNumberFormat="1" applyFont="1" applyFill="1"/>
    <xf numFmtId="164" fontId="0" fillId="9" borderId="0" xfId="1" applyNumberFormat="1" applyFont="1" applyFill="1"/>
    <xf numFmtId="164" fontId="0" fillId="10" borderId="0" xfId="1" applyNumberFormat="1" applyFont="1" applyFill="1"/>
    <xf numFmtId="10" fontId="5" fillId="8" borderId="0" xfId="2" applyNumberFormat="1" applyFont="1" applyFill="1"/>
    <xf numFmtId="10" fontId="3" fillId="8" borderId="0" xfId="2" applyNumberFormat="1" applyFont="1" applyFill="1"/>
    <xf numFmtId="0" fontId="5" fillId="8" borderId="0" xfId="0" applyFont="1" applyFill="1"/>
    <xf numFmtId="164" fontId="5" fillId="8" borderId="0" xfId="1" applyNumberFormat="1" applyFont="1" applyFill="1"/>
    <xf numFmtId="0" fontId="5" fillId="9" borderId="0" xfId="0" applyFont="1" applyFill="1"/>
    <xf numFmtId="164" fontId="5" fillId="9" borderId="0" xfId="1" applyNumberFormat="1" applyFont="1" applyFill="1"/>
    <xf numFmtId="10" fontId="5" fillId="9" borderId="0" xfId="2" applyNumberFormat="1" applyFont="1" applyFill="1"/>
    <xf numFmtId="165" fontId="0" fillId="2" borderId="0" xfId="2" applyNumberFormat="1" applyFont="1" applyFill="1"/>
    <xf numFmtId="0" fontId="7" fillId="0" borderId="0" xfId="0" applyFont="1"/>
    <xf numFmtId="164" fontId="2" fillId="0" borderId="0" xfId="1" applyNumberFormat="1" applyFont="1"/>
    <xf numFmtId="165" fontId="7" fillId="2" borderId="0" xfId="2" applyNumberFormat="1" applyFont="1" applyFill="1"/>
    <xf numFmtId="167" fontId="0" fillId="0" borderId="0" xfId="2" applyNumberFormat="1" applyFont="1"/>
    <xf numFmtId="164" fontId="9" fillId="0" borderId="0" xfId="1" applyNumberFormat="1" applyFont="1"/>
    <xf numFmtId="164" fontId="10" fillId="0" borderId="0" xfId="1" applyNumberFormat="1" applyFont="1"/>
    <xf numFmtId="165" fontId="0" fillId="0" borderId="0" xfId="0" applyNumberFormat="1"/>
    <xf numFmtId="165" fontId="8" fillId="11" borderId="0" xfId="0" applyNumberFormat="1" applyFont="1" applyFill="1"/>
    <xf numFmtId="0" fontId="7" fillId="3" borderId="0" xfId="0" applyFont="1" applyFill="1"/>
    <xf numFmtId="0" fontId="0" fillId="3" borderId="0" xfId="0" applyFill="1"/>
    <xf numFmtId="10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65" fontId="0" fillId="0" borderId="0" xfId="2" applyNumberFormat="1" applyFont="1" applyAlignment="1">
      <alignment horizontal="center"/>
    </xf>
    <xf numFmtId="166" fontId="5" fillId="8" borderId="0" xfId="3" applyNumberFormat="1" applyFont="1" applyFill="1" applyAlignment="1">
      <alignment horizontal="center"/>
    </xf>
    <xf numFmtId="166" fontId="5" fillId="9" borderId="0" xfId="3" applyNumberFormat="1" applyFon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0" fontId="0" fillId="0" borderId="0" xfId="0" applyNumberFormat="1"/>
    <xf numFmtId="10" fontId="0" fillId="7" borderId="0" xfId="0" applyNumberFormat="1" applyFill="1" applyAlignment="1">
      <alignment horizontal="center"/>
    </xf>
    <xf numFmtId="168" fontId="0" fillId="0" borderId="0" xfId="2" applyNumberFormat="1" applyFont="1"/>
    <xf numFmtId="0" fontId="2" fillId="0" borderId="0" xfId="0" applyFont="1" applyAlignment="1">
      <alignment horizontal="center"/>
    </xf>
    <xf numFmtId="0" fontId="0" fillId="0" borderId="0" xfId="0" quotePrefix="1"/>
    <xf numFmtId="10" fontId="11" fillId="0" borderId="0" xfId="2" applyNumberFormat="1" applyFont="1" applyAlignment="1">
      <alignment horizontal="center"/>
    </xf>
    <xf numFmtId="10" fontId="7" fillId="4" borderId="0" xfId="2" applyNumberFormat="1" applyFont="1" applyFill="1" applyAlignment="1">
      <alignment horizontal="center"/>
    </xf>
    <xf numFmtId="9" fontId="3" fillId="8" borderId="0" xfId="2" applyFont="1" applyFill="1"/>
    <xf numFmtId="9" fontId="3" fillId="9" borderId="0" xfId="2" applyFont="1" applyFill="1"/>
    <xf numFmtId="164" fontId="0" fillId="9" borderId="1" xfId="1" applyNumberFormat="1" applyFont="1" applyFill="1" applyBorder="1"/>
    <xf numFmtId="164" fontId="0" fillId="9" borderId="2" xfId="1" applyNumberFormat="1" applyFont="1" applyFill="1" applyBorder="1"/>
    <xf numFmtId="0" fontId="12" fillId="0" borderId="0" xfId="0" applyFont="1"/>
    <xf numFmtId="9" fontId="12" fillId="0" borderId="0" xfId="0" applyNumberFormat="1" applyFont="1"/>
    <xf numFmtId="164" fontId="0" fillId="0" borderId="0" xfId="0" applyNumberFormat="1" applyAlignment="1">
      <alignment horizontal="center"/>
    </xf>
    <xf numFmtId="0" fontId="0" fillId="12" borderId="0" xfId="0" applyFill="1"/>
    <xf numFmtId="164" fontId="0" fillId="12" borderId="0" xfId="1" applyNumberFormat="1" applyFont="1" applyFill="1"/>
    <xf numFmtId="164" fontId="0" fillId="12" borderId="0" xfId="0" applyNumberFormat="1" applyFill="1"/>
    <xf numFmtId="10" fontId="0" fillId="12" borderId="0" xfId="0" applyNumberFormat="1" applyFill="1"/>
    <xf numFmtId="10" fontId="13" fillId="0" borderId="0" xfId="2" applyNumberFormat="1" applyFont="1"/>
    <xf numFmtId="0" fontId="13" fillId="0" borderId="0" xfId="0" applyFont="1"/>
    <xf numFmtId="0" fontId="0" fillId="4" borderId="0" xfId="0" applyFill="1"/>
    <xf numFmtId="164" fontId="0" fillId="4" borderId="0" xfId="1" applyNumberFormat="1" applyFont="1" applyFill="1"/>
    <xf numFmtId="164" fontId="2" fillId="4" borderId="0" xfId="1" applyNumberFormat="1" applyFont="1" applyFill="1"/>
    <xf numFmtId="0" fontId="2" fillId="13" borderId="0" xfId="0" applyFont="1" applyFill="1"/>
    <xf numFmtId="10" fontId="0" fillId="13" borderId="0" xfId="2" applyNumberFormat="1" applyFont="1" applyFill="1"/>
    <xf numFmtId="164" fontId="14" fillId="8" borderId="0" xfId="1" applyNumberFormat="1" applyFont="1" applyFill="1"/>
    <xf numFmtId="164" fontId="14" fillId="9" borderId="0" xfId="1" applyNumberFormat="1" applyFont="1" applyFill="1"/>
    <xf numFmtId="0" fontId="15" fillId="14" borderId="0" xfId="0" applyFont="1" applyFill="1"/>
    <xf numFmtId="0" fontId="16" fillId="14" borderId="0" xfId="0" applyFont="1" applyFill="1"/>
    <xf numFmtId="164" fontId="15" fillId="14" borderId="0" xfId="1" applyNumberFormat="1" applyFont="1" applyFill="1"/>
    <xf numFmtId="164" fontId="15" fillId="14" borderId="0" xfId="1" applyNumberFormat="1" applyFont="1" applyFill="1" applyAlignment="1">
      <alignment horizontal="center"/>
    </xf>
    <xf numFmtId="9" fontId="17" fillId="4" borderId="0" xfId="2" applyFont="1" applyFill="1" applyAlignment="1">
      <alignment horizontal="center"/>
    </xf>
    <xf numFmtId="0" fontId="15" fillId="14" borderId="0" xfId="1" applyNumberFormat="1" applyFont="1" applyFill="1" applyAlignment="1">
      <alignment horizontal="center"/>
    </xf>
    <xf numFmtId="164" fontId="0" fillId="15" borderId="0" xfId="1" applyNumberFormat="1" applyFont="1" applyFill="1"/>
    <xf numFmtId="165" fontId="2" fillId="0" borderId="0" xfId="2" applyNumberFormat="1" applyFont="1" applyAlignment="1">
      <alignment horizontal="center"/>
    </xf>
    <xf numFmtId="164" fontId="2" fillId="7" borderId="0" xfId="1" applyNumberFormat="1" applyFont="1" applyFill="1" applyAlignment="1">
      <alignment horizontal="right"/>
    </xf>
    <xf numFmtId="164" fontId="18" fillId="16" borderId="0" xfId="0" applyNumberFormat="1" applyFont="1" applyFill="1"/>
    <xf numFmtId="9" fontId="19" fillId="0" borderId="0" xfId="0" applyNumberFormat="1" applyFont="1"/>
    <xf numFmtId="0" fontId="19" fillId="0" borderId="0" xfId="0" applyFont="1"/>
    <xf numFmtId="0" fontId="20" fillId="0" borderId="0" xfId="0" applyFont="1"/>
    <xf numFmtId="164" fontId="0" fillId="12" borderId="0" xfId="1" applyNumberFormat="1" applyFont="1" applyFill="1" applyAlignment="1">
      <alignment horizontal="center"/>
    </xf>
    <xf numFmtId="164" fontId="2" fillId="12" borderId="0" xfId="1" applyNumberFormat="1" applyFont="1" applyFill="1" applyAlignment="1">
      <alignment horizontal="right"/>
    </xf>
    <xf numFmtId="10" fontId="0" fillId="12" borderId="0" xfId="0" applyNumberFormat="1" applyFill="1" applyAlignment="1">
      <alignment horizontal="center"/>
    </xf>
    <xf numFmtId="165" fontId="6" fillId="0" borderId="0" xfId="2" applyNumberFormat="1" applyFont="1" applyAlignment="1">
      <alignment horizontal="center"/>
    </xf>
    <xf numFmtId="164" fontId="0" fillId="2" borderId="0" xfId="1" applyNumberFormat="1" applyFont="1" applyFill="1"/>
    <xf numFmtId="0" fontId="7" fillId="0" borderId="0" xfId="0" applyFont="1" applyAlignment="1">
      <alignment horizontal="center"/>
    </xf>
    <xf numFmtId="10" fontId="7" fillId="0" borderId="0" xfId="0" applyNumberFormat="1" applyFont="1"/>
    <xf numFmtId="0" fontId="7" fillId="0" borderId="0" xfId="2" applyNumberFormat="1" applyFont="1" applyAlignment="1">
      <alignment horizontal="center"/>
    </xf>
    <xf numFmtId="166" fontId="2" fillId="9" borderId="0" xfId="3" applyNumberFormat="1" applyFont="1" applyFill="1" applyAlignment="1">
      <alignment horizontal="left"/>
    </xf>
    <xf numFmtId="164" fontId="2" fillId="8" borderId="0" xfId="1" applyNumberFormat="1" applyFont="1" applyFill="1" applyAlignment="1">
      <alignment horizontal="left"/>
    </xf>
    <xf numFmtId="164" fontId="2" fillId="9" borderId="0" xfId="1" applyNumberFormat="1" applyFont="1" applyFill="1" applyAlignment="1">
      <alignment horizontal="left"/>
    </xf>
    <xf numFmtId="164" fontId="0" fillId="6" borderId="0" xfId="1" applyNumberFormat="1" applyFont="1" applyFill="1"/>
    <xf numFmtId="0" fontId="5" fillId="8" borderId="0" xfId="0" applyFont="1" applyFill="1" applyAlignment="1">
      <alignment horizontal="left"/>
    </xf>
    <xf numFmtId="166" fontId="5" fillId="9" borderId="0" xfId="3" applyNumberFormat="1" applyFont="1" applyFill="1" applyAlignment="1">
      <alignment horizontal="left" vertical="center"/>
    </xf>
    <xf numFmtId="164" fontId="6" fillId="6" borderId="0" xfId="1" applyNumberFormat="1" applyFont="1" applyFill="1"/>
    <xf numFmtId="164" fontId="1" fillId="9" borderId="0" xfId="1" applyNumberFormat="1" applyFont="1" applyFill="1" applyAlignment="1">
      <alignment horizontal="left"/>
    </xf>
    <xf numFmtId="164" fontId="6" fillId="8" borderId="0" xfId="1" applyNumberFormat="1" applyFont="1" applyFill="1" applyAlignment="1">
      <alignment horizontal="left"/>
    </xf>
    <xf numFmtId="166" fontId="6" fillId="9" borderId="0" xfId="3" applyNumberFormat="1" applyFont="1" applyFill="1" applyAlignment="1">
      <alignment horizontal="left"/>
    </xf>
    <xf numFmtId="164" fontId="6" fillId="9" borderId="0" xfId="1" applyNumberFormat="1" applyFont="1" applyFill="1" applyAlignment="1">
      <alignment horizontal="left"/>
    </xf>
    <xf numFmtId="0" fontId="23" fillId="0" borderId="0" xfId="0" applyFont="1"/>
    <xf numFmtId="164" fontId="23" fillId="0" borderId="0" xfId="1" applyNumberFormat="1" applyFont="1"/>
    <xf numFmtId="10" fontId="23" fillId="0" borderId="0" xfId="0" applyNumberFormat="1" applyFont="1"/>
    <xf numFmtId="164" fontId="0" fillId="0" borderId="0" xfId="1" quotePrefix="1" applyNumberFormat="1" applyFont="1"/>
    <xf numFmtId="164" fontId="24" fillId="0" borderId="0" xfId="1" applyNumberFormat="1" applyFont="1" applyFill="1"/>
    <xf numFmtId="165" fontId="25" fillId="0" borderId="0" xfId="2" applyNumberFormat="1" applyFont="1" applyFill="1" applyAlignment="1">
      <alignment horizontal="center"/>
    </xf>
    <xf numFmtId="164" fontId="1" fillId="8" borderId="0" xfId="1" applyNumberFormat="1" applyFont="1" applyFill="1" applyAlignment="1">
      <alignment horizontal="left"/>
    </xf>
    <xf numFmtId="164" fontId="0" fillId="8" borderId="0" xfId="1" applyNumberFormat="1" applyFont="1" applyFill="1" applyAlignment="1">
      <alignment horizontal="left"/>
    </xf>
    <xf numFmtId="10" fontId="3" fillId="9" borderId="0" xfId="2" applyNumberFormat="1" applyFont="1" applyFill="1"/>
    <xf numFmtId="164" fontId="19" fillId="0" borderId="0" xfId="1" applyNumberFormat="1" applyFont="1"/>
    <xf numFmtId="0" fontId="19" fillId="0" borderId="0" xfId="0" quotePrefix="1" applyFont="1"/>
    <xf numFmtId="164" fontId="27" fillId="0" borderId="0" xfId="1" applyNumberFormat="1" applyFont="1"/>
    <xf numFmtId="0" fontId="27" fillId="0" borderId="0" xfId="0" applyFont="1"/>
    <xf numFmtId="164" fontId="28" fillId="0" borderId="0" xfId="0" applyNumberFormat="1" applyFont="1"/>
    <xf numFmtId="0" fontId="28" fillId="0" borderId="0" xfId="0" applyFont="1"/>
    <xf numFmtId="164" fontId="7" fillId="0" borderId="0" xfId="1" applyNumberFormat="1" applyFont="1"/>
    <xf numFmtId="164" fontId="29" fillId="0" borderId="0" xfId="1" applyNumberFormat="1" applyFont="1"/>
    <xf numFmtId="164" fontId="30" fillId="8" borderId="0" xfId="1" applyNumberFormat="1" applyFont="1" applyFill="1"/>
    <xf numFmtId="10" fontId="27" fillId="0" borderId="0" xfId="2" applyNumberFormat="1" applyFont="1"/>
    <xf numFmtId="167" fontId="7" fillId="4" borderId="0" xfId="2" applyNumberFormat="1" applyFont="1" applyFill="1" applyAlignment="1">
      <alignment horizontal="center"/>
    </xf>
    <xf numFmtId="0" fontId="31" fillId="0" borderId="3" xfId="0" applyFont="1" applyBorder="1"/>
    <xf numFmtId="0" fontId="31" fillId="0" borderId="0" xfId="0" applyFont="1" applyFill="1" applyBorder="1"/>
    <xf numFmtId="4" fontId="31" fillId="0" borderId="0" xfId="0" applyNumberFormat="1" applyFont="1" applyBorder="1" applyAlignment="1">
      <alignment horizontal="center"/>
    </xf>
    <xf numFmtId="0" fontId="31" fillId="0" borderId="0" xfId="0" applyFont="1" applyBorder="1"/>
    <xf numFmtId="0" fontId="31" fillId="15" borderId="0" xfId="0" applyFont="1" applyFill="1" applyBorder="1"/>
    <xf numFmtId="4" fontId="32" fillId="4" borderId="0" xfId="0" applyNumberFormat="1" applyFont="1" applyFill="1" applyBorder="1" applyAlignment="1">
      <alignment horizontal="center"/>
    </xf>
    <xf numFmtId="4" fontId="32" fillId="0" borderId="0" xfId="0" applyNumberFormat="1" applyFont="1" applyBorder="1" applyAlignment="1">
      <alignment horizontal="center"/>
    </xf>
    <xf numFmtId="167" fontId="0" fillId="4" borderId="0" xfId="2" applyNumberFormat="1" applyFont="1" applyFill="1"/>
    <xf numFmtId="167" fontId="0" fillId="0" borderId="0" xfId="0" applyNumberFormat="1"/>
    <xf numFmtId="167" fontId="7" fillId="4" borderId="0" xfId="2" applyNumberFormat="1" applyFont="1" applyFill="1"/>
    <xf numFmtId="164" fontId="33" fillId="0" borderId="0" xfId="1" applyNumberFormat="1" applyFont="1"/>
    <xf numFmtId="164" fontId="34" fillId="0" borderId="0" xfId="1" applyNumberFormat="1" applyFont="1"/>
    <xf numFmtId="167" fontId="35" fillId="0" borderId="0" xfId="2" applyNumberFormat="1" applyFont="1"/>
    <xf numFmtId="164" fontId="35" fillId="0" borderId="0" xfId="1" applyNumberFormat="1" applyFont="1"/>
    <xf numFmtId="167" fontId="36" fillId="0" borderId="0" xfId="2" applyNumberFormat="1" applyFont="1"/>
    <xf numFmtId="0" fontId="19" fillId="7" borderId="0" xfId="0" applyFont="1" applyFill="1"/>
    <xf numFmtId="0" fontId="14" fillId="0" borderId="0" xfId="0" applyFont="1"/>
    <xf numFmtId="164" fontId="37" fillId="17" borderId="0" xfId="0" applyNumberFormat="1" applyFont="1" applyFill="1"/>
  </cellXfs>
  <cellStyles count="94"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Gevolgde hyperlink" xfId="81" builtinId="9" hidden="1"/>
    <cellStyle name="Gevolgde hyperlink" xfId="83" builtinId="9" hidden="1"/>
    <cellStyle name="Gevolgde hyperlink" xfId="85" builtinId="9" hidden="1"/>
    <cellStyle name="Gevolgde hyperlink" xfId="87" builtinId="9" hidden="1"/>
    <cellStyle name="Gevolgde hyperlink" xfId="89" builtinId="9" hidden="1"/>
    <cellStyle name="Gevolgde hyperlink" xfId="91" builtinId="9" hidden="1"/>
    <cellStyle name="Gevolgde hyperlink" xfId="9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Komma" xfId="3" builtinId="3"/>
    <cellStyle name="Procent" xfId="2" builtinId="5"/>
    <cellStyle name="Standaard" xfId="0" builtinId="0"/>
    <cellStyle name="Valuta" xfId="1" builtinId="4"/>
  </cellStyles>
  <dxfs count="0"/>
  <tableStyles count="0" defaultTableStyle="TableStyleMedium9" defaultPivotStyle="PivotStyleLight16"/>
  <colors>
    <mruColors>
      <color rgb="FFFFFF99"/>
      <color rgb="FFFF3399"/>
      <color rgb="FF99FF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Blad2!$A$27</c:f>
              <c:strCache>
                <c:ptCount val="1"/>
                <c:pt idx="0">
                  <c:v>Kosten Infra</c:v>
                </c:pt>
              </c:strCache>
            </c:strRef>
          </c:tx>
          <c:invertIfNegative val="0"/>
          <c:cat>
            <c:strRef>
              <c:f>Blad2!$B$23:$K$23</c:f>
              <c:strCache>
                <c:ptCount val="10"/>
                <c:pt idx="0">
                  <c:v>2013 kst</c:v>
                </c:pt>
                <c:pt idx="1">
                  <c:v>2013 opb</c:v>
                </c:pt>
                <c:pt idx="2">
                  <c:v>2014 kst</c:v>
                </c:pt>
                <c:pt idx="3">
                  <c:v>2014 opb</c:v>
                </c:pt>
                <c:pt idx="4">
                  <c:v>2015 kst</c:v>
                </c:pt>
                <c:pt idx="5">
                  <c:v>2015 opb</c:v>
                </c:pt>
                <c:pt idx="6">
                  <c:v>2016 kst</c:v>
                </c:pt>
                <c:pt idx="7">
                  <c:v>2016 opb</c:v>
                </c:pt>
                <c:pt idx="8">
                  <c:v>2017 kst</c:v>
                </c:pt>
                <c:pt idx="9">
                  <c:v>2017 opb</c:v>
                </c:pt>
              </c:strCache>
            </c:strRef>
          </c:cat>
          <c:val>
            <c:numRef>
              <c:f>Blad2!$B$27:$K$27</c:f>
              <c:numCache>
                <c:formatCode>General</c:formatCode>
                <c:ptCount val="10"/>
                <c:pt idx="0" formatCode="_-* #,##0\ &quot;€&quot;_-;\-* #,##0\ &quot;€&quot;_-;_-* &quot;-&quot;??\ &quot;€&quot;_-;_-@_-">
                  <c:v>3705060.207536086</c:v>
                </c:pt>
                <c:pt idx="2" formatCode="_-* #,##0\ &quot;€&quot;_-;\-* #,##0\ &quot;€&quot;_-;_-* &quot;-&quot;??\ &quot;€&quot;_-;_-@_-">
                  <c:v>3764265.9562928313</c:v>
                </c:pt>
                <c:pt idx="4" formatCode="_-* #,##0\ &quot;€&quot;_-;\-* #,##0\ &quot;€&quot;_-;_-* &quot;-&quot;??\ &quot;€&quot;_-;_-@_-">
                  <c:v>3848303.1558715384</c:v>
                </c:pt>
                <c:pt idx="6" formatCode="_-* #,##0\ &quot;€&quot;_-;\-* #,##0\ &quot;€&quot;_-;_-* &quot;-&quot;??\ &quot;€&quot;_-;_-@_-">
                  <c:v>3934271.0447451537</c:v>
                </c:pt>
                <c:pt idx="8" formatCode="_-* #,##0\ &quot;€&quot;_-;\-* #,##0\ &quot;€&quot;_-;_-* &quot;-&quot;??\ &quot;€&quot;_-;_-@_-">
                  <c:v>4112182.3750136322</c:v>
                </c:pt>
              </c:numCache>
            </c:numRef>
          </c:val>
        </c:ser>
        <c:ser>
          <c:idx val="0"/>
          <c:order val="1"/>
          <c:tx>
            <c:strRef>
              <c:f>Blad2!$A$26</c:f>
              <c:strCache>
                <c:ptCount val="1"/>
                <c:pt idx="0">
                  <c:v>Kost Ond.</c:v>
                </c:pt>
              </c:strCache>
            </c:strRef>
          </c:tx>
          <c:invertIfNegative val="0"/>
          <c:cat>
            <c:strRef>
              <c:f>Blad2!$B$23:$K$23</c:f>
              <c:strCache>
                <c:ptCount val="10"/>
                <c:pt idx="0">
                  <c:v>2013 kst</c:v>
                </c:pt>
                <c:pt idx="1">
                  <c:v>2013 opb</c:v>
                </c:pt>
                <c:pt idx="2">
                  <c:v>2014 kst</c:v>
                </c:pt>
                <c:pt idx="3">
                  <c:v>2014 opb</c:v>
                </c:pt>
                <c:pt idx="4">
                  <c:v>2015 kst</c:v>
                </c:pt>
                <c:pt idx="5">
                  <c:v>2015 opb</c:v>
                </c:pt>
                <c:pt idx="6">
                  <c:v>2016 kst</c:v>
                </c:pt>
                <c:pt idx="7">
                  <c:v>2016 opb</c:v>
                </c:pt>
                <c:pt idx="8">
                  <c:v>2017 kst</c:v>
                </c:pt>
                <c:pt idx="9">
                  <c:v>2017 opb</c:v>
                </c:pt>
              </c:strCache>
            </c:strRef>
          </c:cat>
          <c:val>
            <c:numRef>
              <c:f>Blad2!$B$26:$K$26</c:f>
              <c:numCache>
                <c:formatCode>General</c:formatCode>
                <c:ptCount val="10"/>
                <c:pt idx="0" formatCode="_-* #,##0\ &quot;€&quot;_-;\-* #,##0\ &quot;€&quot;_-;_-* &quot;-&quot;??\ &quot;€&quot;_-;_-@_-">
                  <c:v>9869912.8840055894</c:v>
                </c:pt>
                <c:pt idx="2" formatCode="_-* #,##0\ &quot;€&quot;_-;\-* #,##0\ &quot;€&quot;_-;_-* &quot;-&quot;??\ &quot;€&quot;_-;_-@_-">
                  <c:v>10018294.736557074</c:v>
                </c:pt>
                <c:pt idx="4" formatCode="_-* #,##0\ &quot;€&quot;_-;\-* #,##0\ &quot;€&quot;_-;_-* &quot;-&quot;??\ &quot;€&quot;_-;_-@_-">
                  <c:v>10267553.515619343</c:v>
                </c:pt>
                <c:pt idx="6" formatCode="_-* #,##0\ &quot;€&quot;_-;\-* #,##0\ &quot;€&quot;_-;_-* &quot;-&quot;??\ &quot;€&quot;_-;_-@_-">
                  <c:v>10523121.821213778</c:v>
                </c:pt>
                <c:pt idx="8" formatCode="_-* #,##0\ &quot;€&quot;_-;\-* #,##0\ &quot;€&quot;_-;_-* &quot;-&quot;??\ &quot;€&quot;_-;_-@_-">
                  <c:v>11053838.869483262</c:v>
                </c:pt>
              </c:numCache>
            </c:numRef>
          </c:val>
        </c:ser>
        <c:ser>
          <c:idx val="3"/>
          <c:order val="2"/>
          <c:tx>
            <c:strRef>
              <c:f>Blad2!$A$24</c:f>
              <c:strCache>
                <c:ptCount val="1"/>
                <c:pt idx="0">
                  <c:v>Pr'kosten Opera</c:v>
                </c:pt>
              </c:strCache>
            </c:strRef>
          </c:tx>
          <c:invertIfNegative val="0"/>
          <c:cat>
            <c:strRef>
              <c:f>Blad2!$B$23:$K$23</c:f>
              <c:strCache>
                <c:ptCount val="10"/>
                <c:pt idx="0">
                  <c:v>2013 kst</c:v>
                </c:pt>
                <c:pt idx="1">
                  <c:v>2013 opb</c:v>
                </c:pt>
                <c:pt idx="2">
                  <c:v>2014 kst</c:v>
                </c:pt>
                <c:pt idx="3">
                  <c:v>2014 opb</c:v>
                </c:pt>
                <c:pt idx="4">
                  <c:v>2015 kst</c:v>
                </c:pt>
                <c:pt idx="5">
                  <c:v>2015 opb</c:v>
                </c:pt>
                <c:pt idx="6">
                  <c:v>2016 kst</c:v>
                </c:pt>
                <c:pt idx="7">
                  <c:v>2016 opb</c:v>
                </c:pt>
                <c:pt idx="8">
                  <c:v>2017 kst</c:v>
                </c:pt>
                <c:pt idx="9">
                  <c:v>2017 opb</c:v>
                </c:pt>
              </c:strCache>
            </c:strRef>
          </c:cat>
          <c:val>
            <c:numRef>
              <c:f>Blad2!$B$24:$K$24</c:f>
              <c:numCache>
                <c:formatCode>General</c:formatCode>
                <c:ptCount val="10"/>
                <c:pt idx="0" formatCode="_-* #,##0\ &quot;€&quot;_-;\-* #,##0\ &quot;€&quot;_-;_-* &quot;-&quot;??\ &quot;€&quot;_-;_-@_-">
                  <c:v>15126914.000780191</c:v>
                </c:pt>
                <c:pt idx="2" formatCode="_-* #,##0\ &quot;€&quot;_-;\-* #,##0\ &quot;€&quot;_-;_-* &quot;-&quot;??\ &quot;€&quot;_-;_-@_-">
                  <c:v>15330629.452734884</c:v>
                </c:pt>
                <c:pt idx="4" formatCode="_-* #,##0\ &quot;€&quot;_-;\-* #,##0\ &quot;€&quot;_-;_-* &quot;-&quot;??\ &quot;€&quot;_-;_-@_-">
                  <c:v>15696952.805084031</c:v>
                </c:pt>
                <c:pt idx="6" formatCode="_-* #,##0\ &quot;€&quot;_-;\-* #,##0\ &quot;€&quot;_-;_-* &quot;-&quot;??\ &quot;€&quot;_-;_-@_-">
                  <c:v>16072232.402174888</c:v>
                </c:pt>
                <c:pt idx="8" formatCode="_-* #,##0\ &quot;€&quot;_-;\-* #,##0\ &quot;€&quot;_-;_-* &quot;-&quot;??\ &quot;€&quot;_-;_-@_-">
                  <c:v>16850559.044728581</c:v>
                </c:pt>
              </c:numCache>
            </c:numRef>
          </c:val>
        </c:ser>
        <c:ser>
          <c:idx val="2"/>
          <c:order val="3"/>
          <c:tx>
            <c:strRef>
              <c:f>Blad2!$A$25</c:f>
              <c:strCache>
                <c:ptCount val="1"/>
                <c:pt idx="0">
                  <c:v>Pr'kosten Ballet</c:v>
                </c:pt>
              </c:strCache>
            </c:strRef>
          </c:tx>
          <c:invertIfNegative val="0"/>
          <c:cat>
            <c:strRef>
              <c:f>Blad2!$B$23:$K$23</c:f>
              <c:strCache>
                <c:ptCount val="10"/>
                <c:pt idx="0">
                  <c:v>2013 kst</c:v>
                </c:pt>
                <c:pt idx="1">
                  <c:v>2013 opb</c:v>
                </c:pt>
                <c:pt idx="2">
                  <c:v>2014 kst</c:v>
                </c:pt>
                <c:pt idx="3">
                  <c:v>2014 opb</c:v>
                </c:pt>
                <c:pt idx="4">
                  <c:v>2015 kst</c:v>
                </c:pt>
                <c:pt idx="5">
                  <c:v>2015 opb</c:v>
                </c:pt>
                <c:pt idx="6">
                  <c:v>2016 kst</c:v>
                </c:pt>
                <c:pt idx="7">
                  <c:v>2016 opb</c:v>
                </c:pt>
                <c:pt idx="8">
                  <c:v>2017 kst</c:v>
                </c:pt>
                <c:pt idx="9">
                  <c:v>2017 opb</c:v>
                </c:pt>
              </c:strCache>
            </c:strRef>
          </c:cat>
          <c:val>
            <c:numRef>
              <c:f>Blad2!$B$25:$K$25</c:f>
              <c:numCache>
                <c:formatCode>General</c:formatCode>
                <c:ptCount val="10"/>
                <c:pt idx="0" formatCode="_-* #,##0\ &quot;€&quot;_-;\-* #,##0\ &quot;€&quot;_-;_-* &quot;-&quot;??\ &quot;€&quot;_-;_-@_-">
                  <c:v>5382148.0776781319</c:v>
                </c:pt>
                <c:pt idx="2" formatCode="_-* #,##0\ &quot;€&quot;_-;\-* #,##0\ &quot;€&quot;_-;_-* &quot;-&quot;??\ &quot;€&quot;_-;_-@_-">
                  <c:v>5227430.2794468179</c:v>
                </c:pt>
                <c:pt idx="4" formatCode="_-* #,##0\ &quot;€&quot;_-;\-* #,##0\ &quot;€&quot;_-;_-* &quot;-&quot;??\ &quot;€&quot;_-;_-@_-">
                  <c:v>5361028.1595675116</c:v>
                </c:pt>
                <c:pt idx="6" formatCode="_-* #,##0\ &quot;€&quot;_-;\-* #,##0\ &quot;€&quot;_-;_-* &quot;-&quot;??\ &quot;€&quot;_-;_-@_-">
                  <c:v>5498094.6691790745</c:v>
                </c:pt>
                <c:pt idx="8" formatCode="_-* #,##0\ &quot;€&quot;_-;\-* #,##0\ &quot;€&quot;_-;_-* &quot;-&quot;??\ &quot;€&quot;_-;_-@_-">
                  <c:v>5783000.5998980775</c:v>
                </c:pt>
              </c:numCache>
            </c:numRef>
          </c:val>
        </c:ser>
        <c:ser>
          <c:idx val="4"/>
          <c:order val="4"/>
          <c:tx>
            <c:strRef>
              <c:f>Blad2!$A$28</c:f>
              <c:strCache>
                <c:ptCount val="1"/>
                <c:pt idx="0">
                  <c:v>Subs Infra</c:v>
                </c:pt>
              </c:strCache>
            </c:strRef>
          </c:tx>
          <c:invertIfNegative val="0"/>
          <c:cat>
            <c:strRef>
              <c:f>Blad2!$B$23:$K$23</c:f>
              <c:strCache>
                <c:ptCount val="10"/>
                <c:pt idx="0">
                  <c:v>2013 kst</c:v>
                </c:pt>
                <c:pt idx="1">
                  <c:v>2013 opb</c:v>
                </c:pt>
                <c:pt idx="2">
                  <c:v>2014 kst</c:v>
                </c:pt>
                <c:pt idx="3">
                  <c:v>2014 opb</c:v>
                </c:pt>
                <c:pt idx="4">
                  <c:v>2015 kst</c:v>
                </c:pt>
                <c:pt idx="5">
                  <c:v>2015 opb</c:v>
                </c:pt>
                <c:pt idx="6">
                  <c:v>2016 kst</c:v>
                </c:pt>
                <c:pt idx="7">
                  <c:v>2016 opb</c:v>
                </c:pt>
                <c:pt idx="8">
                  <c:v>2017 kst</c:v>
                </c:pt>
                <c:pt idx="9">
                  <c:v>2017 opb</c:v>
                </c:pt>
              </c:strCache>
            </c:strRef>
          </c:cat>
          <c:val>
            <c:numRef>
              <c:f>Blad2!$B$28:$K$28</c:f>
              <c:numCache>
                <c:formatCode>_-* #,##0\ "€"_-;\-* #,##0\ "€"_-;_-* "-"??\ "€"_-;_-@_-</c:formatCode>
                <c:ptCount val="10"/>
                <c:pt idx="1">
                  <c:v>3380490.1324446434</c:v>
                </c:pt>
                <c:pt idx="3">
                  <c:v>3439817.7342690467</c:v>
                </c:pt>
                <c:pt idx="5">
                  <c:v>3503540.3577963803</c:v>
                </c:pt>
                <c:pt idx="7">
                  <c:v>3568443.4429245577</c:v>
                </c:pt>
                <c:pt idx="9">
                  <c:v>3701878.8752937149</c:v>
                </c:pt>
              </c:numCache>
            </c:numRef>
          </c:val>
        </c:ser>
        <c:ser>
          <c:idx val="5"/>
          <c:order val="5"/>
          <c:tx>
            <c:strRef>
              <c:f>Blad2!$A$29</c:f>
              <c:strCache>
                <c:ptCount val="1"/>
                <c:pt idx="0">
                  <c:v>Subs Ond</c:v>
                </c:pt>
              </c:strCache>
            </c:strRef>
          </c:tx>
          <c:invertIfNegative val="0"/>
          <c:cat>
            <c:strRef>
              <c:f>Blad2!$B$23:$K$23</c:f>
              <c:strCache>
                <c:ptCount val="10"/>
                <c:pt idx="0">
                  <c:v>2013 kst</c:v>
                </c:pt>
                <c:pt idx="1">
                  <c:v>2013 opb</c:v>
                </c:pt>
                <c:pt idx="2">
                  <c:v>2014 kst</c:v>
                </c:pt>
                <c:pt idx="3">
                  <c:v>2014 opb</c:v>
                </c:pt>
                <c:pt idx="4">
                  <c:v>2015 kst</c:v>
                </c:pt>
                <c:pt idx="5">
                  <c:v>2015 opb</c:v>
                </c:pt>
                <c:pt idx="6">
                  <c:v>2016 kst</c:v>
                </c:pt>
                <c:pt idx="7">
                  <c:v>2016 opb</c:v>
                </c:pt>
                <c:pt idx="8">
                  <c:v>2017 kst</c:v>
                </c:pt>
                <c:pt idx="9">
                  <c:v>2017 opb</c:v>
                </c:pt>
              </c:strCache>
            </c:strRef>
          </c:cat>
          <c:val>
            <c:numRef>
              <c:f>Blad2!$B$29:$K$29</c:f>
              <c:numCache>
                <c:formatCode>_-* #,##0\ "€"_-;\-* #,##0\ "€"_-;_-* "-"??\ "€"_-;_-@_-</c:formatCode>
                <c:ptCount val="10"/>
                <c:pt idx="1">
                  <c:v>9030618.1819668841</c:v>
                </c:pt>
                <c:pt idx="3">
                  <c:v>9189105.5310604032</c:v>
                </c:pt>
                <c:pt idx="5">
                  <c:v>9359333.7110232972</c:v>
                </c:pt>
                <c:pt idx="7">
                  <c:v>9532715.3680200037</c:v>
                </c:pt>
                <c:pt idx="9">
                  <c:v>9889173.8679595087</c:v>
                </c:pt>
              </c:numCache>
            </c:numRef>
          </c:val>
        </c:ser>
        <c:ser>
          <c:idx val="6"/>
          <c:order val="6"/>
          <c:tx>
            <c:strRef>
              <c:f>Blad2!$A$30</c:f>
              <c:strCache>
                <c:ptCount val="1"/>
                <c:pt idx="0">
                  <c:v>Subs art Opera</c:v>
                </c:pt>
              </c:strCache>
            </c:strRef>
          </c:tx>
          <c:invertIfNegative val="0"/>
          <c:cat>
            <c:strRef>
              <c:f>Blad2!$B$23:$K$23</c:f>
              <c:strCache>
                <c:ptCount val="10"/>
                <c:pt idx="0">
                  <c:v>2013 kst</c:v>
                </c:pt>
                <c:pt idx="1">
                  <c:v>2013 opb</c:v>
                </c:pt>
                <c:pt idx="2">
                  <c:v>2014 kst</c:v>
                </c:pt>
                <c:pt idx="3">
                  <c:v>2014 opb</c:v>
                </c:pt>
                <c:pt idx="4">
                  <c:v>2015 kst</c:v>
                </c:pt>
                <c:pt idx="5">
                  <c:v>2015 opb</c:v>
                </c:pt>
                <c:pt idx="6">
                  <c:v>2016 kst</c:v>
                </c:pt>
                <c:pt idx="7">
                  <c:v>2016 opb</c:v>
                </c:pt>
                <c:pt idx="8">
                  <c:v>2017 kst</c:v>
                </c:pt>
                <c:pt idx="9">
                  <c:v>2017 opb</c:v>
                </c:pt>
              </c:strCache>
            </c:strRef>
          </c:cat>
          <c:val>
            <c:numRef>
              <c:f>Blad2!$B$30:$K$30</c:f>
              <c:numCache>
                <c:formatCode>_-* #,##0\ "€"_-;\-* #,##0\ "€"_-;_-* "-"??\ "€"_-;_-@_-</c:formatCode>
                <c:ptCount val="10"/>
                <c:pt idx="1">
                  <c:v>8989461.1440001708</c:v>
                </c:pt>
                <c:pt idx="3">
                  <c:v>9147226.1870773733</c:v>
                </c:pt>
                <c:pt idx="5">
                  <c:v>9316678.5521929804</c:v>
                </c:pt>
                <c:pt idx="7">
                  <c:v>9489270.0223723538</c:v>
                </c:pt>
                <c:pt idx="9">
                  <c:v>9844103.9628719687</c:v>
                </c:pt>
              </c:numCache>
            </c:numRef>
          </c:val>
        </c:ser>
        <c:ser>
          <c:idx val="8"/>
          <c:order val="7"/>
          <c:tx>
            <c:strRef>
              <c:f>Blad2!$A$32</c:f>
              <c:strCache>
                <c:ptCount val="1"/>
                <c:pt idx="0">
                  <c:v>EI Opera</c:v>
                </c:pt>
              </c:strCache>
            </c:strRef>
          </c:tx>
          <c:invertIfNegative val="0"/>
          <c:cat>
            <c:strRef>
              <c:f>Blad2!$B$23:$K$23</c:f>
              <c:strCache>
                <c:ptCount val="10"/>
                <c:pt idx="0">
                  <c:v>2013 kst</c:v>
                </c:pt>
                <c:pt idx="1">
                  <c:v>2013 opb</c:v>
                </c:pt>
                <c:pt idx="2">
                  <c:v>2014 kst</c:v>
                </c:pt>
                <c:pt idx="3">
                  <c:v>2014 opb</c:v>
                </c:pt>
                <c:pt idx="4">
                  <c:v>2015 kst</c:v>
                </c:pt>
                <c:pt idx="5">
                  <c:v>2015 opb</c:v>
                </c:pt>
                <c:pt idx="6">
                  <c:v>2016 kst</c:v>
                </c:pt>
                <c:pt idx="7">
                  <c:v>2016 opb</c:v>
                </c:pt>
                <c:pt idx="8">
                  <c:v>2017 kst</c:v>
                </c:pt>
                <c:pt idx="9">
                  <c:v>2017 opb</c:v>
                </c:pt>
              </c:strCache>
            </c:strRef>
          </c:cat>
          <c:val>
            <c:numRef>
              <c:f>Blad2!$B$32:$K$32</c:f>
              <c:numCache>
                <c:formatCode>_-* #,##0\ "€"_-;\-* #,##0\ "€"_-;_-* "-"??\ "€"_-;_-@_-</c:formatCode>
                <c:ptCount val="10"/>
                <c:pt idx="1">
                  <c:v>4946671</c:v>
                </c:pt>
                <c:pt idx="3">
                  <c:v>4771671</c:v>
                </c:pt>
                <c:pt idx="5">
                  <c:v>4771671</c:v>
                </c:pt>
                <c:pt idx="7">
                  <c:v>4771671</c:v>
                </c:pt>
                <c:pt idx="9">
                  <c:v>4771671</c:v>
                </c:pt>
              </c:numCache>
            </c:numRef>
          </c:val>
        </c:ser>
        <c:ser>
          <c:idx val="7"/>
          <c:order val="8"/>
          <c:tx>
            <c:strRef>
              <c:f>Blad2!$A$31</c:f>
              <c:strCache>
                <c:ptCount val="1"/>
                <c:pt idx="0">
                  <c:v>Subs art Ballet</c:v>
                </c:pt>
              </c:strCache>
            </c:strRef>
          </c:tx>
          <c:invertIfNegative val="0"/>
          <c:cat>
            <c:strRef>
              <c:f>Blad2!$B$23:$K$23</c:f>
              <c:strCache>
                <c:ptCount val="10"/>
                <c:pt idx="0">
                  <c:v>2013 kst</c:v>
                </c:pt>
                <c:pt idx="1">
                  <c:v>2013 opb</c:v>
                </c:pt>
                <c:pt idx="2">
                  <c:v>2014 kst</c:v>
                </c:pt>
                <c:pt idx="3">
                  <c:v>2014 opb</c:v>
                </c:pt>
                <c:pt idx="4">
                  <c:v>2015 kst</c:v>
                </c:pt>
                <c:pt idx="5">
                  <c:v>2015 opb</c:v>
                </c:pt>
                <c:pt idx="6">
                  <c:v>2016 kst</c:v>
                </c:pt>
                <c:pt idx="7">
                  <c:v>2016 opb</c:v>
                </c:pt>
                <c:pt idx="8">
                  <c:v>2017 kst</c:v>
                </c:pt>
                <c:pt idx="9">
                  <c:v>2017 opb</c:v>
                </c:pt>
              </c:strCache>
            </c:strRef>
          </c:cat>
          <c:val>
            <c:numRef>
              <c:f>Blad2!$B$31:$K$31</c:f>
              <c:numCache>
                <c:formatCode>_-* #,##0\ "€"_-;\-* #,##0\ "€"_-;_-* "-"??\ "€"_-;_-@_-</c:formatCode>
                <c:ptCount val="10"/>
                <c:pt idx="1">
                  <c:v>3362033.5415883036</c:v>
                </c:pt>
                <c:pt idx="3">
                  <c:v>3421037.2302431781</c:v>
                </c:pt>
                <c:pt idx="5">
                  <c:v>3484411.9449334326</c:v>
                </c:pt>
                <c:pt idx="7">
                  <c:v>3548960.6762133241</c:v>
                </c:pt>
                <c:pt idx="9">
                  <c:v>3681667.5860651867</c:v>
                </c:pt>
              </c:numCache>
            </c:numRef>
          </c:val>
        </c:ser>
        <c:ser>
          <c:idx val="9"/>
          <c:order val="9"/>
          <c:tx>
            <c:strRef>
              <c:f>Blad2!$A$33</c:f>
              <c:strCache>
                <c:ptCount val="1"/>
                <c:pt idx="0">
                  <c:v>EI Ballet</c:v>
                </c:pt>
              </c:strCache>
            </c:strRef>
          </c:tx>
          <c:invertIfNegative val="0"/>
          <c:cat>
            <c:strRef>
              <c:f>Blad2!$B$23:$K$23</c:f>
              <c:strCache>
                <c:ptCount val="10"/>
                <c:pt idx="0">
                  <c:v>2013 kst</c:v>
                </c:pt>
                <c:pt idx="1">
                  <c:v>2013 opb</c:v>
                </c:pt>
                <c:pt idx="2">
                  <c:v>2014 kst</c:v>
                </c:pt>
                <c:pt idx="3">
                  <c:v>2014 opb</c:v>
                </c:pt>
                <c:pt idx="4">
                  <c:v>2015 kst</c:v>
                </c:pt>
                <c:pt idx="5">
                  <c:v>2015 opb</c:v>
                </c:pt>
                <c:pt idx="6">
                  <c:v>2016 kst</c:v>
                </c:pt>
                <c:pt idx="7">
                  <c:v>2016 opb</c:v>
                </c:pt>
                <c:pt idx="8">
                  <c:v>2017 kst</c:v>
                </c:pt>
                <c:pt idx="9">
                  <c:v>2017 opb</c:v>
                </c:pt>
              </c:strCache>
            </c:strRef>
          </c:cat>
          <c:val>
            <c:numRef>
              <c:f>Blad2!$B$33:$K$33</c:f>
              <c:numCache>
                <c:formatCode>_-* #,##0\ "€"_-;\-* #,##0\ "€"_-;_-* "-"??\ "€"_-;_-@_-</c:formatCode>
                <c:ptCount val="10"/>
                <c:pt idx="1">
                  <c:v>776808</c:v>
                </c:pt>
                <c:pt idx="3">
                  <c:v>776808</c:v>
                </c:pt>
                <c:pt idx="5">
                  <c:v>776808</c:v>
                </c:pt>
                <c:pt idx="7">
                  <c:v>776808</c:v>
                </c:pt>
                <c:pt idx="9">
                  <c:v>776808</c:v>
                </c:pt>
              </c:numCache>
            </c:numRef>
          </c:val>
        </c:ser>
        <c:ser>
          <c:idx val="10"/>
          <c:order val="10"/>
          <c:tx>
            <c:strRef>
              <c:f>Blad2!$A$34</c:f>
              <c:strCache>
                <c:ptCount val="1"/>
                <c:pt idx="0">
                  <c:v>Deficit Opera</c:v>
                </c:pt>
              </c:strCache>
            </c:strRef>
          </c:tx>
          <c:invertIfNegative val="0"/>
          <c:cat>
            <c:strRef>
              <c:f>Blad2!$B$23:$K$23</c:f>
              <c:strCache>
                <c:ptCount val="10"/>
                <c:pt idx="0">
                  <c:v>2013 kst</c:v>
                </c:pt>
                <c:pt idx="1">
                  <c:v>2013 opb</c:v>
                </c:pt>
                <c:pt idx="2">
                  <c:v>2014 kst</c:v>
                </c:pt>
                <c:pt idx="3">
                  <c:v>2014 opb</c:v>
                </c:pt>
                <c:pt idx="4">
                  <c:v>2015 kst</c:v>
                </c:pt>
                <c:pt idx="5">
                  <c:v>2015 opb</c:v>
                </c:pt>
                <c:pt idx="6">
                  <c:v>2016 kst</c:v>
                </c:pt>
                <c:pt idx="7">
                  <c:v>2016 opb</c:v>
                </c:pt>
                <c:pt idx="8">
                  <c:v>2017 kst</c:v>
                </c:pt>
                <c:pt idx="9">
                  <c:v>2017 opb</c:v>
                </c:pt>
              </c:strCache>
            </c:strRef>
          </c:cat>
          <c:val>
            <c:numRef>
              <c:f>Blad2!$B$34:$K$34</c:f>
              <c:numCache>
                <c:formatCode>_-* #,##0\ "€"_-;\-* #,##0\ "€"_-;_-* "-"??\ "€"_-;_-@_-</c:formatCode>
                <c:ptCount val="10"/>
                <c:pt idx="1">
                  <c:v>334892.49999999907</c:v>
                </c:pt>
                <c:pt idx="3">
                  <c:v>537261.02918973437</c:v>
                </c:pt>
                <c:pt idx="5">
                  <c:v>813836.15654387302</c:v>
                </c:pt>
                <c:pt idx="7">
                  <c:v>1099357.7773298873</c:v>
                </c:pt>
                <c:pt idx="9">
                  <c:v>1698316.0271632583</c:v>
                </c:pt>
              </c:numCache>
            </c:numRef>
          </c:val>
        </c:ser>
        <c:ser>
          <c:idx val="11"/>
          <c:order val="11"/>
          <c:tx>
            <c:strRef>
              <c:f>Blad2!$A$35</c:f>
              <c:strCache>
                <c:ptCount val="1"/>
                <c:pt idx="0">
                  <c:v>Deficit Ballet</c:v>
                </c:pt>
              </c:strCache>
            </c:strRef>
          </c:tx>
          <c:invertIfNegative val="0"/>
          <c:cat>
            <c:strRef>
              <c:f>Blad2!$B$23:$K$23</c:f>
              <c:strCache>
                <c:ptCount val="10"/>
                <c:pt idx="0">
                  <c:v>2013 kst</c:v>
                </c:pt>
                <c:pt idx="1">
                  <c:v>2013 opb</c:v>
                </c:pt>
                <c:pt idx="2">
                  <c:v>2014 kst</c:v>
                </c:pt>
                <c:pt idx="3">
                  <c:v>2014 opb</c:v>
                </c:pt>
                <c:pt idx="4">
                  <c:v>2015 kst</c:v>
                </c:pt>
                <c:pt idx="5">
                  <c:v>2015 opb</c:v>
                </c:pt>
                <c:pt idx="6">
                  <c:v>2016 kst</c:v>
                </c:pt>
                <c:pt idx="7">
                  <c:v>2016 opb</c:v>
                </c:pt>
                <c:pt idx="8">
                  <c:v>2017 kst</c:v>
                </c:pt>
                <c:pt idx="9">
                  <c:v>2017 opb</c:v>
                </c:pt>
              </c:strCache>
            </c:strRef>
          </c:cat>
          <c:val>
            <c:numRef>
              <c:f>Blad2!$B$35:$K$35</c:f>
              <c:numCache>
                <c:formatCode>_-* #,##0\ "€"_-;\-* #,##0\ "€"_-;_-* "-"??\ "€"_-;_-@_-</c:formatCode>
                <c:ptCount val="10"/>
                <c:pt idx="1">
                  <c:v>910057.16999999946</c:v>
                </c:pt>
                <c:pt idx="3">
                  <c:v>691690.21319187235</c:v>
                </c:pt>
                <c:pt idx="5">
                  <c:v>781839.41365246125</c:v>
                </c:pt>
                <c:pt idx="7">
                  <c:v>875065.56545276521</c:v>
                </c:pt>
                <c:pt idx="9">
                  <c:v>1071130.9732647291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298560"/>
        <c:axId val="143300096"/>
        <c:axId val="0"/>
      </c:bar3DChart>
      <c:catAx>
        <c:axId val="14329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300096"/>
        <c:crosses val="autoZero"/>
        <c:auto val="1"/>
        <c:lblAlgn val="ctr"/>
        <c:lblOffset val="100"/>
        <c:noMultiLvlLbl val="0"/>
      </c:catAx>
      <c:valAx>
        <c:axId val="143300096"/>
        <c:scaling>
          <c:orientation val="minMax"/>
        </c:scaling>
        <c:delete val="0"/>
        <c:axPos val="l"/>
        <c:majorGridlines/>
        <c:numFmt formatCode="_-* #,##0\ &quot;€&quot;_-;\-* #,##0\ &quot;€&quot;_-;_-* &quot;-&quot;??\ &quot;€&quot;_-;_-@_-" sourceLinked="1"/>
        <c:majorTickMark val="out"/>
        <c:minorTickMark val="none"/>
        <c:tickLblPos val="nextTo"/>
        <c:crossAx val="143298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22" l="0.70000000000000118" r="0.70000000000000118" t="0.750000000000003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'Rekenblad front'!$A$53</c:f>
              <c:strCache>
                <c:ptCount val="1"/>
                <c:pt idx="0">
                  <c:v>Eigen Ink/Art Sub Opera</c:v>
                </c:pt>
              </c:strCache>
            </c:strRef>
          </c:tx>
          <c:marker>
            <c:symbol val="none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'Rekenblad front'!$E$5:$J$5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'Rekenblad front'!$E$53:$J$53</c:f>
              <c:numCache>
                <c:formatCode>0%</c:formatCode>
                <c:ptCount val="6"/>
                <c:pt idx="0">
                  <c:v>0.55027447371542981</c:v>
                </c:pt>
                <c:pt idx="1">
                  <c:v>0.52165223669019112</c:v>
                </c:pt>
                <c:pt idx="2">
                  <c:v>0.51216439134060643</c:v>
                </c:pt>
                <c:pt idx="3">
                  <c:v>0.50284911154915835</c:v>
                </c:pt>
                <c:pt idx="4">
                  <c:v>0.49370325868207299</c:v>
                </c:pt>
                <c:pt idx="5">
                  <c:v>0.48472375119125505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'Rekenblad front'!$A$54</c:f>
              <c:strCache>
                <c:ptCount val="1"/>
                <c:pt idx="0">
                  <c:v>Eigen Ink/Art Sub Ballet</c:v>
                </c:pt>
              </c:strCache>
            </c:strRef>
          </c:tx>
          <c:marker>
            <c:symbol val="none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'Rekenblad front'!$E$5:$J$5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'Rekenblad front'!$E$54:$J$54</c:f>
              <c:numCache>
                <c:formatCode>0%</c:formatCode>
                <c:ptCount val="6"/>
                <c:pt idx="0">
                  <c:v>0.23105301907042178</c:v>
                </c:pt>
                <c:pt idx="1">
                  <c:v>0.22706797609004156</c:v>
                </c:pt>
                <c:pt idx="2">
                  <c:v>0.22293804873718523</c:v>
                </c:pt>
                <c:pt idx="3">
                  <c:v>0.21888323677591151</c:v>
                </c:pt>
                <c:pt idx="4">
                  <c:v>0.21490217400251493</c:v>
                </c:pt>
                <c:pt idx="5">
                  <c:v>0.2109935190618934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201984"/>
        <c:axId val="142203520"/>
      </c:lineChart>
      <c:catAx>
        <c:axId val="14220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203520"/>
        <c:crosses val="autoZero"/>
        <c:auto val="1"/>
        <c:lblAlgn val="ctr"/>
        <c:lblOffset val="100"/>
        <c:noMultiLvlLbl val="0"/>
      </c:catAx>
      <c:valAx>
        <c:axId val="1422035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2201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22" l="0.70000000000000118" r="0.70000000000000118" t="0.750000000000003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'Rekenblad front'!$A$31</c:f>
              <c:strCache>
                <c:ptCount val="1"/>
                <c:pt idx="0">
                  <c:v>Res Opera assume def alg</c:v>
                </c:pt>
              </c:strCache>
            </c:strRef>
          </c:tx>
          <c:marker>
            <c:symbol val="none"/>
          </c:marker>
          <c:cat>
            <c:numRef>
              <c:f>'Rekenblad front'!$E$5:$J$5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'Rekenblad front'!$E$31:$J$31</c:f>
              <c:numCache>
                <c:formatCode>_-* #,##0\ "€"_-;\-* #,##0\ "€"_-;_-* "-"??\ "€"_-;_-@_-</c:formatCode>
                <c:ptCount val="6"/>
                <c:pt idx="0">
                  <c:v>-334892.49999999907</c:v>
                </c:pt>
                <c:pt idx="1">
                  <c:v>-537261.02918973437</c:v>
                </c:pt>
                <c:pt idx="2">
                  <c:v>-813836.15654387302</c:v>
                </c:pt>
                <c:pt idx="3">
                  <c:v>-1099357.7773298873</c:v>
                </c:pt>
                <c:pt idx="4">
                  <c:v>-1394092.8656705874</c:v>
                </c:pt>
                <c:pt idx="5">
                  <c:v>-1698316.0271632583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'Rekenblad front'!$A$32</c:f>
              <c:strCache>
                <c:ptCount val="1"/>
                <c:pt idx="0">
                  <c:v>Res Ballet assume def alg</c:v>
                </c:pt>
              </c:strCache>
            </c:strRef>
          </c:tx>
          <c:marker>
            <c:symbol val="none"/>
          </c:marker>
          <c:cat>
            <c:numRef>
              <c:f>'Rekenblad front'!$E$5:$J$5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'Rekenblad front'!$E$32:$J$32</c:f>
              <c:numCache>
                <c:formatCode>_-* #,##0\ "€"_-;\-* #,##0\ "€"_-;_-* "-"??\ "€"_-;_-@_-</c:formatCode>
                <c:ptCount val="6"/>
                <c:pt idx="0">
                  <c:v>-910057.16999999946</c:v>
                </c:pt>
                <c:pt idx="1">
                  <c:v>-691690.21319187235</c:v>
                </c:pt>
                <c:pt idx="2">
                  <c:v>-781839.41365246125</c:v>
                </c:pt>
                <c:pt idx="3">
                  <c:v>-875065.56545276521</c:v>
                </c:pt>
                <c:pt idx="4">
                  <c:v>-971463.53669384972</c:v>
                </c:pt>
                <c:pt idx="5">
                  <c:v>-1071130.9732647291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45248"/>
        <c:axId val="142251136"/>
      </c:lineChart>
      <c:catAx>
        <c:axId val="14224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251136"/>
        <c:crosses val="autoZero"/>
        <c:auto val="1"/>
        <c:lblAlgn val="ctr"/>
        <c:lblOffset val="100"/>
        <c:noMultiLvlLbl val="0"/>
      </c:catAx>
      <c:valAx>
        <c:axId val="142251136"/>
        <c:scaling>
          <c:orientation val="minMax"/>
        </c:scaling>
        <c:delete val="0"/>
        <c:axPos val="l"/>
        <c:majorGridlines/>
        <c:numFmt formatCode="_-* #,##0\ &quot;€&quot;_-;\-* #,##0\ &quot;€&quot;_-;_-* &quot;-&quot;??\ &quot;€&quot;_-;_-@_-" sourceLinked="1"/>
        <c:majorTickMark val="out"/>
        <c:minorTickMark val="none"/>
        <c:tickLblPos val="nextTo"/>
        <c:crossAx val="142245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22" l="0.70000000000000118" r="0.70000000000000118" t="0.750000000000002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39</xdr:row>
      <xdr:rowOff>95249</xdr:rowOff>
    </xdr:from>
    <xdr:to>
      <xdr:col>11</xdr:col>
      <xdr:colOff>0</xdr:colOff>
      <xdr:row>77</xdr:row>
      <xdr:rowOff>47625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63</xdr:row>
      <xdr:rowOff>123825</xdr:rowOff>
    </xdr:from>
    <xdr:to>
      <xdr:col>0</xdr:col>
      <xdr:colOff>1285875</xdr:colOff>
      <xdr:row>65</xdr:row>
      <xdr:rowOff>28575</xdr:rowOff>
    </xdr:to>
    <xdr:sp macro="" textlink="">
      <xdr:nvSpPr>
        <xdr:cNvPr id="4" name="Tekstvak 1"/>
        <xdr:cNvSpPr txBox="1"/>
      </xdr:nvSpPr>
      <xdr:spPr>
        <a:xfrm>
          <a:off x="57150" y="11363325"/>
          <a:ext cx="1228725" cy="285750"/>
        </a:xfrm>
        <a:prstGeom prst="rect">
          <a:avLst/>
        </a:prstGeom>
        <a:solidFill>
          <a:schemeClr val="accent1">
            <a:lumMod val="7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nl-NL" sz="1100">
              <a:solidFill>
                <a:schemeClr val="accent6">
                  <a:lumMod val="60000"/>
                  <a:lumOff val="40000"/>
                </a:schemeClr>
              </a:solidFill>
            </a:rPr>
            <a:t>ONDERSTEUNEND</a:t>
          </a:r>
        </a:p>
      </xdr:txBody>
    </xdr:sp>
    <xdr:clientData/>
  </xdr:twoCellAnchor>
  <xdr:twoCellAnchor>
    <xdr:from>
      <xdr:col>0</xdr:col>
      <xdr:colOff>123825</xdr:colOff>
      <xdr:row>55</xdr:row>
      <xdr:rowOff>19050</xdr:rowOff>
    </xdr:from>
    <xdr:to>
      <xdr:col>0</xdr:col>
      <xdr:colOff>1352550</xdr:colOff>
      <xdr:row>56</xdr:row>
      <xdr:rowOff>114300</xdr:rowOff>
    </xdr:to>
    <xdr:sp macro="" textlink="">
      <xdr:nvSpPr>
        <xdr:cNvPr id="5" name="Tekstvak 1"/>
        <xdr:cNvSpPr txBox="1"/>
      </xdr:nvSpPr>
      <xdr:spPr>
        <a:xfrm>
          <a:off x="123825" y="9734550"/>
          <a:ext cx="1228725" cy="285750"/>
        </a:xfrm>
        <a:prstGeom prst="rect">
          <a:avLst/>
        </a:prstGeom>
        <a:solidFill>
          <a:srgbClr val="7030A0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nl-NL" sz="1100">
              <a:solidFill>
                <a:schemeClr val="accent3">
                  <a:lumMod val="20000"/>
                  <a:lumOff val="80000"/>
                </a:schemeClr>
              </a:solidFill>
            </a:rPr>
            <a:t>ART.</a:t>
          </a:r>
          <a:r>
            <a:rPr lang="nl-NL" sz="1100" baseline="0">
              <a:solidFill>
                <a:schemeClr val="accent3">
                  <a:lumMod val="20000"/>
                  <a:lumOff val="80000"/>
                </a:schemeClr>
              </a:solidFill>
            </a:rPr>
            <a:t> OPERA</a:t>
          </a:r>
          <a:endParaRPr lang="nl-NL" sz="1100">
            <a:solidFill>
              <a:schemeClr val="accent3">
                <a:lumMod val="20000"/>
                <a:lumOff val="80000"/>
              </a:schemeClr>
            </a:solidFill>
          </a:endParaRPr>
        </a:p>
      </xdr:txBody>
    </xdr:sp>
    <xdr:clientData/>
  </xdr:twoCellAnchor>
  <xdr:twoCellAnchor>
    <xdr:from>
      <xdr:col>0</xdr:col>
      <xdr:colOff>200025</xdr:colOff>
      <xdr:row>46</xdr:row>
      <xdr:rowOff>0</xdr:rowOff>
    </xdr:from>
    <xdr:to>
      <xdr:col>0</xdr:col>
      <xdr:colOff>1428750</xdr:colOff>
      <xdr:row>47</xdr:row>
      <xdr:rowOff>95250</xdr:rowOff>
    </xdr:to>
    <xdr:sp macro="" textlink="">
      <xdr:nvSpPr>
        <xdr:cNvPr id="6" name="Tekstvak 1"/>
        <xdr:cNvSpPr txBox="1"/>
      </xdr:nvSpPr>
      <xdr:spPr>
        <a:xfrm>
          <a:off x="200025" y="8001000"/>
          <a:ext cx="1228725" cy="285750"/>
        </a:xfrm>
        <a:prstGeom prst="rect">
          <a:avLst/>
        </a:prstGeom>
        <a:solidFill>
          <a:schemeClr val="accent3">
            <a:lumMod val="7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nl-NL" sz="1100">
              <a:solidFill>
                <a:schemeClr val="accent3">
                  <a:lumMod val="20000"/>
                  <a:lumOff val="80000"/>
                </a:schemeClr>
              </a:solidFill>
            </a:rPr>
            <a:t>ART.</a:t>
          </a:r>
          <a:r>
            <a:rPr lang="nl-NL" sz="1100" baseline="0">
              <a:solidFill>
                <a:schemeClr val="accent3">
                  <a:lumMod val="20000"/>
                  <a:lumOff val="80000"/>
                </a:schemeClr>
              </a:solidFill>
            </a:rPr>
            <a:t> BALLET</a:t>
          </a:r>
          <a:endParaRPr lang="nl-NL" sz="1100">
            <a:solidFill>
              <a:schemeClr val="accent3">
                <a:lumMod val="20000"/>
                <a:lumOff val="8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0.77615</cdr:y>
    </cdr:from>
    <cdr:to>
      <cdr:x>0.11446</cdr:x>
      <cdr:y>0.81589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0" y="5581621"/>
          <a:ext cx="1228691" cy="28578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NL" sz="1100">
              <a:solidFill>
                <a:schemeClr val="tx2">
                  <a:lumMod val="20000"/>
                  <a:lumOff val="80000"/>
                </a:schemeClr>
              </a:solidFill>
            </a:rPr>
            <a:t>INFRASTRUCTUUR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</xdr:row>
      <xdr:rowOff>0</xdr:rowOff>
    </xdr:from>
    <xdr:to>
      <xdr:col>13</xdr:col>
      <xdr:colOff>352424</xdr:colOff>
      <xdr:row>29</xdr:row>
      <xdr:rowOff>114300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476249</xdr:colOff>
      <xdr:row>1</xdr:row>
      <xdr:rowOff>76199</xdr:rowOff>
    </xdr:from>
    <xdr:to>
      <xdr:col>15</xdr:col>
      <xdr:colOff>333374</xdr:colOff>
      <xdr:row>31</xdr:row>
      <xdr:rowOff>161924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dmt\Bureaublad\Documents%20and%20Settings\Dirk\Mijn%20documenten\ImproveMenT\Proposals\Vlaamse%20Opera\Opera%20financials\cijfers%202013%20opera%20voor%20financieringsmodel%20vanuit%20model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dmt\Bureaublad\Documents%20and%20Settings\Dirk\Mijn%20documenten\ImproveMenT\Proposals\Vlaamse%20Opera\Ballet%20financials\cijfers%20Ballet%202013%20voor%20financieringsmod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dmt\Bureaublad\Documents%20and%20Settings\Dirk\Mijn%20documenten\ImproveMenT\Proposals\Vlaamse%20Opera\Combined%20financials%202013%20BD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productiekosten"/>
      <sheetName val="opera's"/>
      <sheetName val="concerten"/>
      <sheetName val="Investeringen"/>
      <sheetName val="goederen en diensten"/>
      <sheetName val="communicatie"/>
      <sheetName val="Bezoldigingen"/>
      <sheetName val="diverse en financiele kosten"/>
      <sheetName val="opbrengsten"/>
    </sheetNames>
    <sheetDataSet>
      <sheetData sheetId="0">
        <row r="1">
          <cell r="M1">
            <v>5754182.0282709375</v>
          </cell>
        </row>
        <row r="2">
          <cell r="M2">
            <v>9410283.1788160764</v>
          </cell>
        </row>
        <row r="3">
          <cell r="M3">
            <v>2987470.4318449325</v>
          </cell>
        </row>
        <row r="4">
          <cell r="M4">
            <v>2739848.4601961197</v>
          </cell>
        </row>
        <row r="5">
          <cell r="M5">
            <v>1395867.1471857633</v>
          </cell>
        </row>
        <row r="6">
          <cell r="M6">
            <v>3564891.7536861692</v>
          </cell>
        </row>
      </sheetData>
      <sheetData sheetId="1"/>
      <sheetData sheetId="2"/>
      <sheetData sheetId="3"/>
      <sheetData sheetId="4"/>
      <sheetData sheetId="5">
        <row r="21">
          <cell r="E21">
            <v>480000</v>
          </cell>
        </row>
      </sheetData>
      <sheetData sheetId="6"/>
      <sheetData sheetId="7">
        <row r="76">
          <cell r="J76">
            <v>119939.02827093766</v>
          </cell>
          <cell r="K76">
            <v>9383383.1788160764</v>
          </cell>
          <cell r="L76">
            <v>1320170.4318449325</v>
          </cell>
          <cell r="M76">
            <v>2566148.4601961197</v>
          </cell>
          <cell r="N76">
            <v>730567.14718576334</v>
          </cell>
          <cell r="O76">
            <v>2517791.7536861692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2"/>
      <sheetName val="Detail"/>
      <sheetName val="Lonen copy"/>
      <sheetName val="Blad1"/>
    </sheetNames>
    <sheetDataSet>
      <sheetData sheetId="0">
        <row r="3">
          <cell r="B3">
            <v>2285128.8557519396</v>
          </cell>
        </row>
        <row r="4">
          <cell r="B4">
            <v>3813479.2081194199</v>
          </cell>
        </row>
        <row r="5">
          <cell r="B5">
            <v>701670.95339382545</v>
          </cell>
        </row>
        <row r="6">
          <cell r="B6">
            <v>511174.67954334756</v>
          </cell>
        </row>
        <row r="7">
          <cell r="B7">
            <v>283157.58177023684</v>
          </cell>
        </row>
        <row r="8">
          <cell r="B8">
            <v>1465302.6514212303</v>
          </cell>
        </row>
      </sheetData>
      <sheetData sheetId="1">
        <row r="68">
          <cell r="K68">
            <v>6800</v>
          </cell>
        </row>
        <row r="69">
          <cell r="K69">
            <v>130000</v>
          </cell>
        </row>
        <row r="377">
          <cell r="P377">
            <v>269472.93707541557</v>
          </cell>
          <cell r="Q377">
            <v>550305.81564238784</v>
          </cell>
          <cell r="S377">
            <v>1054002.8836800605</v>
          </cell>
        </row>
        <row r="380">
          <cell r="N380">
            <v>4413809.293602136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  <sheetName val="Blad4"/>
      <sheetName val="Globaal"/>
      <sheetName val="Globaal nieuwe voorstelling"/>
    </sheetNames>
    <sheetDataSet>
      <sheetData sheetId="0">
        <row r="23">
          <cell r="O23">
            <v>20406750</v>
          </cell>
          <cell r="P23">
            <v>6382240</v>
          </cell>
        </row>
      </sheetData>
      <sheetData sheetId="1"/>
      <sheetData sheetId="2"/>
      <sheetData sheetId="3"/>
      <sheetData sheetId="4"/>
      <sheetData sheetId="5">
        <row r="2">
          <cell r="C2">
            <v>3689000</v>
          </cell>
        </row>
        <row r="3">
          <cell r="E3">
            <v>9960000</v>
          </cell>
        </row>
        <row r="4">
          <cell r="G4">
            <v>9719000</v>
          </cell>
        </row>
        <row r="5">
          <cell r="I5">
            <v>3421000</v>
          </cell>
        </row>
        <row r="6">
          <cell r="G6">
            <v>4898000</v>
          </cell>
        </row>
        <row r="7">
          <cell r="I7">
            <v>672000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8"/>
  <sheetViews>
    <sheetView tabSelected="1" topLeftCell="B1" workbookViewId="0">
      <selection activeCell="L9" sqref="L9"/>
    </sheetView>
  </sheetViews>
  <sheetFormatPr defaultColWidth="8.85546875" defaultRowHeight="15" x14ac:dyDescent="0.25"/>
  <cols>
    <col min="1" max="1" width="37.85546875" customWidth="1"/>
    <col min="2" max="2" width="13.140625" bestFit="1" customWidth="1"/>
    <col min="3" max="3" width="14.28515625" style="1" bestFit="1" customWidth="1"/>
    <col min="4" max="4" width="20.42578125" style="40" customWidth="1"/>
    <col min="5" max="5" width="14.7109375" style="1" customWidth="1"/>
    <col min="6" max="7" width="14.7109375" bestFit="1" customWidth="1"/>
    <col min="8" max="9" width="15" customWidth="1"/>
    <col min="10" max="10" width="14.7109375" customWidth="1"/>
    <col min="11" max="11" width="12" customWidth="1"/>
    <col min="12" max="12" width="8.7109375" customWidth="1"/>
    <col min="13" max="13" width="7.28515625" customWidth="1"/>
    <col min="14" max="14" width="17.140625" customWidth="1"/>
  </cols>
  <sheetData>
    <row r="1" spans="1:14" ht="18.75" x14ac:dyDescent="0.3">
      <c r="A1" s="6" t="s">
        <v>218</v>
      </c>
      <c r="D1" s="83">
        <v>1</v>
      </c>
      <c r="E1" s="114" t="s">
        <v>167</v>
      </c>
      <c r="G1" s="139"/>
      <c r="H1" s="139"/>
      <c r="I1" s="139">
        <v>1</v>
      </c>
      <c r="J1" s="113">
        <v>0</v>
      </c>
      <c r="K1" s="83" t="s">
        <v>168</v>
      </c>
      <c r="L1" s="84"/>
      <c r="M1" s="82"/>
      <c r="N1" s="83"/>
    </row>
    <row r="2" spans="1:14" ht="15.75" x14ac:dyDescent="0.25">
      <c r="A2" s="140" t="s">
        <v>219</v>
      </c>
      <c r="B2" s="29" t="s">
        <v>15</v>
      </c>
      <c r="C2" s="119" t="s">
        <v>22</v>
      </c>
      <c r="E2" s="83">
        <f>SUM(G1:I1)</f>
        <v>1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48" t="s">
        <v>88</v>
      </c>
      <c r="M2" s="57">
        <v>0.9</v>
      </c>
      <c r="N2" s="57" t="s">
        <v>169</v>
      </c>
    </row>
    <row r="3" spans="1:14" x14ac:dyDescent="0.25">
      <c r="B3" s="136">
        <v>7.6E-3</v>
      </c>
      <c r="C3" s="137" t="s">
        <v>185</v>
      </c>
      <c r="D3" s="85"/>
      <c r="E3" s="86" t="s">
        <v>86</v>
      </c>
      <c r="F3" s="87">
        <v>1.7999999999999999E-2</v>
      </c>
      <c r="G3" s="87">
        <v>1.9E-2</v>
      </c>
      <c r="H3" s="87">
        <v>1.9E-2</v>
      </c>
      <c r="I3" s="87">
        <v>1.9E-2</v>
      </c>
      <c r="J3" s="87">
        <v>1.9E-2</v>
      </c>
      <c r="K3" s="50">
        <f>((1+F3)*(1+G3)*(1+H3)*(1+I3)*(1+J3))-1</f>
        <v>9.7601050514777743E-2</v>
      </c>
      <c r="L3" s="39">
        <v>1.7999999999999999E-2</v>
      </c>
      <c r="M3" s="57">
        <f>1-M2</f>
        <v>9.9999999999999978E-2</v>
      </c>
      <c r="N3" s="57" t="s">
        <v>170</v>
      </c>
    </row>
    <row r="4" spans="1:14" x14ac:dyDescent="0.25">
      <c r="A4" s="4"/>
      <c r="B4" s="138">
        <v>8.1399999999999997E-3</v>
      </c>
      <c r="C4" s="138" t="s">
        <v>186</v>
      </c>
      <c r="D4" s="80"/>
      <c r="E4" s="80" t="s">
        <v>87</v>
      </c>
      <c r="F4" s="46">
        <f>$M$2*F3*100%+$M$3*F3*75%</f>
        <v>1.755E-2</v>
      </c>
      <c r="G4" s="46">
        <f>$M$2*G3*100%+$M$3*G3*75%</f>
        <v>1.8525E-2</v>
      </c>
      <c r="H4" s="46">
        <f>$M$2*H3*100%+$M$3*H3*75%</f>
        <v>1.8525E-2</v>
      </c>
      <c r="I4" s="46">
        <f>$M$2*I3*100%+$M$3*I3*75%</f>
        <v>1.8525E-2</v>
      </c>
      <c r="J4" s="46">
        <f>$M$2*J3*100%+$M$3*J3*75%</f>
        <v>1.8525E-2</v>
      </c>
      <c r="K4" s="50">
        <f>((1+F4)*(1+G4)*(1+H4)*(1+I4)*(1+J4))-1</f>
        <v>9.507164057794637E-2</v>
      </c>
      <c r="L4" s="46">
        <f>M2*L3*100%+M3*L3*75%</f>
        <v>1.755E-2</v>
      </c>
    </row>
    <row r="5" spans="1:14" s="29" customFormat="1" x14ac:dyDescent="0.25">
      <c r="B5" s="29" t="s">
        <v>134</v>
      </c>
      <c r="C5" s="90"/>
      <c r="D5" s="76" t="s">
        <v>130</v>
      </c>
      <c r="E5" s="90">
        <v>2013</v>
      </c>
      <c r="F5" s="90">
        <v>2014</v>
      </c>
      <c r="G5" s="90">
        <v>2015</v>
      </c>
      <c r="H5" s="90">
        <v>2016</v>
      </c>
      <c r="I5" s="90">
        <v>2017</v>
      </c>
      <c r="J5" s="90">
        <v>2018</v>
      </c>
      <c r="K5" s="90"/>
      <c r="L5" s="91">
        <f>L4/L3</f>
        <v>0.97500000000000009</v>
      </c>
    </row>
    <row r="6" spans="1:14" x14ac:dyDescent="0.25">
      <c r="A6" s="18" t="s">
        <v>7</v>
      </c>
      <c r="B6" s="18">
        <v>9766637.0007801913</v>
      </c>
      <c r="C6" s="18">
        <v>0</v>
      </c>
      <c r="D6" s="123">
        <f>B3</f>
        <v>7.6E-3</v>
      </c>
      <c r="E6" s="1">
        <f>B6</f>
        <v>9766637.0007801913</v>
      </c>
      <c r="F6" s="1">
        <f>(E6)*(1+($D6+F$3))+'ontslagverg opera'!C13</f>
        <v>9873867.4667348843</v>
      </c>
      <c r="G6" s="1">
        <f>(F6)*(1+($D6+G$3))</f>
        <v>10136512.341350032</v>
      </c>
      <c r="H6" s="1">
        <f>(G6)*(1+($D6+H$3))</f>
        <v>10406143.569629943</v>
      </c>
      <c r="I6" s="1">
        <f>(H6)*(1+($D6+I$3))</f>
        <v>10682946.988582099</v>
      </c>
      <c r="J6" s="1">
        <f>(I6)*(1+($D6+J$3))</f>
        <v>10967113.378478382</v>
      </c>
      <c r="K6" s="47"/>
      <c r="M6" s="47"/>
      <c r="N6" s="117" t="s">
        <v>179</v>
      </c>
    </row>
    <row r="7" spans="1:14" x14ac:dyDescent="0.25">
      <c r="A7" s="18" t="s">
        <v>8</v>
      </c>
      <c r="B7" s="18">
        <v>5360277</v>
      </c>
      <c r="C7" s="18">
        <v>0</v>
      </c>
      <c r="D7" s="123"/>
      <c r="E7" s="1">
        <f t="shared" ref="E7:E15" si="0">B7</f>
        <v>5360277</v>
      </c>
      <c r="F7" s="1">
        <f>E7*(1+F$3)</f>
        <v>5456761.9860000005</v>
      </c>
      <c r="G7" s="120">
        <f>(F7+(G$1*$J$1))*(1+G3)</f>
        <v>5560440.463734</v>
      </c>
      <c r="H7" s="120">
        <f>(G7+(H$1*$J$1))*(1+H3)</f>
        <v>5666088.8325449452</v>
      </c>
      <c r="I7" s="120">
        <f>(H7+(I$1*$J$1))*(1+I$3)</f>
        <v>5773744.5203632982</v>
      </c>
      <c r="J7" s="1">
        <f t="shared" ref="J7:J15" si="1">I7*(1+($D7+J$3))</f>
        <v>5883445.6662502</v>
      </c>
      <c r="K7" s="115">
        <f>(E7*(D1-1))/9</f>
        <v>0</v>
      </c>
      <c r="L7" s="116" t="s">
        <v>172</v>
      </c>
      <c r="N7" s="117" t="s">
        <v>180</v>
      </c>
    </row>
    <row r="8" spans="1:14" x14ac:dyDescent="0.25">
      <c r="A8" s="19" t="s">
        <v>9</v>
      </c>
      <c r="B8" s="19">
        <v>4103628.5467419843</v>
      </c>
      <c r="C8" s="19">
        <v>0</v>
      </c>
      <c r="D8" s="123">
        <f>B4</f>
        <v>8.1399999999999997E-3</v>
      </c>
      <c r="E8" s="1">
        <f t="shared" si="0"/>
        <v>4103628.5467419843</v>
      </c>
      <c r="F8" s="135">
        <f>(E8)*(1+($D8+F$3))</f>
        <v>4210897.3969538203</v>
      </c>
      <c r="G8" s="135">
        <f>(F8)*(1+($D8+G$3))</f>
        <v>4325181.1523071462</v>
      </c>
      <c r="H8" s="1">
        <f t="shared" ref="H8" si="2">G8*(1+($D8+H$3))</f>
        <v>4442566.5687807621</v>
      </c>
      <c r="I8" s="1">
        <f t="shared" ref="I8:I15" si="3">H8*(1+($D8+I$3))</f>
        <v>4563137.8254574714</v>
      </c>
      <c r="J8" s="1">
        <f t="shared" si="1"/>
        <v>4686981.3860403867</v>
      </c>
      <c r="K8" s="1"/>
      <c r="L8" s="116" t="s">
        <v>220</v>
      </c>
      <c r="N8" s="118"/>
    </row>
    <row r="9" spans="1:14" x14ac:dyDescent="0.25">
      <c r="A9" s="19" t="s">
        <v>10</v>
      </c>
      <c r="B9" s="19">
        <v>1278519.5309361476</v>
      </c>
      <c r="C9" s="19">
        <v>0</v>
      </c>
      <c r="D9" s="123"/>
      <c r="E9" s="1">
        <f t="shared" si="0"/>
        <v>1278519.5309361476</v>
      </c>
      <c r="F9" s="1">
        <f>-110000-175000+E9*(1+F$3)</f>
        <v>1016532.8824929981</v>
      </c>
      <c r="G9" s="1">
        <f>F9*(1+G$3)</f>
        <v>1035847.0072603651</v>
      </c>
      <c r="H9" s="1">
        <f t="shared" ref="H9" si="4">G9*(1+($D9+H$3))</f>
        <v>1055528.1003983119</v>
      </c>
      <c r="I9" s="1">
        <f t="shared" si="3"/>
        <v>1075583.1343058797</v>
      </c>
      <c r="J9" s="1">
        <f t="shared" si="1"/>
        <v>1096019.2138576913</v>
      </c>
      <c r="K9" s="1"/>
      <c r="N9" s="118"/>
    </row>
    <row r="10" spans="1:14" x14ac:dyDescent="0.25">
      <c r="A10" s="9" t="s">
        <v>162</v>
      </c>
      <c r="B10" s="9">
        <v>7533011.9563898016</v>
      </c>
      <c r="C10" s="9">
        <v>0</v>
      </c>
      <c r="D10" s="123">
        <f>(B3*K10)+(B4*(1-K10))</f>
        <v>7.7115639999999997E-3</v>
      </c>
      <c r="E10" s="1">
        <f t="shared" si="0"/>
        <v>7533011.9563898016</v>
      </c>
      <c r="F10" s="1">
        <f>(E10)*(1+($D10+F$3))+'ontslagverg opera'!C14</f>
        <v>7639329.5922442023</v>
      </c>
      <c r="G10" s="1">
        <f>(F10)*(1+($D10+G$3))</f>
        <v>7843388.0335645266</v>
      </c>
      <c r="H10" s="1">
        <f t="shared" ref="H10:J10" si="5">(G10)*(1+($D10+H$3))</f>
        <v>8052897.1949999193</v>
      </c>
      <c r="I10" s="1">
        <f t="shared" si="5"/>
        <v>8268002.6738095796</v>
      </c>
      <c r="J10" s="1">
        <f t="shared" si="5"/>
        <v>8488853.9563832153</v>
      </c>
      <c r="K10" s="122">
        <v>0.79339999999999999</v>
      </c>
      <c r="L10" s="116" t="s">
        <v>184</v>
      </c>
      <c r="N10" s="117" t="s">
        <v>180</v>
      </c>
    </row>
    <row r="11" spans="1:14" x14ac:dyDescent="0.25">
      <c r="A11" s="9" t="s">
        <v>163</v>
      </c>
      <c r="B11" s="9">
        <v>2336900.9276157883</v>
      </c>
      <c r="C11" s="9">
        <v>0</v>
      </c>
      <c r="D11" s="123"/>
      <c r="E11" s="1">
        <f t="shared" si="0"/>
        <v>2336900.9276157883</v>
      </c>
      <c r="F11" s="1">
        <f t="shared" ref="F11:H11" si="6">E11*(1+($D11+F$3))</f>
        <v>2378965.1443128726</v>
      </c>
      <c r="G11" s="1">
        <f t="shared" si="6"/>
        <v>2424165.482054817</v>
      </c>
      <c r="H11" s="1">
        <f t="shared" si="6"/>
        <v>2470224.6262138584</v>
      </c>
      <c r="I11" s="1">
        <f t="shared" si="3"/>
        <v>2517158.8941119215</v>
      </c>
      <c r="J11" s="1">
        <f t="shared" si="1"/>
        <v>2564984.913100048</v>
      </c>
      <c r="K11" s="1"/>
      <c r="N11" s="118"/>
    </row>
    <row r="12" spans="1:14" x14ac:dyDescent="0.25">
      <c r="A12" s="78" t="s">
        <v>2</v>
      </c>
      <c r="B12" s="78">
        <v>516800</v>
      </c>
      <c r="C12" s="78">
        <v>0</v>
      </c>
      <c r="D12" s="123"/>
      <c r="E12" s="1">
        <f t="shared" si="0"/>
        <v>516800</v>
      </c>
      <c r="F12" s="1">
        <f t="shared" ref="F12:H12" si="7">E12*(1+($D12+F$3))</f>
        <v>526102.4</v>
      </c>
      <c r="G12" s="1">
        <f t="shared" si="7"/>
        <v>536098.3456</v>
      </c>
      <c r="H12" s="1">
        <f t="shared" si="7"/>
        <v>546284.21416639991</v>
      </c>
      <c r="I12" s="1">
        <f t="shared" si="3"/>
        <v>556663.61423556146</v>
      </c>
      <c r="J12" s="1">
        <f t="shared" si="1"/>
        <v>567240.22290603712</v>
      </c>
      <c r="K12" s="1"/>
      <c r="N12" s="118"/>
    </row>
    <row r="13" spans="1:14" x14ac:dyDescent="0.25">
      <c r="A13" s="78" t="s">
        <v>3</v>
      </c>
      <c r="B13" s="78">
        <v>1607382.6660880218</v>
      </c>
      <c r="C13" s="78">
        <v>0</v>
      </c>
      <c r="D13" s="123">
        <f>(B3*K13)+(B4*(1-K13))</f>
        <v>7.6841319999999998E-3</v>
      </c>
      <c r="E13" s="1">
        <f t="shared" si="0"/>
        <v>1607382.6660880218</v>
      </c>
      <c r="F13" s="1">
        <f>(E13)*(1+($D13+F$3))+'ontslagverg opera'!C15</f>
        <v>1628830.2190987021</v>
      </c>
      <c r="G13" s="1">
        <f>(F13)*(1+($D13+G$3))</f>
        <v>1672294.1396707208</v>
      </c>
      <c r="H13" s="1">
        <f t="shared" ref="H13:J13" si="8">(G13)*(1+($D13+H$3))</f>
        <v>1716917.8572365206</v>
      </c>
      <c r="I13" s="1">
        <f t="shared" si="8"/>
        <v>1762732.319972177</v>
      </c>
      <c r="J13" s="1">
        <f t="shared" si="8"/>
        <v>1809769.3018789808</v>
      </c>
      <c r="K13" s="122">
        <v>0.84419999999999995</v>
      </c>
      <c r="L13" s="116" t="s">
        <v>184</v>
      </c>
      <c r="N13" s="117" t="s">
        <v>180</v>
      </c>
    </row>
    <row r="14" spans="1:14" x14ac:dyDescent="0.25">
      <c r="A14" s="78" t="s">
        <v>4</v>
      </c>
      <c r="B14" s="78">
        <v>1580877.5414480641</v>
      </c>
      <c r="C14" s="78">
        <v>0</v>
      </c>
      <c r="D14" s="123"/>
      <c r="E14" s="1">
        <f t="shared" si="0"/>
        <v>1580877.5414480641</v>
      </c>
      <c r="F14" s="1">
        <f t="shared" ref="F14:H15" si="9">E14*(1+($D14+F$3))</f>
        <v>1609333.3371941294</v>
      </c>
      <c r="G14" s="1">
        <f t="shared" si="9"/>
        <v>1639910.6706008178</v>
      </c>
      <c r="H14" s="1">
        <f t="shared" si="9"/>
        <v>1671068.9733422331</v>
      </c>
      <c r="I14" s="1">
        <f t="shared" si="3"/>
        <v>1702819.2838357354</v>
      </c>
      <c r="J14" s="1">
        <f t="shared" si="1"/>
        <v>1735172.8502286142</v>
      </c>
      <c r="K14" s="1"/>
      <c r="N14" s="118"/>
    </row>
    <row r="15" spans="1:14" x14ac:dyDescent="0.25">
      <c r="A15" s="89" t="s">
        <v>187</v>
      </c>
      <c r="B15" s="89">
        <v>28000</v>
      </c>
      <c r="C15" s="89">
        <v>0</v>
      </c>
      <c r="D15" s="41"/>
      <c r="E15" s="96">
        <f t="shared" si="0"/>
        <v>28000</v>
      </c>
      <c r="F15" s="99">
        <f>6000000*0.25%</f>
        <v>15000</v>
      </c>
      <c r="G15" s="96">
        <f t="shared" si="9"/>
        <v>15284.999999999998</v>
      </c>
      <c r="H15" s="96">
        <f t="shared" si="9"/>
        <v>15575.414999999997</v>
      </c>
      <c r="I15" s="96">
        <f t="shared" si="3"/>
        <v>15871.347884999996</v>
      </c>
      <c r="J15" s="96">
        <f t="shared" si="1"/>
        <v>16172.903494814995</v>
      </c>
      <c r="K15" s="1"/>
      <c r="N15" s="118" t="s">
        <v>181</v>
      </c>
    </row>
    <row r="16" spans="1:14" x14ac:dyDescent="0.25">
      <c r="A16" s="78" t="s">
        <v>109</v>
      </c>
      <c r="B16" s="78">
        <v>0</v>
      </c>
      <c r="C16" s="78">
        <v>3380490.1324446434</v>
      </c>
      <c r="D16" s="79" t="s">
        <v>135</v>
      </c>
      <c r="E16" s="1">
        <f>C16</f>
        <v>3380490.1324446434</v>
      </c>
      <c r="F16" s="1">
        <f>E16*(1+F$4)</f>
        <v>3439817.7342690467</v>
      </c>
      <c r="G16" s="1">
        <f t="shared" ref="G16:H20" si="10">F16*(1+G$4)</f>
        <v>3503540.3577963803</v>
      </c>
      <c r="H16" s="1">
        <f t="shared" si="10"/>
        <v>3568443.4429245577</v>
      </c>
      <c r="I16" s="1">
        <f t="shared" ref="I16:I20" si="11">H16*(1+I$4)</f>
        <v>3634548.8577047349</v>
      </c>
      <c r="J16" s="1">
        <f t="shared" ref="J16:J20" si="12">I16*(1+J$4)</f>
        <v>3701878.8752937149</v>
      </c>
      <c r="K16" s="1"/>
      <c r="M16" s="4"/>
      <c r="N16" s="118"/>
    </row>
    <row r="17" spans="1:14" x14ac:dyDescent="0.25">
      <c r="A17" s="78" t="s">
        <v>110</v>
      </c>
      <c r="B17" s="78">
        <v>0</v>
      </c>
      <c r="C17" s="78">
        <v>324570.0750914425</v>
      </c>
      <c r="D17" s="88" t="s">
        <v>137</v>
      </c>
      <c r="E17" s="1">
        <f t="shared" ref="E17:E25" si="13">C17</f>
        <v>324570.0750914425</v>
      </c>
      <c r="F17" s="1">
        <f>E17</f>
        <v>324570.0750914425</v>
      </c>
      <c r="G17" s="1">
        <f t="shared" ref="G17:J23" si="14">F17</f>
        <v>324570.0750914425</v>
      </c>
      <c r="H17" s="1">
        <f t="shared" si="14"/>
        <v>324570.0750914425</v>
      </c>
      <c r="I17" s="1">
        <f t="shared" si="14"/>
        <v>324570.0750914425</v>
      </c>
      <c r="J17" s="1">
        <f t="shared" si="14"/>
        <v>324570.0750914425</v>
      </c>
      <c r="K17" s="1"/>
      <c r="M17" s="4"/>
      <c r="N17" s="117"/>
    </row>
    <row r="18" spans="1:14" x14ac:dyDescent="0.25">
      <c r="A18" s="9" t="s">
        <v>111</v>
      </c>
      <c r="B18" s="9">
        <v>0</v>
      </c>
      <c r="C18" s="9">
        <v>9030618.1819668841</v>
      </c>
      <c r="D18" s="79" t="s">
        <v>135</v>
      </c>
      <c r="E18" s="1">
        <f t="shared" si="13"/>
        <v>9030618.1819668841</v>
      </c>
      <c r="F18" s="1">
        <f t="shared" ref="F18" si="15">E18*(1+F$4)</f>
        <v>9189105.5310604032</v>
      </c>
      <c r="G18" s="1">
        <f t="shared" ref="G18" si="16">F18*(1+G$4)</f>
        <v>9359333.7110232972</v>
      </c>
      <c r="H18" s="1">
        <f t="shared" ref="H18" si="17">G18*(1+H$4)</f>
        <v>9532715.3680200037</v>
      </c>
      <c r="I18" s="1">
        <f t="shared" si="11"/>
        <v>9709308.9202125724</v>
      </c>
      <c r="J18" s="1">
        <f t="shared" si="12"/>
        <v>9889173.8679595087</v>
      </c>
      <c r="K18" s="1"/>
      <c r="M18" s="4"/>
      <c r="N18" s="118"/>
    </row>
    <row r="19" spans="1:14" x14ac:dyDescent="0.25">
      <c r="A19" s="9" t="s">
        <v>112</v>
      </c>
      <c r="B19" s="9">
        <v>0</v>
      </c>
      <c r="C19" s="9">
        <v>867294.70203870733</v>
      </c>
      <c r="D19" s="88" t="s">
        <v>137</v>
      </c>
      <c r="E19" s="1">
        <f t="shared" ref="E19" si="18">C19</f>
        <v>867294.70203870733</v>
      </c>
      <c r="F19" s="1">
        <f>E19</f>
        <v>867294.70203870733</v>
      </c>
      <c r="G19" s="1">
        <f t="shared" si="14"/>
        <v>867294.70203870733</v>
      </c>
      <c r="H19" s="1">
        <f t="shared" si="14"/>
        <v>867294.70203870733</v>
      </c>
      <c r="I19" s="1">
        <f t="shared" si="14"/>
        <v>867294.70203870733</v>
      </c>
      <c r="J19" s="1">
        <f t="shared" si="14"/>
        <v>867294.70203870733</v>
      </c>
      <c r="K19" s="1"/>
      <c r="M19" s="4"/>
      <c r="N19" s="118"/>
    </row>
    <row r="20" spans="1:14" x14ac:dyDescent="0.25">
      <c r="A20" s="18" t="s">
        <v>113</v>
      </c>
      <c r="B20" s="18">
        <v>0</v>
      </c>
      <c r="C20" s="18">
        <v>8989461.1440001708</v>
      </c>
      <c r="D20" s="79" t="s">
        <v>135</v>
      </c>
      <c r="E20" s="1">
        <f t="shared" si="13"/>
        <v>8989461.1440001708</v>
      </c>
      <c r="F20" s="1">
        <f>E20*(1+F$4)+$B$66</f>
        <v>9147226.1870773733</v>
      </c>
      <c r="G20" s="1">
        <f t="shared" si="10"/>
        <v>9316678.5521929804</v>
      </c>
      <c r="H20" s="1">
        <f t="shared" si="10"/>
        <v>9489270.0223723538</v>
      </c>
      <c r="I20" s="1">
        <f t="shared" si="11"/>
        <v>9665058.7495368011</v>
      </c>
      <c r="J20" s="1">
        <f t="shared" si="12"/>
        <v>9844103.9628719687</v>
      </c>
      <c r="K20" s="115">
        <f>(E24*M24)/71</f>
        <v>53284.703954929581</v>
      </c>
      <c r="L20" s="115" t="s">
        <v>182</v>
      </c>
      <c r="M20" s="4"/>
      <c r="N20" s="117"/>
    </row>
    <row r="21" spans="1:14" x14ac:dyDescent="0.25">
      <c r="A21" s="18" t="s">
        <v>117</v>
      </c>
      <c r="B21" s="18">
        <v>0</v>
      </c>
      <c r="C21" s="18">
        <v>855889.35678002145</v>
      </c>
      <c r="D21" s="88" t="s">
        <v>137</v>
      </c>
      <c r="E21" s="1">
        <f t="shared" si="13"/>
        <v>855889.35678002145</v>
      </c>
      <c r="F21" s="1">
        <f>E21</f>
        <v>855889.35678002145</v>
      </c>
      <c r="G21" s="1">
        <f t="shared" si="14"/>
        <v>855889.35678002145</v>
      </c>
      <c r="H21" s="1">
        <f t="shared" si="14"/>
        <v>855889.35678002145</v>
      </c>
      <c r="I21" s="1">
        <f t="shared" si="14"/>
        <v>855889.35678002145</v>
      </c>
      <c r="J21" s="1">
        <f t="shared" si="14"/>
        <v>855889.35678002145</v>
      </c>
      <c r="K21" s="1"/>
      <c r="M21" s="4"/>
      <c r="N21" s="118"/>
    </row>
    <row r="22" spans="1:14" x14ac:dyDescent="0.25">
      <c r="A22" s="19" t="s">
        <v>118</v>
      </c>
      <c r="B22" s="19">
        <v>0</v>
      </c>
      <c r="C22" s="19">
        <v>3362033.5415883036</v>
      </c>
      <c r="D22" s="79" t="s">
        <v>135</v>
      </c>
      <c r="E22" s="1">
        <f>C22</f>
        <v>3362033.5415883036</v>
      </c>
      <c r="F22" s="1">
        <f>E22*(1+F$4)+B67+F70</f>
        <v>3421037.2302431781</v>
      </c>
      <c r="G22" s="1">
        <f>((F22-F70)*(1+$G$4))+G70</f>
        <v>3484411.9449334326</v>
      </c>
      <c r="H22" s="1">
        <f>G22*(1+H$4)-G70</f>
        <v>3548960.6762133241</v>
      </c>
      <c r="I22" s="1">
        <f>H22*(1+I$4)-H70</f>
        <v>3614705.1727401754</v>
      </c>
      <c r="J22" s="1">
        <f>I22*(1+J$4)-I70</f>
        <v>3681667.5860651867</v>
      </c>
      <c r="K22" s="34" t="s">
        <v>79</v>
      </c>
      <c r="L22" s="34" t="s">
        <v>80</v>
      </c>
      <c r="M22" s="4"/>
      <c r="N22" s="4"/>
    </row>
    <row r="23" spans="1:14" x14ac:dyDescent="0.25">
      <c r="A23" s="19" t="s">
        <v>114</v>
      </c>
      <c r="B23" s="19">
        <v>0</v>
      </c>
      <c r="C23" s="19">
        <v>333249.36608982872</v>
      </c>
      <c r="D23" s="88" t="s">
        <v>137</v>
      </c>
      <c r="E23" s="1">
        <f t="shared" ref="E23" si="19">C23</f>
        <v>333249.36608982872</v>
      </c>
      <c r="F23" s="1">
        <f>E23</f>
        <v>333249.36608982872</v>
      </c>
      <c r="G23" s="1">
        <f t="shared" si="14"/>
        <v>333249.36608982872</v>
      </c>
      <c r="H23" s="1">
        <f t="shared" si="14"/>
        <v>333249.36608982872</v>
      </c>
      <c r="I23" s="1">
        <f t="shared" si="14"/>
        <v>333249.36608982872</v>
      </c>
      <c r="J23" s="1">
        <f t="shared" si="14"/>
        <v>333249.36608982872</v>
      </c>
      <c r="K23" s="34"/>
      <c r="L23" s="34"/>
      <c r="M23" s="4"/>
    </row>
    <row r="24" spans="1:14" x14ac:dyDescent="0.25">
      <c r="A24" s="18" t="s">
        <v>13</v>
      </c>
      <c r="B24" s="18">
        <v>0</v>
      </c>
      <c r="C24" s="18">
        <v>4946671</v>
      </c>
      <c r="D24" s="41" t="s">
        <v>220</v>
      </c>
      <c r="E24" s="18">
        <f t="shared" si="13"/>
        <v>4946671</v>
      </c>
      <c r="F24" s="18">
        <f>-175000+E24*(1+F34)</f>
        <v>4771671</v>
      </c>
      <c r="G24" s="121">
        <f>F24*(1-$M$24)*(1+F34)+F24*(($M$24*(1+F34))*(1+(($D$1-1))*G1/$E$2))</f>
        <v>4771671</v>
      </c>
      <c r="H24" s="121">
        <f>G24*(1-$M$24)*(1+G34)+G24*(($M$24*(1+G34))*(1+(($D$1-1))*H1/$E$2))</f>
        <v>4771671</v>
      </c>
      <c r="I24" s="121">
        <f>H24*(1-$M$24)*(1+H34)+H24*(($M$24*(1+H34))*(1+(($D$1-1))*I1/$E$2))</f>
        <v>4771671</v>
      </c>
      <c r="J24" s="18">
        <f t="shared" ref="J24:J25" si="20">I24*(1+J34)</f>
        <v>4771671</v>
      </c>
      <c r="K24" s="31">
        <v>0.8</v>
      </c>
      <c r="L24" s="28">
        <f>C24/(C24+C25)</f>
        <v>0.86427695462846987</v>
      </c>
      <c r="M24" s="122">
        <v>0.76480000000000004</v>
      </c>
      <c r="N24" s="116" t="s">
        <v>171</v>
      </c>
    </row>
    <row r="25" spans="1:14" ht="16.5" customHeight="1" x14ac:dyDescent="0.25">
      <c r="A25" s="19" t="s">
        <v>14</v>
      </c>
      <c r="B25" s="19">
        <v>0</v>
      </c>
      <c r="C25" s="19">
        <v>776808</v>
      </c>
      <c r="D25" s="41"/>
      <c r="E25" s="19">
        <f t="shared" si="13"/>
        <v>776808</v>
      </c>
      <c r="F25" s="19">
        <f t="shared" ref="F25:H25" si="21">E25*(1+F35)</f>
        <v>776808</v>
      </c>
      <c r="G25" s="19">
        <f t="shared" si="21"/>
        <v>776808</v>
      </c>
      <c r="H25" s="19">
        <f t="shared" si="21"/>
        <v>776808</v>
      </c>
      <c r="I25" s="19">
        <f t="shared" ref="I25" si="22">H25*(1+I35)</f>
        <v>776808</v>
      </c>
      <c r="J25" s="19">
        <f t="shared" si="20"/>
        <v>776808</v>
      </c>
      <c r="K25" s="31">
        <f>1-K24</f>
        <v>0.19999999999999996</v>
      </c>
      <c r="L25" s="28">
        <f>1-L24</f>
        <v>0.13572304537153013</v>
      </c>
    </row>
    <row r="26" spans="1:14" x14ac:dyDescent="0.25">
      <c r="B26" s="1">
        <f>SUM(B6:B25)</f>
        <v>34112035.170000002</v>
      </c>
      <c r="C26" s="1">
        <f>SUM(C6:C25)</f>
        <v>32867085.500000004</v>
      </c>
      <c r="D26" s="41"/>
      <c r="E26" s="1">
        <f>SUM(E6:E15)</f>
        <v>34112035.170000002</v>
      </c>
      <c r="F26" s="1">
        <f t="shared" ref="F26:J26" si="23">SUM(F6:F15)</f>
        <v>34355620.42503161</v>
      </c>
      <c r="G26" s="1">
        <f t="shared" si="23"/>
        <v>35189122.636142425</v>
      </c>
      <c r="H26" s="1">
        <f t="shared" si="23"/>
        <v>36043295.352312893</v>
      </c>
      <c r="I26" s="1">
        <f t="shared" si="23"/>
        <v>36918660.602558725</v>
      </c>
      <c r="J26" s="1">
        <f t="shared" si="23"/>
        <v>37815753.792618372</v>
      </c>
      <c r="K26" s="1"/>
    </row>
    <row r="27" spans="1:14" x14ac:dyDescent="0.25">
      <c r="A27" t="s">
        <v>139</v>
      </c>
      <c r="C27" s="108">
        <f>-SUM(B10:B15)+SUM(C16:C19)</f>
        <v>0</v>
      </c>
      <c r="D27" s="109" t="s">
        <v>155</v>
      </c>
      <c r="E27" s="1">
        <f>-SUM(E10:E15)+SUM(E16:E19)</f>
        <v>0</v>
      </c>
      <c r="F27" s="1">
        <f t="shared" ref="F27:J27" si="24">-SUM(F10:F15)+SUM(F16:F19)</f>
        <v>23227.349609693512</v>
      </c>
      <c r="G27" s="1">
        <f t="shared" si="24"/>
        <v>-76402.82554105483</v>
      </c>
      <c r="H27" s="1">
        <f t="shared" si="24"/>
        <v>-179944.69288421795</v>
      </c>
      <c r="I27" s="1">
        <f t="shared" si="24"/>
        <v>-287525.57880251482</v>
      </c>
      <c r="J27" s="1">
        <f t="shared" si="24"/>
        <v>-399276.62760833465</v>
      </c>
      <c r="K27" s="1"/>
      <c r="M27" s="4"/>
    </row>
    <row r="28" spans="1:14" x14ac:dyDescent="0.25">
      <c r="A28" t="s">
        <v>16</v>
      </c>
      <c r="C28" s="1">
        <f>-SUM(B6:B7)+C20+C21+C24</f>
        <v>-334892.49999999907</v>
      </c>
      <c r="D28" s="41"/>
      <c r="E28" s="4">
        <f>-SUM(E6:E7)+E20+E21+E24</f>
        <v>-334892.49999999907</v>
      </c>
      <c r="F28" s="4">
        <f t="shared" ref="F28:H28" si="25">-SUM(F6:F7)+F20+F21+F24</f>
        <v>-555842.90887748916</v>
      </c>
      <c r="G28" s="4">
        <f t="shared" si="25"/>
        <v>-752713.8961110292</v>
      </c>
      <c r="H28" s="4">
        <f t="shared" si="25"/>
        <v>-955402.02302251291</v>
      </c>
      <c r="I28" s="4">
        <f t="shared" ref="I28:J28" si="26">-SUM(I6:I7)+I20+I21+I24</f>
        <v>-1164072.4026285755</v>
      </c>
      <c r="J28" s="4">
        <f t="shared" si="26"/>
        <v>-1378894.7250765907</v>
      </c>
      <c r="K28" s="1"/>
      <c r="N28" s="4"/>
    </row>
    <row r="29" spans="1:14" x14ac:dyDescent="0.25">
      <c r="A29" t="s">
        <v>17</v>
      </c>
      <c r="C29" s="1">
        <f>-SUM(B8:B9)+C22+C23+C25</f>
        <v>-910057.16999999946</v>
      </c>
      <c r="D29" s="41"/>
      <c r="E29" s="1">
        <f>-SUM(E8:E9)+E22+E23+E25</f>
        <v>-910057.16999999946</v>
      </c>
      <c r="F29" s="1">
        <f t="shared" ref="F29:H29" si="27">-SUM(F8:F9)+F22+F23+F25</f>
        <v>-696335.68311381107</v>
      </c>
      <c r="G29" s="1">
        <f t="shared" si="27"/>
        <v>-766558.84854425024</v>
      </c>
      <c r="H29" s="1">
        <f t="shared" si="27"/>
        <v>-839076.62687592162</v>
      </c>
      <c r="I29" s="1">
        <f t="shared" ref="I29:J29" si="28">-SUM(I8:I9)+I22+I23+I25</f>
        <v>-913958.42093334673</v>
      </c>
      <c r="J29" s="1">
        <f t="shared" si="28"/>
        <v>-991275.64774306212</v>
      </c>
      <c r="K29" s="1"/>
      <c r="N29" s="1"/>
    </row>
    <row r="30" spans="1:14" ht="15.75" x14ac:dyDescent="0.25">
      <c r="A30" s="77"/>
      <c r="B30" s="77"/>
      <c r="C30" s="77">
        <v>2013</v>
      </c>
      <c r="D30" s="77"/>
      <c r="E30" s="92" t="s">
        <v>140</v>
      </c>
      <c r="F30" s="77">
        <v>2014</v>
      </c>
      <c r="G30" s="77">
        <v>2015</v>
      </c>
      <c r="H30" s="77">
        <v>2016</v>
      </c>
      <c r="I30" s="77">
        <v>2017</v>
      </c>
      <c r="J30" s="77">
        <v>2018</v>
      </c>
      <c r="N30" s="1"/>
    </row>
    <row r="31" spans="1:14" ht="15.75" x14ac:dyDescent="0.25">
      <c r="A31" s="70" t="s">
        <v>18</v>
      </c>
      <c r="B31" s="70"/>
      <c r="C31" s="70">
        <f>C28</f>
        <v>-334892.49999999907</v>
      </c>
      <c r="D31" s="70"/>
      <c r="E31" s="4">
        <f>E28+(E$27*$K24)</f>
        <v>-334892.49999999907</v>
      </c>
      <c r="F31" s="70">
        <f t="shared" ref="F31:H31" si="29">F28+(F$27*$K24)</f>
        <v>-537261.02918973437</v>
      </c>
      <c r="G31" s="70">
        <f t="shared" si="29"/>
        <v>-813836.15654387302</v>
      </c>
      <c r="H31" s="70">
        <f t="shared" si="29"/>
        <v>-1099357.7773298873</v>
      </c>
      <c r="I31" s="70">
        <f t="shared" ref="I31:J31" si="30">I28+(I$27*$K24)</f>
        <v>-1394092.8656705874</v>
      </c>
      <c r="J31" s="70">
        <f t="shared" si="30"/>
        <v>-1698316.0271632583</v>
      </c>
      <c r="K31" s="32"/>
      <c r="L31" s="32"/>
      <c r="N31" s="8"/>
    </row>
    <row r="32" spans="1:14" ht="15.75" x14ac:dyDescent="0.25">
      <c r="A32" s="71" t="s">
        <v>19</v>
      </c>
      <c r="B32" s="71"/>
      <c r="C32" s="71">
        <f>C29+C27</f>
        <v>-910057.16999999946</v>
      </c>
      <c r="D32" s="71"/>
      <c r="E32" s="4">
        <f>E29+(E$27*$K25)</f>
        <v>-910057.16999999946</v>
      </c>
      <c r="F32" s="71">
        <f t="shared" ref="F32:H32" si="31">F29+(F$27*$K25)</f>
        <v>-691690.21319187235</v>
      </c>
      <c r="G32" s="71">
        <f t="shared" si="31"/>
        <v>-781839.41365246125</v>
      </c>
      <c r="H32" s="71">
        <f t="shared" si="31"/>
        <v>-875065.56545276521</v>
      </c>
      <c r="I32" s="71">
        <f t="shared" ref="I32:J32" si="32">I29+(I$27*$K25)</f>
        <v>-971463.53669384972</v>
      </c>
      <c r="J32" s="71">
        <f t="shared" si="32"/>
        <v>-1071130.9732647291</v>
      </c>
      <c r="K32" s="32"/>
      <c r="L32" s="32"/>
    </row>
    <row r="33" spans="1:13" ht="15.75" x14ac:dyDescent="0.25">
      <c r="A33" s="72" t="s">
        <v>77</v>
      </c>
      <c r="B33" s="73"/>
      <c r="C33" s="74">
        <f>SUM(C31:C32)</f>
        <v>-1244949.6699999985</v>
      </c>
      <c r="D33" s="75"/>
      <c r="E33" s="4">
        <f t="shared" ref="E33:H33" si="33">SUM(E31:E32)</f>
        <v>-1244949.6699999985</v>
      </c>
      <c r="F33" s="74">
        <f t="shared" si="33"/>
        <v>-1228951.2423816067</v>
      </c>
      <c r="G33" s="74">
        <f t="shared" si="33"/>
        <v>-1595675.5701963343</v>
      </c>
      <c r="H33" s="74">
        <f t="shared" si="33"/>
        <v>-1974423.3427826525</v>
      </c>
      <c r="I33" s="74">
        <f t="shared" ref="I33:J33" si="34">SUM(I31:I32)</f>
        <v>-2365556.402364437</v>
      </c>
      <c r="J33" s="74">
        <f t="shared" si="34"/>
        <v>-2769447.0004279874</v>
      </c>
    </row>
    <row r="34" spans="1:13" ht="18.75" x14ac:dyDescent="0.3">
      <c r="A34" s="97" t="str">
        <f>"Stijging Eigen Ink Opera na "&amp;D34&amp;" jaar"</f>
        <v>Stijging Eigen Ink Opera na 5 jaar</v>
      </c>
      <c r="B34" s="23"/>
      <c r="C34" s="52">
        <v>0</v>
      </c>
      <c r="D34" s="42">
        <v>5</v>
      </c>
      <c r="E34" s="24" t="s">
        <v>71</v>
      </c>
      <c r="F34" s="21">
        <f>(D34*(((C34+1)^(1/D34))-1))/D34</f>
        <v>0</v>
      </c>
      <c r="G34" s="21">
        <f>F34</f>
        <v>0</v>
      </c>
      <c r="H34" s="21">
        <f t="shared" ref="H34" si="35">G34</f>
        <v>0</v>
      </c>
      <c r="I34" s="21">
        <f t="shared" ref="I34:I35" si="36">H34</f>
        <v>0</v>
      </c>
      <c r="J34" s="21">
        <f t="shared" ref="J34:J35" si="37">I34</f>
        <v>0</v>
      </c>
      <c r="K34" s="22">
        <f>(J24/E24)-1</f>
        <v>-3.5377327499645728E-2</v>
      </c>
      <c r="L34" t="s">
        <v>183</v>
      </c>
      <c r="M34" s="8"/>
    </row>
    <row r="35" spans="1:13" ht="18.75" x14ac:dyDescent="0.3">
      <c r="A35" s="98" t="str">
        <f>"Stijging Eigen Ink Ballet na "&amp;D35&amp;" jaar"</f>
        <v>Stijging Eigen Ink Ballet na 5 jaar</v>
      </c>
      <c r="B35" s="25"/>
      <c r="C35" s="53">
        <v>0</v>
      </c>
      <c r="D35" s="43">
        <v>5</v>
      </c>
      <c r="E35" s="26" t="s">
        <v>71</v>
      </c>
      <c r="F35" s="27">
        <f>(D35*(((C35+1)^(1/D35))-1))/D35</f>
        <v>0</v>
      </c>
      <c r="G35" s="27">
        <f>F35</f>
        <v>0</v>
      </c>
      <c r="H35" s="27">
        <f t="shared" ref="H35" si="38">G35</f>
        <v>0</v>
      </c>
      <c r="I35" s="27">
        <f t="shared" si="36"/>
        <v>0</v>
      </c>
      <c r="J35" s="27">
        <f t="shared" si="37"/>
        <v>0</v>
      </c>
      <c r="K35" s="27">
        <f>(J25/E25)-1</f>
        <v>0</v>
      </c>
      <c r="M35" s="8"/>
    </row>
    <row r="36" spans="1:13" ht="7.5" customHeight="1" x14ac:dyDescent="0.25">
      <c r="F36" s="45"/>
      <c r="G36" s="45"/>
      <c r="H36" s="45"/>
      <c r="I36" s="45"/>
      <c r="J36" s="45"/>
      <c r="K36" s="3"/>
    </row>
    <row r="37" spans="1:13" ht="4.5" hidden="1" customHeight="1" x14ac:dyDescent="0.25">
      <c r="A37" s="72" t="s">
        <v>147</v>
      </c>
      <c r="B37" s="72"/>
      <c r="C37" s="72"/>
      <c r="D37" s="85"/>
      <c r="E37" s="86" t="s">
        <v>143</v>
      </c>
      <c r="F37" s="87">
        <f>F3</f>
        <v>1.7999999999999999E-2</v>
      </c>
      <c r="G37" s="87">
        <f t="shared" ref="G37:J37" si="39">G3</f>
        <v>1.9E-2</v>
      </c>
      <c r="H37" s="87">
        <f t="shared" si="39"/>
        <v>1.9E-2</v>
      </c>
      <c r="I37" s="87">
        <f t="shared" si="39"/>
        <v>1.9E-2</v>
      </c>
      <c r="J37" s="87">
        <f t="shared" si="39"/>
        <v>1.9E-2</v>
      </c>
      <c r="K37" s="3"/>
    </row>
    <row r="38" spans="1:13" hidden="1" x14ac:dyDescent="0.25">
      <c r="A38" s="93" t="s">
        <v>146</v>
      </c>
      <c r="B38" s="95"/>
      <c r="C38" s="100"/>
      <c r="D38" s="95"/>
      <c r="E38" s="100">
        <f>+C38</f>
        <v>0</v>
      </c>
      <c r="F38" s="100">
        <f>+E38*(1+F$37)</f>
        <v>0</v>
      </c>
      <c r="G38" s="100">
        <f t="shared" ref="G38:J41" si="40">+F38*(1+G$37)</f>
        <v>0</v>
      </c>
      <c r="H38" s="100">
        <f t="shared" si="40"/>
        <v>0</v>
      </c>
      <c r="I38" s="100">
        <f t="shared" si="40"/>
        <v>0</v>
      </c>
      <c r="J38" s="100">
        <f t="shared" si="40"/>
        <v>0</v>
      </c>
      <c r="K38" s="1" t="s">
        <v>158</v>
      </c>
    </row>
    <row r="39" spans="1:13" hidden="1" x14ac:dyDescent="0.25">
      <c r="A39" s="94" t="s">
        <v>141</v>
      </c>
      <c r="B39" s="94"/>
      <c r="C39" s="94"/>
      <c r="D39" s="94"/>
      <c r="E39" s="110">
        <f>C39</f>
        <v>0</v>
      </c>
      <c r="F39" s="110">
        <f>+E39*(1+F$37)</f>
        <v>0</v>
      </c>
      <c r="G39" s="110">
        <f t="shared" si="40"/>
        <v>0</v>
      </c>
      <c r="H39" s="110">
        <f t="shared" si="40"/>
        <v>0</v>
      </c>
      <c r="I39" s="110">
        <f t="shared" si="40"/>
        <v>0</v>
      </c>
      <c r="J39" s="110">
        <f t="shared" si="40"/>
        <v>0</v>
      </c>
      <c r="K39" s="1" t="s">
        <v>158</v>
      </c>
    </row>
    <row r="40" spans="1:13" hidden="1" x14ac:dyDescent="0.25">
      <c r="A40" s="93" t="s">
        <v>142</v>
      </c>
      <c r="B40" s="95"/>
      <c r="C40" s="95">
        <v>0</v>
      </c>
      <c r="D40" s="95"/>
      <c r="E40" s="100">
        <v>100000</v>
      </c>
      <c r="F40" s="100">
        <f>+E40*0.5</f>
        <v>50000</v>
      </c>
      <c r="G40" s="100">
        <f>+E40</f>
        <v>100000</v>
      </c>
      <c r="H40" s="100">
        <f t="shared" si="40"/>
        <v>101899.99999999999</v>
      </c>
      <c r="I40" s="100">
        <f t="shared" si="40"/>
        <v>103836.09999999998</v>
      </c>
      <c r="J40" s="100">
        <f t="shared" si="40"/>
        <v>105808.98589999997</v>
      </c>
      <c r="K40" s="107" t="s">
        <v>154</v>
      </c>
    </row>
    <row r="41" spans="1:13" hidden="1" x14ac:dyDescent="0.25">
      <c r="A41" s="94" t="s">
        <v>156</v>
      </c>
      <c r="B41" s="94"/>
      <c r="C41" s="94">
        <v>0</v>
      </c>
      <c r="D41" s="94"/>
      <c r="E41" s="110">
        <v>-175000</v>
      </c>
      <c r="F41" s="111">
        <f>+E41</f>
        <v>-175000</v>
      </c>
      <c r="G41" s="110">
        <f>+E41</f>
        <v>-175000</v>
      </c>
      <c r="H41" s="110">
        <f t="shared" si="40"/>
        <v>-178324.99999999997</v>
      </c>
      <c r="I41" s="110">
        <f t="shared" si="40"/>
        <v>-181713.17499999996</v>
      </c>
      <c r="J41" s="110">
        <f t="shared" si="40"/>
        <v>-185165.72532499995</v>
      </c>
      <c r="K41" s="107"/>
    </row>
    <row r="42" spans="1:13" hidden="1" x14ac:dyDescent="0.25">
      <c r="A42" s="93" t="s">
        <v>157</v>
      </c>
      <c r="B42" s="95"/>
      <c r="C42" s="95"/>
      <c r="D42" s="95"/>
      <c r="E42" s="100">
        <f>-E41</f>
        <v>175000</v>
      </c>
      <c r="F42" s="100">
        <f t="shared" ref="F42:J42" si="41">-F41</f>
        <v>175000</v>
      </c>
      <c r="G42" s="100">
        <f t="shared" si="41"/>
        <v>175000</v>
      </c>
      <c r="H42" s="100">
        <f t="shared" si="41"/>
        <v>178324.99999999997</v>
      </c>
      <c r="I42" s="100">
        <f t="shared" si="41"/>
        <v>181713.17499999996</v>
      </c>
      <c r="J42" s="100">
        <f t="shared" si="41"/>
        <v>185165.72532499995</v>
      </c>
      <c r="K42" s="107"/>
    </row>
    <row r="43" spans="1:13" hidden="1" x14ac:dyDescent="0.25">
      <c r="A43" s="94" t="s">
        <v>165</v>
      </c>
      <c r="B43" s="94"/>
      <c r="C43" s="94"/>
      <c r="D43" s="94"/>
      <c r="E43" s="94"/>
      <c r="F43" s="94"/>
      <c r="G43" s="94"/>
      <c r="H43" s="94"/>
      <c r="I43" s="94"/>
      <c r="J43" s="94"/>
      <c r="K43" s="107"/>
    </row>
    <row r="44" spans="1:13" hidden="1" x14ac:dyDescent="0.25">
      <c r="A44" s="93" t="s">
        <v>166</v>
      </c>
      <c r="B44" s="93"/>
      <c r="C44" s="93"/>
      <c r="D44" s="93"/>
      <c r="E44" s="93"/>
      <c r="F44" s="93"/>
      <c r="G44" s="93"/>
      <c r="H44" s="93"/>
      <c r="I44" s="93"/>
      <c r="J44" s="93"/>
      <c r="K44" s="107"/>
    </row>
    <row r="45" spans="1:13" hidden="1" x14ac:dyDescent="0.25">
      <c r="A45" s="101" t="s">
        <v>150</v>
      </c>
      <c r="B45" s="101"/>
      <c r="C45" s="101"/>
      <c r="D45" s="101"/>
      <c r="E45" s="101"/>
      <c r="F45" s="101">
        <f>+F39+F41+F43</f>
        <v>-175000</v>
      </c>
      <c r="G45" s="101">
        <f t="shared" ref="G45:J45" si="42">+G39+G41+G43</f>
        <v>-175000</v>
      </c>
      <c r="H45" s="101">
        <f t="shared" si="42"/>
        <v>-178324.99999999997</v>
      </c>
      <c r="I45" s="101">
        <f t="shared" si="42"/>
        <v>-181713.17499999996</v>
      </c>
      <c r="J45" s="101">
        <f t="shared" si="42"/>
        <v>-185165.72532499995</v>
      </c>
      <c r="K45" s="1"/>
    </row>
    <row r="46" spans="1:13" hidden="1" x14ac:dyDescent="0.25">
      <c r="A46" s="102" t="s">
        <v>151</v>
      </c>
      <c r="B46" s="103"/>
      <c r="C46" s="103"/>
      <c r="D46" s="103"/>
      <c r="E46" s="103"/>
      <c r="F46" s="103">
        <f>+F42+F40+F38+F44</f>
        <v>225000</v>
      </c>
      <c r="G46" s="103">
        <f t="shared" ref="G46:J46" si="43">+G42+G40+G38+G44</f>
        <v>275000</v>
      </c>
      <c r="H46" s="103">
        <f t="shared" si="43"/>
        <v>280224.99999999994</v>
      </c>
      <c r="I46" s="103">
        <f t="shared" si="43"/>
        <v>285549.27499999991</v>
      </c>
      <c r="J46" s="103">
        <f t="shared" si="43"/>
        <v>290974.71122499992</v>
      </c>
      <c r="K46" s="1"/>
    </row>
    <row r="47" spans="1:13" ht="15.75" hidden="1" x14ac:dyDescent="0.25">
      <c r="A47" s="72" t="s">
        <v>148</v>
      </c>
      <c r="B47" s="74"/>
      <c r="C47" s="74">
        <f>SUM(C38:C42)</f>
        <v>0</v>
      </c>
      <c r="D47" s="74"/>
      <c r="E47" s="74"/>
      <c r="F47" s="74">
        <f>SUM(F38:F42)</f>
        <v>50000</v>
      </c>
      <c r="G47" s="74">
        <f t="shared" ref="G47:J47" si="44">SUM(G38:G42)</f>
        <v>100000</v>
      </c>
      <c r="H47" s="74">
        <f t="shared" si="44"/>
        <v>101899.99999999999</v>
      </c>
      <c r="I47" s="74">
        <f t="shared" si="44"/>
        <v>103836.09999999998</v>
      </c>
      <c r="J47" s="74">
        <f t="shared" si="44"/>
        <v>105808.98589999997</v>
      </c>
      <c r="K47" s="1"/>
    </row>
    <row r="48" spans="1:13" s="104" customFormat="1" ht="11.25" hidden="1" x14ac:dyDescent="0.2">
      <c r="B48" s="105"/>
      <c r="C48" s="105"/>
      <c r="D48" s="105"/>
      <c r="E48" s="105"/>
      <c r="F48" s="105">
        <f>+F45+F46</f>
        <v>50000</v>
      </c>
      <c r="G48" s="105">
        <f t="shared" ref="G48:J48" si="45">+G45+G46</f>
        <v>100000</v>
      </c>
      <c r="H48" s="105">
        <f t="shared" si="45"/>
        <v>101899.99999999997</v>
      </c>
      <c r="I48" s="105">
        <f t="shared" si="45"/>
        <v>103836.09999999995</v>
      </c>
      <c r="J48" s="105">
        <f t="shared" si="45"/>
        <v>105808.98589999997</v>
      </c>
      <c r="K48" s="106"/>
    </row>
    <row r="49" spans="1:11" ht="15.75" hidden="1" x14ac:dyDescent="0.25">
      <c r="A49" s="70" t="s">
        <v>152</v>
      </c>
      <c r="B49" s="70"/>
      <c r="C49" s="70">
        <f>+C31+C39+C41</f>
        <v>-334892.49999999907</v>
      </c>
      <c r="D49" s="70"/>
      <c r="E49" s="70"/>
      <c r="F49" s="70">
        <f>F31+F45</f>
        <v>-712261.02918973437</v>
      </c>
      <c r="G49" s="70">
        <f t="shared" ref="G49:J49" si="46">G31+G45</f>
        <v>-988836.15654387302</v>
      </c>
      <c r="H49" s="70">
        <f t="shared" si="46"/>
        <v>-1277682.7773298873</v>
      </c>
      <c r="I49" s="70">
        <f t="shared" si="46"/>
        <v>-1575806.0406705874</v>
      </c>
      <c r="J49" s="70">
        <f t="shared" si="46"/>
        <v>-1883481.7524882583</v>
      </c>
      <c r="K49" s="4"/>
    </row>
    <row r="50" spans="1:11" ht="15.75" hidden="1" x14ac:dyDescent="0.25">
      <c r="A50" s="71" t="s">
        <v>153</v>
      </c>
      <c r="B50" s="71"/>
      <c r="C50" s="71">
        <f>+C32+C38+C40+C42</f>
        <v>-910057.16999999946</v>
      </c>
      <c r="D50" s="71"/>
      <c r="E50" s="71"/>
      <c r="F50" s="71">
        <f>+F32+F46</f>
        <v>-466690.21319187235</v>
      </c>
      <c r="G50" s="71">
        <f t="shared" ref="G50:J50" si="47">+G32+G46</f>
        <v>-506839.41365246125</v>
      </c>
      <c r="H50" s="71">
        <f t="shared" si="47"/>
        <v>-594840.56545276521</v>
      </c>
      <c r="I50" s="71">
        <f t="shared" si="47"/>
        <v>-685914.26169384981</v>
      </c>
      <c r="J50" s="71">
        <f t="shared" si="47"/>
        <v>-780156.26203972916</v>
      </c>
      <c r="K50" s="4"/>
    </row>
    <row r="51" spans="1:11" ht="15.75" hidden="1" x14ac:dyDescent="0.25">
      <c r="A51" s="72" t="s">
        <v>149</v>
      </c>
      <c r="B51" s="74"/>
      <c r="C51" s="74">
        <f>+C49+C50</f>
        <v>-1244949.6699999985</v>
      </c>
      <c r="D51" s="74"/>
      <c r="E51" s="74"/>
      <c r="F51" s="74">
        <f>+F49+F50</f>
        <v>-1178951.2423816067</v>
      </c>
      <c r="G51" s="74">
        <f t="shared" ref="G51:J51" si="48">+G49+G50</f>
        <v>-1495675.5701963343</v>
      </c>
      <c r="H51" s="74">
        <f t="shared" si="48"/>
        <v>-1872523.3427826525</v>
      </c>
      <c r="I51" s="74">
        <f t="shared" si="48"/>
        <v>-2261720.3023644374</v>
      </c>
      <c r="J51" s="74">
        <f t="shared" si="48"/>
        <v>-2663638.0145279877</v>
      </c>
      <c r="K51" s="4"/>
    </row>
    <row r="52" spans="1:11" x14ac:dyDescent="0.25">
      <c r="F52" s="45"/>
      <c r="G52" s="45"/>
      <c r="H52" s="45"/>
      <c r="I52" s="45"/>
      <c r="J52" s="45"/>
      <c r="K52" s="3"/>
    </row>
    <row r="53" spans="1:11" x14ac:dyDescent="0.25">
      <c r="A53" t="s">
        <v>20</v>
      </c>
      <c r="C53" s="2">
        <f>C24/C20</f>
        <v>0.55027447371542981</v>
      </c>
      <c r="E53" s="2">
        <f t="shared" ref="E53:J53" si="49">E24/E20</f>
        <v>0.55027447371542981</v>
      </c>
      <c r="F53" s="2">
        <f t="shared" si="49"/>
        <v>0.52165223669019112</v>
      </c>
      <c r="G53" s="2">
        <f t="shared" si="49"/>
        <v>0.51216439134060643</v>
      </c>
      <c r="H53" s="2">
        <f t="shared" si="49"/>
        <v>0.50284911154915835</v>
      </c>
      <c r="I53" s="2">
        <f t="shared" si="49"/>
        <v>0.49370325868207299</v>
      </c>
      <c r="J53" s="2">
        <f t="shared" si="49"/>
        <v>0.48472375119125505</v>
      </c>
      <c r="K53" s="2"/>
    </row>
    <row r="54" spans="1:11" x14ac:dyDescent="0.25">
      <c r="A54" t="s">
        <v>21</v>
      </c>
      <c r="C54" s="2">
        <f>C25/C22</f>
        <v>0.23105301907042178</v>
      </c>
      <c r="E54" s="2">
        <f t="shared" ref="E54:J54" si="50">E25/E22</f>
        <v>0.23105301907042178</v>
      </c>
      <c r="F54" s="2">
        <f t="shared" si="50"/>
        <v>0.22706797609004156</v>
      </c>
      <c r="G54" s="2">
        <f t="shared" si="50"/>
        <v>0.22293804873718523</v>
      </c>
      <c r="H54" s="2">
        <f t="shared" si="50"/>
        <v>0.21888323677591151</v>
      </c>
      <c r="I54" s="2">
        <f t="shared" si="50"/>
        <v>0.21490217400251493</v>
      </c>
      <c r="J54" s="2">
        <f t="shared" si="50"/>
        <v>0.2109935190618934</v>
      </c>
      <c r="K54" s="2"/>
    </row>
    <row r="55" spans="1:11" x14ac:dyDescent="0.25">
      <c r="A55" t="s">
        <v>78</v>
      </c>
      <c r="C55" s="2">
        <f>(C25+C24)/SUM(C16:C25)</f>
        <v>0.17414014394431168</v>
      </c>
      <c r="E55" s="2">
        <f t="shared" ref="E55:J55" si="51">(E25+E24)/SUM(E16:E25)</f>
        <v>0.17414014394431168</v>
      </c>
      <c r="F55" s="2">
        <f t="shared" si="51"/>
        <v>0.16749281279706807</v>
      </c>
      <c r="G55" s="2">
        <f t="shared" si="51"/>
        <v>0.16516551543841215</v>
      </c>
      <c r="H55" s="2">
        <f t="shared" si="51"/>
        <v>0.16286066055981832</v>
      </c>
      <c r="I55" s="2">
        <f t="shared" si="51"/>
        <v>0.16057830775067677</v>
      </c>
      <c r="J55" s="2">
        <f t="shared" si="51"/>
        <v>0.1583185079358036</v>
      </c>
      <c r="K55" s="2"/>
    </row>
    <row r="57" spans="1:11" x14ac:dyDescent="0.25">
      <c r="A57" s="49" t="s">
        <v>89</v>
      </c>
      <c r="C57" s="3">
        <f>(B6+B8+B10+B13)/B26</f>
        <v>0.67456134045724836</v>
      </c>
      <c r="E57" s="3">
        <f t="shared" ref="E57:J57" si="52">(E6+E8+E10+E13)/E26</f>
        <v>0.67456134045724836</v>
      </c>
      <c r="F57" s="3">
        <f t="shared" si="52"/>
        <v>0.67974102595500208</v>
      </c>
      <c r="G57" s="3">
        <f t="shared" si="52"/>
        <v>0.68138600427239648</v>
      </c>
      <c r="H57" s="3">
        <f t="shared" si="52"/>
        <v>0.68302648106972763</v>
      </c>
      <c r="I57" s="3">
        <f t="shared" si="52"/>
        <v>0.68466242803157007</v>
      </c>
      <c r="J57" s="3">
        <f t="shared" si="52"/>
        <v>0.68629381725684202</v>
      </c>
    </row>
    <row r="58" spans="1:11" x14ac:dyDescent="0.25">
      <c r="A58" t="s">
        <v>45</v>
      </c>
      <c r="C58" s="1">
        <f>SUM(C16:C22)</f>
        <v>26810357.133910175</v>
      </c>
      <c r="E58" s="1">
        <f t="shared" ref="E58:J58" si="53">SUM(E16:E22)</f>
        <v>26810357.133910175</v>
      </c>
      <c r="F58" s="1">
        <f t="shared" si="53"/>
        <v>27244940.816560172</v>
      </c>
      <c r="G58" s="1">
        <f t="shared" si="53"/>
        <v>27711718.699856263</v>
      </c>
      <c r="H58" s="1">
        <f t="shared" si="53"/>
        <v>28187143.64344041</v>
      </c>
      <c r="I58" s="1">
        <f t="shared" si="53"/>
        <v>28671375.834104456</v>
      </c>
      <c r="J58" s="1">
        <f t="shared" si="53"/>
        <v>29164578.426100552</v>
      </c>
      <c r="K58" s="1"/>
    </row>
    <row r="59" spans="1:11" x14ac:dyDescent="0.25">
      <c r="F59" s="8">
        <f>(F58/E58)-1</f>
        <v>1.6209544709881119E-2</v>
      </c>
      <c r="G59" s="8">
        <f t="shared" ref="G59:I59" si="54">(G58/F58)-1</f>
        <v>1.7132644421542276E-2</v>
      </c>
      <c r="H59" s="8">
        <f t="shared" si="54"/>
        <v>1.7156097343995258E-2</v>
      </c>
      <c r="I59" s="8">
        <f t="shared" si="54"/>
        <v>1.7179186255600998E-2</v>
      </c>
      <c r="J59" s="8">
        <f>(J58/H58)-1</f>
        <v>3.4676616936587079E-2</v>
      </c>
    </row>
    <row r="60" spans="1:11" x14ac:dyDescent="0.25">
      <c r="A60" s="7" t="s">
        <v>74</v>
      </c>
      <c r="C60" s="1">
        <f>SUM(B6:B14)</f>
        <v>34084035.170000002</v>
      </c>
      <c r="E60" s="1">
        <f t="shared" ref="E60:J60" si="55">SUM(E6:E14)</f>
        <v>34084035.170000002</v>
      </c>
      <c r="F60" s="1">
        <f t="shared" si="55"/>
        <v>34340620.42503161</v>
      </c>
      <c r="G60" s="1">
        <f t="shared" si="55"/>
        <v>35173837.636142425</v>
      </c>
      <c r="H60" s="1">
        <f t="shared" si="55"/>
        <v>36027719.937312894</v>
      </c>
      <c r="I60" s="1">
        <f t="shared" si="55"/>
        <v>36902789.254673727</v>
      </c>
      <c r="J60" s="1">
        <f t="shared" si="55"/>
        <v>37799580.889123559</v>
      </c>
    </row>
    <row r="61" spans="1:11" x14ac:dyDescent="0.25">
      <c r="A61" s="7"/>
      <c r="E61" s="8">
        <f>(E60/C60)-1</f>
        <v>0</v>
      </c>
      <c r="F61" s="8">
        <f>(F60/E60)-1</f>
        <v>7.5280187264168408E-3</v>
      </c>
      <c r="G61" s="8">
        <f t="shared" ref="G61:I61" si="56">(G60/F60)-1</f>
        <v>2.4263312683292959E-2</v>
      </c>
      <c r="H61" s="8">
        <f t="shared" si="56"/>
        <v>2.4276063078572774E-2</v>
      </c>
      <c r="I61" s="8">
        <f t="shared" si="56"/>
        <v>2.4288778720480408E-2</v>
      </c>
      <c r="J61" s="8">
        <f>(J60/H60)-1</f>
        <v>4.9180490880179173E-2</v>
      </c>
    </row>
    <row r="62" spans="1:11" x14ac:dyDescent="0.25">
      <c r="A62" s="7" t="s">
        <v>75</v>
      </c>
      <c r="C62" s="1">
        <f>SUM(C16:C25)</f>
        <v>32867085.500000004</v>
      </c>
      <c r="E62" s="1">
        <f t="shared" ref="E62:J62" si="57">SUM(E16:E25)</f>
        <v>32867085.500000004</v>
      </c>
      <c r="F62" s="1">
        <f t="shared" si="57"/>
        <v>33126669.18265</v>
      </c>
      <c r="G62" s="1">
        <f t="shared" si="57"/>
        <v>33593447.065946087</v>
      </c>
      <c r="H62" s="1">
        <f t="shared" si="57"/>
        <v>34068872.009530239</v>
      </c>
      <c r="I62" s="1">
        <f t="shared" si="57"/>
        <v>34553104.200194284</v>
      </c>
      <c r="J62" s="1">
        <f t="shared" si="57"/>
        <v>35046306.79219038</v>
      </c>
    </row>
    <row r="63" spans="1:11" x14ac:dyDescent="0.25">
      <c r="A63" s="7"/>
      <c r="E63" s="8">
        <f>(E62/C62)-1</f>
        <v>0</v>
      </c>
      <c r="F63" s="8">
        <f>(F62/E62)-1</f>
        <v>7.8979830033909515E-3</v>
      </c>
      <c r="G63" s="8">
        <f t="shared" ref="G63" si="58">(G62/F62)-1</f>
        <v>1.4090697761444781E-2</v>
      </c>
      <c r="H63" s="8">
        <f t="shared" ref="H63:I63" si="59">(H62/G62)-1</f>
        <v>1.4152311986646238E-2</v>
      </c>
      <c r="I63" s="8">
        <f t="shared" si="59"/>
        <v>1.4213332056564498E-2</v>
      </c>
      <c r="J63" s="8">
        <f t="shared" ref="J63" si="60">(J62/H62)-1</f>
        <v>2.8689966089476604E-2</v>
      </c>
      <c r="K63" s="4"/>
    </row>
    <row r="64" spans="1:11" x14ac:dyDescent="0.25">
      <c r="A64" s="7" t="s">
        <v>76</v>
      </c>
      <c r="C64" s="1">
        <f>C62-C60</f>
        <v>-1216949.6699999981</v>
      </c>
      <c r="E64" s="1">
        <f>E62-E60</f>
        <v>-1216949.6699999981</v>
      </c>
      <c r="F64" s="1">
        <f t="shared" ref="F64:J64" si="61">F62-F60</f>
        <v>-1213951.24238161</v>
      </c>
      <c r="G64" s="1">
        <f t="shared" si="61"/>
        <v>-1580390.570196338</v>
      </c>
      <c r="H64" s="1">
        <f t="shared" si="61"/>
        <v>-1958847.9277826548</v>
      </c>
      <c r="I64" s="1">
        <f t="shared" ref="I64" si="62">I62-I60</f>
        <v>-2349685.0544794425</v>
      </c>
      <c r="J64" s="1">
        <f t="shared" si="61"/>
        <v>-2753274.0969331786</v>
      </c>
    </row>
    <row r="65" spans="1:11" x14ac:dyDescent="0.25">
      <c r="E65" s="8"/>
    </row>
    <row r="66" spans="1:11" x14ac:dyDescent="0.25">
      <c r="A66" s="29" t="s">
        <v>83</v>
      </c>
      <c r="B66" s="20"/>
      <c r="C66" s="33">
        <v>1100000</v>
      </c>
      <c r="D66" s="40" t="s">
        <v>81</v>
      </c>
      <c r="E66" s="2">
        <v>0.2</v>
      </c>
      <c r="F66" s="35">
        <f>L24</f>
        <v>0.86427695462846987</v>
      </c>
      <c r="G66" s="35">
        <f>F66*E66</f>
        <v>0.17285539092569399</v>
      </c>
    </row>
    <row r="67" spans="1:11" x14ac:dyDescent="0.25">
      <c r="A67" s="29" t="s">
        <v>84</v>
      </c>
      <c r="B67" s="12"/>
      <c r="C67" s="33">
        <v>400000</v>
      </c>
      <c r="D67" s="40" t="s">
        <v>82</v>
      </c>
      <c r="E67" s="2">
        <v>0.8</v>
      </c>
      <c r="F67" s="35">
        <v>0.5</v>
      </c>
      <c r="G67" s="35">
        <f>F67*E67</f>
        <v>0.4</v>
      </c>
    </row>
    <row r="68" spans="1:11" x14ac:dyDescent="0.25">
      <c r="G68" s="36">
        <f>SUM(G66:G67)</f>
        <v>0.57285539092569404</v>
      </c>
    </row>
    <row r="69" spans="1:11" ht="15.75" thickBot="1" x14ac:dyDescent="0.3"/>
    <row r="70" spans="1:11" ht="16.5" thickTop="1" thickBot="1" x14ac:dyDescent="0.3">
      <c r="A70" s="37" t="s">
        <v>90</v>
      </c>
      <c r="B70" s="38"/>
      <c r="C70" s="9"/>
      <c r="D70" s="44"/>
      <c r="E70" s="9"/>
      <c r="F70" s="54"/>
      <c r="G70" s="55"/>
      <c r="H70" s="38"/>
      <c r="I70" s="38"/>
      <c r="J70" s="38"/>
      <c r="K70" s="38"/>
    </row>
    <row r="71" spans="1:11" ht="15.75" thickTop="1" x14ac:dyDescent="0.25">
      <c r="F71" s="33">
        <v>500000</v>
      </c>
      <c r="G71" s="33">
        <v>500000</v>
      </c>
    </row>
    <row r="73" spans="1:11" x14ac:dyDescent="0.25">
      <c r="A73" t="s">
        <v>131</v>
      </c>
      <c r="C73" s="1">
        <f>C16+C18+C20+C22</f>
        <v>24762603.000000004</v>
      </c>
      <c r="E73" s="1">
        <f t="shared" ref="E73:J74" si="63">E16+E18+E20+E22</f>
        <v>24762603.000000004</v>
      </c>
      <c r="F73" s="1">
        <f t="shared" si="63"/>
        <v>25197186.68265</v>
      </c>
      <c r="G73" s="1">
        <f t="shared" si="63"/>
        <v>25663964.565946091</v>
      </c>
      <c r="H73" s="1">
        <f t="shared" si="63"/>
        <v>26139389.509530239</v>
      </c>
      <c r="I73" s="1">
        <f t="shared" si="63"/>
        <v>26623621.700194284</v>
      </c>
      <c r="J73" s="1">
        <f t="shared" si="63"/>
        <v>27116824.29219038</v>
      </c>
    </row>
    <row r="74" spans="1:11" x14ac:dyDescent="0.25">
      <c r="A74" t="s">
        <v>132</v>
      </c>
      <c r="C74" s="1">
        <f>C17+C19+C21+C23</f>
        <v>2381003.5</v>
      </c>
      <c r="E74" s="1">
        <f t="shared" si="63"/>
        <v>2381003.5</v>
      </c>
      <c r="F74" s="1">
        <f t="shared" si="63"/>
        <v>2381003.5</v>
      </c>
      <c r="G74" s="1">
        <f t="shared" si="63"/>
        <v>2381003.5</v>
      </c>
      <c r="H74" s="1">
        <f t="shared" si="63"/>
        <v>2381003.5</v>
      </c>
      <c r="I74" s="1">
        <f t="shared" si="63"/>
        <v>2381003.5</v>
      </c>
      <c r="J74" s="1">
        <f t="shared" si="63"/>
        <v>2381003.5</v>
      </c>
    </row>
    <row r="75" spans="1:11" x14ac:dyDescent="0.25">
      <c r="C75" s="1">
        <f>SUM(C73:C74)</f>
        <v>27143606.500000004</v>
      </c>
    </row>
    <row r="77" spans="1:11" x14ac:dyDescent="0.25">
      <c r="A77" t="s">
        <v>133</v>
      </c>
      <c r="F77" s="4">
        <f>F73-E73</f>
        <v>434583.68264999613</v>
      </c>
      <c r="G77" s="4">
        <f t="shared" ref="G77:H78" si="64">G73-F73</f>
        <v>466777.88329609111</v>
      </c>
      <c r="H77" s="4">
        <f t="shared" si="64"/>
        <v>475424.94358414784</v>
      </c>
      <c r="I77" s="4">
        <f t="shared" ref="I77" si="65">I73-H73</f>
        <v>484232.19066404551</v>
      </c>
      <c r="J77" s="4">
        <f>J73-H73</f>
        <v>977434.78266014159</v>
      </c>
    </row>
    <row r="78" spans="1:11" x14ac:dyDescent="0.25">
      <c r="F78" s="4">
        <f>F74-E74</f>
        <v>0</v>
      </c>
      <c r="G78" s="4">
        <f t="shared" si="64"/>
        <v>0</v>
      </c>
      <c r="H78" s="4">
        <f t="shared" si="64"/>
        <v>0</v>
      </c>
      <c r="I78" s="4">
        <f t="shared" ref="I78" si="66">I74-H74</f>
        <v>0</v>
      </c>
      <c r="J78" s="4">
        <f>J74-H74</f>
        <v>0</v>
      </c>
    </row>
  </sheetData>
  <phoneticPr fontId="26" type="noConversion"/>
  <pageMargins left="0.71" right="0.71" top="0.75000000000000011" bottom="0.75000000000000011" header="0.31" footer="0.31"/>
  <pageSetup paperSize="9" scale="6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selection activeCell="A2" sqref="A2"/>
    </sheetView>
  </sheetViews>
  <sheetFormatPr defaultColWidth="8.85546875" defaultRowHeight="15" x14ac:dyDescent="0.25"/>
  <cols>
    <col min="1" max="1" width="37.85546875" customWidth="1"/>
    <col min="2" max="2" width="13.140625" bestFit="1" customWidth="1"/>
    <col min="3" max="3" width="14.28515625" style="1" bestFit="1" customWidth="1"/>
    <col min="4" max="4" width="17.28515625" style="40" customWidth="1"/>
    <col min="5" max="5" width="14.7109375" style="1" customWidth="1"/>
    <col min="6" max="7" width="14.7109375" bestFit="1" customWidth="1"/>
    <col min="8" max="9" width="15" customWidth="1"/>
    <col min="10" max="10" width="14.7109375" customWidth="1"/>
    <col min="11" max="11" width="12" customWidth="1"/>
    <col min="12" max="12" width="8.7109375" customWidth="1"/>
    <col min="13" max="13" width="7.28515625" customWidth="1"/>
    <col min="14" max="14" width="17.140625" customWidth="1"/>
  </cols>
  <sheetData>
    <row r="1" spans="1:14" ht="18.75" x14ac:dyDescent="0.3">
      <c r="A1" s="6" t="str">
        <f>'Rekenblad front'!A1</f>
        <v>Scenario 0 - as is - WG Fin 12/2/'13</v>
      </c>
      <c r="E1" s="10"/>
      <c r="G1" s="64">
        <f>80/71</f>
        <v>1.1267605633802817</v>
      </c>
      <c r="H1" s="63" t="s">
        <v>127</v>
      </c>
      <c r="I1" s="63"/>
      <c r="J1" s="82">
        <v>0</v>
      </c>
      <c r="K1" s="83" t="s">
        <v>144</v>
      </c>
      <c r="L1" s="84"/>
      <c r="M1" s="82">
        <v>1</v>
      </c>
      <c r="N1" s="83" t="s">
        <v>145</v>
      </c>
    </row>
    <row r="2" spans="1:14" x14ac:dyDescent="0.25">
      <c r="A2" s="29" t="str">
        <f>'Rekenblad front'!A2</f>
        <v>Technisch</v>
      </c>
      <c r="B2" t="s">
        <v>15</v>
      </c>
      <c r="C2" s="1" t="s">
        <v>22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48" t="s">
        <v>88</v>
      </c>
      <c r="M2" s="56" t="s">
        <v>92</v>
      </c>
      <c r="N2" s="57">
        <v>0.9</v>
      </c>
    </row>
    <row r="3" spans="1:14" x14ac:dyDescent="0.25">
      <c r="D3" s="85"/>
      <c r="E3" s="86" t="s">
        <v>86</v>
      </c>
      <c r="F3" s="87">
        <v>1.7999999999999999E-2</v>
      </c>
      <c r="G3" s="87">
        <v>1.9E-2</v>
      </c>
      <c r="H3" s="87">
        <v>1.9E-2</v>
      </c>
      <c r="I3" s="87">
        <v>1.9E-2</v>
      </c>
      <c r="J3" s="87">
        <v>1.9E-2</v>
      </c>
      <c r="K3" s="50">
        <f>((1+F3)*(1+G3)*(1+H3)*(1+I3)*(1+J3))-1</f>
        <v>9.7601050514777743E-2</v>
      </c>
      <c r="L3" s="39">
        <v>1.7999999999999999E-2</v>
      </c>
      <c r="M3" s="56" t="s">
        <v>93</v>
      </c>
      <c r="N3" s="57">
        <f>1-N2</f>
        <v>9.9999999999999978E-2</v>
      </c>
    </row>
    <row r="4" spans="1:14" x14ac:dyDescent="0.25">
      <c r="A4" s="4"/>
      <c r="B4" s="4"/>
      <c r="D4" s="80"/>
      <c r="E4" s="80" t="s">
        <v>87</v>
      </c>
      <c r="F4" s="46">
        <f>$N$2*F3*100%+$N$3*F3*75%</f>
        <v>1.755E-2</v>
      </c>
      <c r="G4" s="46">
        <f t="shared" ref="G4:J4" si="0">$N$2*G3*100%+$N$3*G3*75%</f>
        <v>1.8525E-2</v>
      </c>
      <c r="H4" s="46">
        <f t="shared" si="0"/>
        <v>1.8525E-2</v>
      </c>
      <c r="I4" s="46">
        <f t="shared" si="0"/>
        <v>1.8525E-2</v>
      </c>
      <c r="J4" s="46">
        <f t="shared" si="0"/>
        <v>1.8525E-2</v>
      </c>
      <c r="K4" s="50">
        <f>((1+F4)*(1+G4)*(1+H4)*(1+I4)*(1+J4))-1</f>
        <v>9.507164057794637E-2</v>
      </c>
      <c r="L4" s="46">
        <f>N2*L3*100%+N3*L3*75%</f>
        <v>1.755E-2</v>
      </c>
    </row>
    <row r="5" spans="1:14" s="29" customFormat="1" x14ac:dyDescent="0.25">
      <c r="B5" s="29" t="s">
        <v>134</v>
      </c>
      <c r="C5" s="90"/>
      <c r="D5" s="76" t="s">
        <v>130</v>
      </c>
      <c r="E5" s="90">
        <v>2013</v>
      </c>
      <c r="F5" s="90">
        <v>2014</v>
      </c>
      <c r="G5" s="90">
        <v>2015</v>
      </c>
      <c r="H5" s="90">
        <v>2016</v>
      </c>
      <c r="I5" s="90">
        <v>2017</v>
      </c>
      <c r="J5" s="90">
        <v>2018</v>
      </c>
      <c r="K5" s="90"/>
      <c r="L5" s="91">
        <f>L4/L3</f>
        <v>0.97500000000000009</v>
      </c>
    </row>
    <row r="6" spans="1:14" x14ac:dyDescent="0.25">
      <c r="A6" t="s">
        <v>159</v>
      </c>
      <c r="B6" s="18">
        <f>'Rekenblad front'!B6+'Rekenblad front'!B7</f>
        <v>15126914.000780191</v>
      </c>
      <c r="C6" s="18"/>
      <c r="D6" s="51">
        <f>'Rekenblad front'!D6</f>
        <v>7.6E-3</v>
      </c>
      <c r="E6" s="1">
        <f>'Rekenblad front'!E6+'Rekenblad front'!E7</f>
        <v>15126914.000780191</v>
      </c>
      <c r="F6" s="1">
        <f>'Rekenblad front'!F6+'Rekenblad front'!F7</f>
        <v>15330629.452734884</v>
      </c>
      <c r="G6" s="1">
        <f>'Rekenblad front'!G6+'Rekenblad front'!G7</f>
        <v>15696952.805084031</v>
      </c>
      <c r="H6" s="1">
        <f>'Rekenblad front'!H6+'Rekenblad front'!H7</f>
        <v>16072232.402174888</v>
      </c>
      <c r="I6" s="1">
        <f>'Rekenblad front'!I6+'Rekenblad front'!I7</f>
        <v>16456691.508945398</v>
      </c>
      <c r="J6" s="1">
        <f>'Rekenblad front'!J6+'Rekenblad front'!J7</f>
        <v>16850559.044728581</v>
      </c>
      <c r="K6" s="47"/>
      <c r="M6" s="47"/>
      <c r="N6" s="4"/>
    </row>
    <row r="7" spans="1:14" x14ac:dyDescent="0.25">
      <c r="A7" t="s">
        <v>160</v>
      </c>
      <c r="B7" s="19">
        <f>'Rekenblad front'!B8+'Rekenblad front'!B9</f>
        <v>5382148.0776781319</v>
      </c>
      <c r="C7" s="19"/>
      <c r="D7" s="51">
        <f>'Rekenblad front'!D8</f>
        <v>8.1399999999999997E-3</v>
      </c>
      <c r="E7" s="1">
        <f>'Rekenblad front'!E8+'Rekenblad front'!E9</f>
        <v>5382148.0776781319</v>
      </c>
      <c r="F7" s="1">
        <f>'Rekenblad front'!F8+'Rekenblad front'!F9</f>
        <v>5227430.2794468179</v>
      </c>
      <c r="G7" s="1">
        <f>'Rekenblad front'!G8+'Rekenblad front'!G9</f>
        <v>5361028.1595675116</v>
      </c>
      <c r="H7" s="1">
        <f>'Rekenblad front'!H8+'Rekenblad front'!H9</f>
        <v>5498094.6691790745</v>
      </c>
      <c r="I7" s="1">
        <f>'Rekenblad front'!I8+'Rekenblad front'!I9</f>
        <v>5638720.9597633509</v>
      </c>
      <c r="J7" s="1">
        <f>'Rekenblad front'!J8+'Rekenblad front'!J9</f>
        <v>5783000.5998980775</v>
      </c>
      <c r="K7" s="1"/>
    </row>
    <row r="8" spans="1:14" x14ac:dyDescent="0.25">
      <c r="A8" t="s">
        <v>164</v>
      </c>
      <c r="B8" s="9">
        <f>'Rekenblad front'!B10+'Rekenblad front'!B11</f>
        <v>9869912.8840055894</v>
      </c>
      <c r="C8" s="9"/>
      <c r="D8" s="51">
        <f>'Rekenblad front'!D10</f>
        <v>7.7115639999999997E-3</v>
      </c>
      <c r="E8" s="1">
        <f>'Rekenblad front'!E10+'Rekenblad front'!E11</f>
        <v>9869912.8840055894</v>
      </c>
      <c r="F8" s="1">
        <f>'Rekenblad front'!F10+'Rekenblad front'!F11</f>
        <v>10018294.736557074</v>
      </c>
      <c r="G8" s="1">
        <f>'Rekenblad front'!G10+'Rekenblad front'!G11</f>
        <v>10267553.515619343</v>
      </c>
      <c r="H8" s="1">
        <f>'Rekenblad front'!H10+'Rekenblad front'!H11</f>
        <v>10523121.821213778</v>
      </c>
      <c r="I8" s="1">
        <f>'Rekenblad front'!I10+'Rekenblad front'!I11</f>
        <v>10785161.567921501</v>
      </c>
      <c r="J8" s="1">
        <f>'Rekenblad front'!J10+'Rekenblad front'!J11</f>
        <v>11053838.869483262</v>
      </c>
      <c r="K8" s="1"/>
    </row>
    <row r="9" spans="1:14" x14ac:dyDescent="0.25">
      <c r="A9" t="s">
        <v>161</v>
      </c>
      <c r="B9" s="78">
        <f>'Rekenblad front'!B12+'Rekenblad front'!B13+'Rekenblad front'!B14</f>
        <v>3705060.207536086</v>
      </c>
      <c r="C9" s="78"/>
      <c r="D9" s="51"/>
      <c r="E9" s="1">
        <f>'Rekenblad front'!E12+'Rekenblad front'!E13+'Rekenblad front'!E14</f>
        <v>3705060.207536086</v>
      </c>
      <c r="F9" s="1">
        <f>'Rekenblad front'!F12+'Rekenblad front'!F13+'Rekenblad front'!F14</f>
        <v>3764265.9562928313</v>
      </c>
      <c r="G9" s="1">
        <f>'Rekenblad front'!G12+'Rekenblad front'!G13+'Rekenblad front'!G14</f>
        <v>3848303.1558715384</v>
      </c>
      <c r="H9" s="1">
        <f>'Rekenblad front'!H12+'Rekenblad front'!H13+'Rekenblad front'!H14</f>
        <v>3934271.0447451537</v>
      </c>
      <c r="I9" s="1">
        <f>'Rekenblad front'!I12+'Rekenblad front'!I13+'Rekenblad front'!I14</f>
        <v>4022215.2180434735</v>
      </c>
      <c r="J9" s="1">
        <f>'Rekenblad front'!J12+'Rekenblad front'!J13+'Rekenblad front'!J14</f>
        <v>4112182.3750136322</v>
      </c>
      <c r="K9" s="1"/>
    </row>
    <row r="10" spans="1:14" x14ac:dyDescent="0.25">
      <c r="A10" t="s">
        <v>138</v>
      </c>
      <c r="B10" s="89">
        <f>'Rekenblad front'!B15</f>
        <v>28000</v>
      </c>
      <c r="C10" s="89"/>
      <c r="D10" s="41"/>
      <c r="E10" s="96">
        <f>'Rekenblad front'!E15</f>
        <v>28000</v>
      </c>
      <c r="F10" s="96">
        <f>'Rekenblad front'!F15</f>
        <v>15000</v>
      </c>
      <c r="G10" s="96">
        <f>'Rekenblad front'!G15</f>
        <v>15284.999999999998</v>
      </c>
      <c r="H10" s="96">
        <f>'Rekenblad front'!H15</f>
        <v>15575.414999999997</v>
      </c>
      <c r="I10" s="96">
        <f>'Rekenblad front'!I15</f>
        <v>15871.347884999996</v>
      </c>
      <c r="J10" s="96">
        <f>'Rekenblad front'!J15</f>
        <v>16172.903494814995</v>
      </c>
      <c r="K10" s="1"/>
    </row>
    <row r="11" spans="1:14" x14ac:dyDescent="0.25">
      <c r="A11" t="s">
        <v>109</v>
      </c>
      <c r="B11" s="78"/>
      <c r="C11" s="78">
        <f>'Rekenblad front'!C16</f>
        <v>3380490.1324446434</v>
      </c>
      <c r="D11" s="79" t="s">
        <v>135</v>
      </c>
      <c r="E11" s="1">
        <f>'Rekenblad front'!E16</f>
        <v>3380490.1324446434</v>
      </c>
      <c r="F11" s="1">
        <f>'Rekenblad front'!F16</f>
        <v>3439817.7342690467</v>
      </c>
      <c r="G11" s="1">
        <f>'Rekenblad front'!G16</f>
        <v>3503540.3577963803</v>
      </c>
      <c r="H11" s="1">
        <f>'Rekenblad front'!H16</f>
        <v>3568443.4429245577</v>
      </c>
      <c r="I11" s="1">
        <f>'Rekenblad front'!I16</f>
        <v>3634548.8577047349</v>
      </c>
      <c r="J11" s="1">
        <f>'Rekenblad front'!J16</f>
        <v>3701878.8752937149</v>
      </c>
      <c r="K11" s="1"/>
      <c r="M11" s="4"/>
    </row>
    <row r="12" spans="1:14" x14ac:dyDescent="0.25">
      <c r="A12" t="s">
        <v>110</v>
      </c>
      <c r="B12" s="78"/>
      <c r="C12" s="78">
        <f>'Rekenblad front'!C17</f>
        <v>324570.0750914425</v>
      </c>
      <c r="D12" s="88" t="s">
        <v>137</v>
      </c>
      <c r="E12" s="1">
        <f>'Rekenblad front'!E17</f>
        <v>324570.0750914425</v>
      </c>
      <c r="F12" s="1">
        <f>'Rekenblad front'!F17</f>
        <v>324570.0750914425</v>
      </c>
      <c r="G12" s="1">
        <f>'Rekenblad front'!G17</f>
        <v>324570.0750914425</v>
      </c>
      <c r="H12" s="1">
        <f>'Rekenblad front'!H17</f>
        <v>324570.0750914425</v>
      </c>
      <c r="I12" s="1">
        <f>'Rekenblad front'!I17</f>
        <v>324570.0750914425</v>
      </c>
      <c r="J12" s="1">
        <f>'Rekenblad front'!J17</f>
        <v>324570.0750914425</v>
      </c>
      <c r="K12" s="1"/>
      <c r="M12" s="4"/>
      <c r="N12" s="4"/>
    </row>
    <row r="13" spans="1:14" x14ac:dyDescent="0.25">
      <c r="A13" t="s">
        <v>111</v>
      </c>
      <c r="B13" s="9"/>
      <c r="C13" s="9">
        <f>'Rekenblad front'!C18</f>
        <v>9030618.1819668841</v>
      </c>
      <c r="D13" s="79" t="s">
        <v>135</v>
      </c>
      <c r="E13" s="1">
        <f>'Rekenblad front'!E18</f>
        <v>9030618.1819668841</v>
      </c>
      <c r="F13" s="1">
        <f>'Rekenblad front'!F18</f>
        <v>9189105.5310604032</v>
      </c>
      <c r="G13" s="1">
        <f>'Rekenblad front'!G18</f>
        <v>9359333.7110232972</v>
      </c>
      <c r="H13" s="1">
        <f>'Rekenblad front'!H18</f>
        <v>9532715.3680200037</v>
      </c>
      <c r="I13" s="1">
        <f>'Rekenblad front'!I18</f>
        <v>9709308.9202125724</v>
      </c>
      <c r="J13" s="1">
        <f>'Rekenblad front'!J18</f>
        <v>9889173.8679595087</v>
      </c>
      <c r="K13" s="1"/>
      <c r="M13" s="4"/>
    </row>
    <row r="14" spans="1:14" x14ac:dyDescent="0.25">
      <c r="A14" t="s">
        <v>112</v>
      </c>
      <c r="B14" s="9"/>
      <c r="C14" s="9">
        <f>'Rekenblad front'!C19</f>
        <v>867294.70203870733</v>
      </c>
      <c r="D14" s="88" t="s">
        <v>137</v>
      </c>
      <c r="E14" s="1">
        <f>'Rekenblad front'!E19</f>
        <v>867294.70203870733</v>
      </c>
      <c r="F14" s="1">
        <f>'Rekenblad front'!F19</f>
        <v>867294.70203870733</v>
      </c>
      <c r="G14" s="1">
        <f>'Rekenblad front'!G19</f>
        <v>867294.70203870733</v>
      </c>
      <c r="H14" s="1">
        <f>'Rekenblad front'!H19</f>
        <v>867294.70203870733</v>
      </c>
      <c r="I14" s="1">
        <f>'Rekenblad front'!I19</f>
        <v>867294.70203870733</v>
      </c>
      <c r="J14" s="1">
        <f>'Rekenblad front'!J19</f>
        <v>867294.70203870733</v>
      </c>
      <c r="K14" s="1"/>
      <c r="M14" s="4"/>
    </row>
    <row r="15" spans="1:14" x14ac:dyDescent="0.25">
      <c r="A15" t="s">
        <v>113</v>
      </c>
      <c r="B15" s="18"/>
      <c r="C15" s="18">
        <f>'Rekenblad front'!C20</f>
        <v>8989461.1440001708</v>
      </c>
      <c r="D15" s="79" t="s">
        <v>135</v>
      </c>
      <c r="E15" s="1">
        <f>'Rekenblad front'!E20</f>
        <v>8989461.1440001708</v>
      </c>
      <c r="F15" s="1">
        <f>'Rekenblad front'!F20</f>
        <v>9147226.1870773733</v>
      </c>
      <c r="G15" s="1">
        <f>'Rekenblad front'!G20</f>
        <v>9316678.5521929804</v>
      </c>
      <c r="H15" s="1">
        <f>'Rekenblad front'!H20</f>
        <v>9489270.0223723538</v>
      </c>
      <c r="I15" s="1">
        <f>'Rekenblad front'!I20</f>
        <v>9665058.7495368011</v>
      </c>
      <c r="J15" s="1">
        <f>'Rekenblad front'!J20</f>
        <v>9844103.9628719687</v>
      </c>
      <c r="K15" s="1"/>
      <c r="M15" s="4"/>
      <c r="N15" s="4"/>
    </row>
    <row r="16" spans="1:14" x14ac:dyDescent="0.25">
      <c r="A16" t="s">
        <v>117</v>
      </c>
      <c r="B16" s="18"/>
      <c r="C16" s="18">
        <f>'Rekenblad front'!C21</f>
        <v>855889.35678002145</v>
      </c>
      <c r="D16" s="88" t="s">
        <v>137</v>
      </c>
      <c r="E16" s="1">
        <f>'Rekenblad front'!E21</f>
        <v>855889.35678002145</v>
      </c>
      <c r="F16" s="1">
        <f>'Rekenblad front'!F21</f>
        <v>855889.35678002145</v>
      </c>
      <c r="G16" s="1">
        <f>'Rekenblad front'!G21</f>
        <v>855889.35678002145</v>
      </c>
      <c r="H16" s="1">
        <f>'Rekenblad front'!H21</f>
        <v>855889.35678002145</v>
      </c>
      <c r="I16" s="1">
        <f>'Rekenblad front'!I21</f>
        <v>855889.35678002145</v>
      </c>
      <c r="J16" s="1">
        <f>'Rekenblad front'!J21</f>
        <v>855889.35678002145</v>
      </c>
      <c r="K16" s="1"/>
      <c r="M16" s="4"/>
    </row>
    <row r="17" spans="1:14" x14ac:dyDescent="0.25">
      <c r="A17" t="s">
        <v>118</v>
      </c>
      <c r="B17" s="19"/>
      <c r="C17" s="19">
        <f>'Rekenblad front'!C22</f>
        <v>3362033.5415883036</v>
      </c>
      <c r="D17" s="79" t="s">
        <v>135</v>
      </c>
      <c r="E17" s="1">
        <f>'Rekenblad front'!E22</f>
        <v>3362033.5415883036</v>
      </c>
      <c r="F17" s="1">
        <f>'Rekenblad front'!F22</f>
        <v>3421037.2302431781</v>
      </c>
      <c r="G17" s="1">
        <f>'Rekenblad front'!G22</f>
        <v>3484411.9449334326</v>
      </c>
      <c r="H17" s="1">
        <f>'Rekenblad front'!H22</f>
        <v>3548960.6762133241</v>
      </c>
      <c r="I17" s="1">
        <f>'Rekenblad front'!I22</f>
        <v>3614705.1727401754</v>
      </c>
      <c r="J17" s="1">
        <f>'Rekenblad front'!J22</f>
        <v>3681667.5860651867</v>
      </c>
      <c r="K17" s="34" t="s">
        <v>79</v>
      </c>
      <c r="L17" s="34" t="s">
        <v>80</v>
      </c>
      <c r="M17" s="81" t="s">
        <v>136</v>
      </c>
      <c r="N17" s="81"/>
    </row>
    <row r="18" spans="1:14" x14ac:dyDescent="0.25">
      <c r="A18" t="s">
        <v>114</v>
      </c>
      <c r="B18" s="19"/>
      <c r="C18" s="19">
        <f>'Rekenblad front'!C23</f>
        <v>333249.36608982872</v>
      </c>
      <c r="D18" s="88" t="s">
        <v>137</v>
      </c>
      <c r="E18" s="1">
        <f>'Rekenblad front'!E23</f>
        <v>333249.36608982872</v>
      </c>
      <c r="F18" s="1">
        <f>'Rekenblad front'!F23</f>
        <v>333249.36608982872</v>
      </c>
      <c r="G18" s="1">
        <f>'Rekenblad front'!G23</f>
        <v>333249.36608982872</v>
      </c>
      <c r="H18" s="1">
        <f>'Rekenblad front'!H23</f>
        <v>333249.36608982872</v>
      </c>
      <c r="I18" s="1">
        <f>'Rekenblad front'!I23</f>
        <v>333249.36608982872</v>
      </c>
      <c r="J18" s="1">
        <f>'Rekenblad front'!J23</f>
        <v>333249.36608982872</v>
      </c>
      <c r="K18" s="34"/>
      <c r="L18" s="34"/>
      <c r="M18" s="4"/>
    </row>
    <row r="19" spans="1:14" x14ac:dyDescent="0.25">
      <c r="A19" t="s">
        <v>13</v>
      </c>
      <c r="B19" s="18"/>
      <c r="C19" s="18">
        <f>'Rekenblad front'!C24</f>
        <v>4946671</v>
      </c>
      <c r="D19" s="41"/>
      <c r="E19" s="1">
        <f>'Rekenblad front'!E24</f>
        <v>4946671</v>
      </c>
      <c r="F19" s="1">
        <f>'Rekenblad front'!F24</f>
        <v>4771671</v>
      </c>
      <c r="G19" s="1">
        <f>'Rekenblad front'!G24</f>
        <v>4771671</v>
      </c>
      <c r="H19" s="1">
        <f>'Rekenblad front'!H24</f>
        <v>4771671</v>
      </c>
      <c r="I19" s="1">
        <f>'Rekenblad front'!I24</f>
        <v>4771671</v>
      </c>
      <c r="J19" s="1">
        <f>'Rekenblad front'!J24</f>
        <v>4771671</v>
      </c>
      <c r="K19" s="31">
        <v>0.8</v>
      </c>
      <c r="L19" s="28">
        <f>C19/(C19+C20)</f>
        <v>0.86427695462846987</v>
      </c>
      <c r="N19" s="4"/>
    </row>
    <row r="20" spans="1:14" x14ac:dyDescent="0.25">
      <c r="A20" t="s">
        <v>14</v>
      </c>
      <c r="B20" s="19"/>
      <c r="C20" s="19">
        <f>'Rekenblad front'!C25</f>
        <v>776808</v>
      </c>
      <c r="D20" s="41"/>
      <c r="E20" s="1">
        <f>'Rekenblad front'!E25</f>
        <v>776808</v>
      </c>
      <c r="F20" s="1">
        <f>'Rekenblad front'!F25</f>
        <v>776808</v>
      </c>
      <c r="G20" s="1">
        <f>'Rekenblad front'!G25</f>
        <v>776808</v>
      </c>
      <c r="H20" s="1">
        <f>'Rekenblad front'!H25</f>
        <v>776808</v>
      </c>
      <c r="I20" s="1">
        <f>'Rekenblad front'!I25</f>
        <v>776808</v>
      </c>
      <c r="J20" s="1">
        <f>'Rekenblad front'!J25</f>
        <v>776808</v>
      </c>
      <c r="K20" s="31">
        <f>1-K19</f>
        <v>0.19999999999999996</v>
      </c>
      <c r="L20" s="28">
        <f>1-L19</f>
        <v>0.13572304537153013</v>
      </c>
    </row>
    <row r="21" spans="1:14" x14ac:dyDescent="0.25">
      <c r="B21" s="1">
        <f>SUM(B6:B20)</f>
        <v>34112035.170000002</v>
      </c>
      <c r="C21" s="1">
        <f>SUM(C6:C20)</f>
        <v>32867085.500000004</v>
      </c>
      <c r="D21" s="41"/>
      <c r="E21" s="1">
        <f t="shared" ref="E21:J21" si="1">SUM(E6:E10)</f>
        <v>34112035.170000002</v>
      </c>
      <c r="F21" s="1">
        <f t="shared" si="1"/>
        <v>34355620.42503161</v>
      </c>
      <c r="G21" s="1">
        <f t="shared" si="1"/>
        <v>35189122.636142425</v>
      </c>
      <c r="H21" s="1">
        <f t="shared" si="1"/>
        <v>36043295.352312893</v>
      </c>
      <c r="I21" s="1">
        <f t="shared" si="1"/>
        <v>36918660.602558725</v>
      </c>
      <c r="J21" s="1">
        <f t="shared" si="1"/>
        <v>37815753.792618372</v>
      </c>
      <c r="K21" s="1"/>
    </row>
    <row r="22" spans="1:14" x14ac:dyDescent="0.25">
      <c r="A22" t="s">
        <v>139</v>
      </c>
      <c r="C22" s="108">
        <f>-SUM(B8:B10)+SUM(C11:C14)</f>
        <v>0</v>
      </c>
      <c r="D22" s="109" t="s">
        <v>155</v>
      </c>
      <c r="E22" s="1">
        <f t="shared" ref="E22:J22" si="2">-SUM(E8:E10)+SUM(E11:E14)</f>
        <v>0</v>
      </c>
      <c r="F22" s="1">
        <f t="shared" si="2"/>
        <v>23227.349609695375</v>
      </c>
      <c r="G22" s="1">
        <f t="shared" si="2"/>
        <v>-76402.82554105483</v>
      </c>
      <c r="H22" s="1">
        <f t="shared" si="2"/>
        <v>-179944.69288421981</v>
      </c>
      <c r="I22" s="1">
        <f t="shared" si="2"/>
        <v>-287525.57880251482</v>
      </c>
      <c r="J22" s="1">
        <f t="shared" si="2"/>
        <v>-399276.62760833651</v>
      </c>
      <c r="K22" s="1"/>
      <c r="M22" s="4"/>
    </row>
    <row r="23" spans="1:14" x14ac:dyDescent="0.25">
      <c r="A23" t="s">
        <v>16</v>
      </c>
      <c r="C23" s="1">
        <f>-SUM(B6:B6)+C15+C16+C19</f>
        <v>-334892.49999999907</v>
      </c>
      <c r="D23" s="41"/>
      <c r="E23" s="4">
        <f t="shared" ref="E23:J23" si="3">-SUM(E6:E6)+E15+E16+E19</f>
        <v>-334892.49999999907</v>
      </c>
      <c r="F23" s="4">
        <f t="shared" si="3"/>
        <v>-555842.90887748916</v>
      </c>
      <c r="G23" s="4">
        <f t="shared" si="3"/>
        <v>-752713.8961110292</v>
      </c>
      <c r="H23" s="4">
        <f t="shared" si="3"/>
        <v>-955402.02302251291</v>
      </c>
      <c r="I23" s="4">
        <f t="shared" si="3"/>
        <v>-1164072.4026285755</v>
      </c>
      <c r="J23" s="4">
        <f t="shared" si="3"/>
        <v>-1378894.7250765907</v>
      </c>
      <c r="K23" s="1"/>
    </row>
    <row r="24" spans="1:14" x14ac:dyDescent="0.25">
      <c r="A24" t="s">
        <v>17</v>
      </c>
      <c r="C24" s="1">
        <f>-SUM(B7:B7)+C17+C18+C20</f>
        <v>-910057.16999999946</v>
      </c>
      <c r="D24" s="41"/>
      <c r="E24" s="1">
        <f t="shared" ref="E24:J24" si="4">-SUM(E7:E7)+E17+E18+E20</f>
        <v>-910057.16999999946</v>
      </c>
      <c r="F24" s="1">
        <f t="shared" si="4"/>
        <v>-696335.68311381107</v>
      </c>
      <c r="G24" s="1">
        <f t="shared" si="4"/>
        <v>-766558.84854425024</v>
      </c>
      <c r="H24" s="1">
        <f t="shared" si="4"/>
        <v>-839076.62687592162</v>
      </c>
      <c r="I24" s="1">
        <f t="shared" si="4"/>
        <v>-913958.42093334673</v>
      </c>
      <c r="J24" s="1">
        <f t="shared" si="4"/>
        <v>-991275.64774306212</v>
      </c>
      <c r="K24" s="1"/>
    </row>
    <row r="25" spans="1:14" ht="15.75" x14ac:dyDescent="0.25">
      <c r="A25" s="77"/>
      <c r="B25" s="77"/>
      <c r="C25" s="77">
        <v>2013</v>
      </c>
      <c r="D25" s="77"/>
      <c r="E25" s="92" t="s">
        <v>140</v>
      </c>
      <c r="F25" s="77">
        <v>2014</v>
      </c>
      <c r="G25" s="77">
        <v>2015</v>
      </c>
      <c r="H25" s="77">
        <v>2016</v>
      </c>
      <c r="I25" s="77">
        <v>2017</v>
      </c>
      <c r="J25" s="77">
        <v>2018</v>
      </c>
    </row>
    <row r="26" spans="1:14" ht="15.75" x14ac:dyDescent="0.25">
      <c r="A26" s="70" t="s">
        <v>18</v>
      </c>
      <c r="B26" s="70"/>
      <c r="C26" s="70">
        <f>C23</f>
        <v>-334892.49999999907</v>
      </c>
      <c r="D26" s="70"/>
      <c r="E26" s="4">
        <f>E23+(E$22*$K19)</f>
        <v>-334892.49999999907</v>
      </c>
      <c r="F26" s="70">
        <f t="shared" ref="F26:J27" si="5">F23+(F$22*$K19)</f>
        <v>-537261.02918973286</v>
      </c>
      <c r="G26" s="70">
        <f t="shared" si="5"/>
        <v>-813836.15654387302</v>
      </c>
      <c r="H26" s="70">
        <f t="shared" si="5"/>
        <v>-1099357.7773298887</v>
      </c>
      <c r="I26" s="70">
        <f t="shared" si="5"/>
        <v>-1394092.8656705874</v>
      </c>
      <c r="J26" s="70">
        <f t="shared" si="5"/>
        <v>-1698316.0271632599</v>
      </c>
      <c r="K26" s="32"/>
      <c r="L26" s="32"/>
    </row>
    <row r="27" spans="1:14" ht="15.75" x14ac:dyDescent="0.25">
      <c r="A27" s="71" t="s">
        <v>19</v>
      </c>
      <c r="B27" s="71"/>
      <c r="C27" s="71">
        <f>C24+C22</f>
        <v>-910057.16999999946</v>
      </c>
      <c r="D27" s="71"/>
      <c r="E27" s="4">
        <f>E24+(E$22*$K20)</f>
        <v>-910057.16999999946</v>
      </c>
      <c r="F27" s="71">
        <f t="shared" si="5"/>
        <v>-691690.213191872</v>
      </c>
      <c r="G27" s="71">
        <f t="shared" si="5"/>
        <v>-781839.41365246125</v>
      </c>
      <c r="H27" s="71">
        <f t="shared" si="5"/>
        <v>-875065.56545276556</v>
      </c>
      <c r="I27" s="71">
        <f t="shared" si="5"/>
        <v>-971463.53669384972</v>
      </c>
      <c r="J27" s="71">
        <f t="shared" si="5"/>
        <v>-1071130.9732647294</v>
      </c>
      <c r="K27" s="32"/>
      <c r="L27" s="32"/>
    </row>
    <row r="28" spans="1:14" ht="15.75" x14ac:dyDescent="0.25">
      <c r="A28" s="72" t="s">
        <v>77</v>
      </c>
      <c r="B28" s="73"/>
      <c r="C28" s="74">
        <f>SUM(C26:C27)</f>
        <v>-1244949.6699999985</v>
      </c>
      <c r="D28" s="75"/>
      <c r="E28" s="4">
        <f t="shared" ref="E28:J28" si="6">SUM(E26:E27)</f>
        <v>-1244949.6699999985</v>
      </c>
      <c r="F28" s="74">
        <f t="shared" si="6"/>
        <v>-1228951.2423816049</v>
      </c>
      <c r="G28" s="74">
        <f t="shared" si="6"/>
        <v>-1595675.5701963343</v>
      </c>
      <c r="H28" s="74">
        <f t="shared" si="6"/>
        <v>-1974423.3427826543</v>
      </c>
      <c r="I28" s="74">
        <f t="shared" si="6"/>
        <v>-2365556.402364437</v>
      </c>
      <c r="J28" s="74">
        <f t="shared" si="6"/>
        <v>-2769447.0004279893</v>
      </c>
    </row>
    <row r="29" spans="1:14" ht="18.75" x14ac:dyDescent="0.3">
      <c r="A29" s="97" t="str">
        <f>"Stijging Eigen Ink Opera na "&amp;D29&amp;" jaar"</f>
        <v>Stijging Eigen Ink Opera na 5 jaar</v>
      </c>
      <c r="B29" s="23"/>
      <c r="C29" s="52">
        <f>'Rekenblad front'!C34</f>
        <v>0</v>
      </c>
      <c r="D29" s="42">
        <f>'Rekenblad front'!D34</f>
        <v>5</v>
      </c>
      <c r="E29" s="24" t="s">
        <v>71</v>
      </c>
      <c r="F29" s="21">
        <f>'Rekenblad front'!F34</f>
        <v>0</v>
      </c>
      <c r="G29" s="21">
        <f>'Rekenblad front'!G34</f>
        <v>0</v>
      </c>
      <c r="H29" s="21">
        <f>'Rekenblad front'!H34</f>
        <v>0</v>
      </c>
      <c r="I29" s="21">
        <f>'Rekenblad front'!I34</f>
        <v>0</v>
      </c>
      <c r="J29" s="21">
        <f>'Rekenblad front'!J34</f>
        <v>0</v>
      </c>
      <c r="K29" s="22">
        <f>'Rekenblad front'!K34</f>
        <v>-3.5377327499645728E-2</v>
      </c>
      <c r="L29" t="s">
        <v>129</v>
      </c>
      <c r="M29" s="8"/>
    </row>
    <row r="30" spans="1:14" ht="18.75" x14ac:dyDescent="0.3">
      <c r="A30" s="98" t="str">
        <f>"Stijging Eigen Ink Ballet na "&amp;D30&amp;" jaar"</f>
        <v>Stijging Eigen Ink Ballet na 5 jaar</v>
      </c>
      <c r="B30" s="25"/>
      <c r="C30" s="53">
        <f>'Rekenblad front'!C35</f>
        <v>0</v>
      </c>
      <c r="D30" s="43">
        <f>'Rekenblad front'!D35</f>
        <v>5</v>
      </c>
      <c r="E30" s="26" t="s">
        <v>71</v>
      </c>
      <c r="F30" s="27">
        <f>'Rekenblad front'!F35</f>
        <v>0</v>
      </c>
      <c r="G30" s="27">
        <f>'Rekenblad front'!G35</f>
        <v>0</v>
      </c>
      <c r="H30" s="27">
        <f>'Rekenblad front'!H35</f>
        <v>0</v>
      </c>
      <c r="I30" s="27">
        <f>'Rekenblad front'!I35</f>
        <v>0</v>
      </c>
      <c r="J30" s="27">
        <f>'Rekenblad front'!J35</f>
        <v>0</v>
      </c>
      <c r="K30" s="112">
        <f>'Rekenblad front'!K35</f>
        <v>0</v>
      </c>
      <c r="M30" s="8"/>
    </row>
    <row r="31" spans="1:14" x14ac:dyDescent="0.25">
      <c r="F31" s="45"/>
      <c r="G31" s="45"/>
      <c r="H31" s="45"/>
      <c r="I31" s="45"/>
      <c r="J31" s="45"/>
      <c r="K31" s="3"/>
    </row>
    <row r="32" spans="1:14" ht="15.75" x14ac:dyDescent="0.25">
      <c r="A32" s="72" t="s">
        <v>147</v>
      </c>
      <c r="B32" s="72"/>
      <c r="C32" s="72"/>
      <c r="D32" s="85"/>
      <c r="E32" s="86" t="s">
        <v>143</v>
      </c>
      <c r="F32" s="87">
        <f>F3</f>
        <v>1.7999999999999999E-2</v>
      </c>
      <c r="G32" s="87">
        <f>G3</f>
        <v>1.9E-2</v>
      </c>
      <c r="H32" s="87">
        <f>H3</f>
        <v>1.9E-2</v>
      </c>
      <c r="I32" s="87">
        <f>I3</f>
        <v>1.9E-2</v>
      </c>
      <c r="J32" s="87">
        <f>J3</f>
        <v>1.9E-2</v>
      </c>
      <c r="K32" s="3"/>
    </row>
    <row r="33" spans="1:11" x14ac:dyDescent="0.25">
      <c r="A33" s="93" t="s">
        <v>146</v>
      </c>
      <c r="B33" s="95"/>
      <c r="C33" s="100">
        <f>'Rekenblad front'!C38</f>
        <v>0</v>
      </c>
      <c r="D33" s="95"/>
      <c r="E33" s="100">
        <f>'Rekenblad front'!E38</f>
        <v>0</v>
      </c>
      <c r="F33" s="100">
        <f>'Rekenblad front'!F38</f>
        <v>0</v>
      </c>
      <c r="G33" s="100">
        <f>'Rekenblad front'!G38</f>
        <v>0</v>
      </c>
      <c r="H33" s="100">
        <f>'Rekenblad front'!H38</f>
        <v>0</v>
      </c>
      <c r="I33" s="100">
        <f>'Rekenblad front'!I38</f>
        <v>0</v>
      </c>
      <c r="J33" s="100">
        <f>'Rekenblad front'!J38</f>
        <v>0</v>
      </c>
      <c r="K33" s="1" t="s">
        <v>158</v>
      </c>
    </row>
    <row r="34" spans="1:11" x14ac:dyDescent="0.25">
      <c r="A34" s="94" t="s">
        <v>141</v>
      </c>
      <c r="B34" s="94"/>
      <c r="C34" s="94">
        <f>'Rekenblad front'!C39</f>
        <v>0</v>
      </c>
      <c r="D34" s="94"/>
      <c r="E34" s="110">
        <f>'Rekenblad front'!E39</f>
        <v>0</v>
      </c>
      <c r="F34" s="110">
        <f>'Rekenblad front'!F39</f>
        <v>0</v>
      </c>
      <c r="G34" s="110">
        <f>'Rekenblad front'!G39</f>
        <v>0</v>
      </c>
      <c r="H34" s="110">
        <f>'Rekenblad front'!H39</f>
        <v>0</v>
      </c>
      <c r="I34" s="110">
        <f>'Rekenblad front'!I39</f>
        <v>0</v>
      </c>
      <c r="J34" s="110">
        <f>'Rekenblad front'!J39</f>
        <v>0</v>
      </c>
      <c r="K34" s="1" t="s">
        <v>158</v>
      </c>
    </row>
    <row r="35" spans="1:11" x14ac:dyDescent="0.25">
      <c r="A35" s="93" t="s">
        <v>142</v>
      </c>
      <c r="B35" s="95"/>
      <c r="C35" s="95">
        <f>'Rekenblad front'!C40</f>
        <v>0</v>
      </c>
      <c r="D35" s="95"/>
      <c r="E35" s="100">
        <f>'Rekenblad front'!E40</f>
        <v>100000</v>
      </c>
      <c r="F35" s="100">
        <f>'Rekenblad front'!F40</f>
        <v>50000</v>
      </c>
      <c r="G35" s="100">
        <f>'Rekenblad front'!G40</f>
        <v>100000</v>
      </c>
      <c r="H35" s="100">
        <f>'Rekenblad front'!H40</f>
        <v>101899.99999999999</v>
      </c>
      <c r="I35" s="100">
        <f>'Rekenblad front'!I40</f>
        <v>103836.09999999998</v>
      </c>
      <c r="J35" s="100">
        <f>'Rekenblad front'!J40</f>
        <v>105808.98589999997</v>
      </c>
      <c r="K35" s="107" t="s">
        <v>154</v>
      </c>
    </row>
    <row r="36" spans="1:11" x14ac:dyDescent="0.25">
      <c r="A36" s="94" t="s">
        <v>156</v>
      </c>
      <c r="B36" s="94"/>
      <c r="C36" s="94">
        <f>'Rekenblad front'!C41</f>
        <v>0</v>
      </c>
      <c r="D36" s="94"/>
      <c r="E36" s="110">
        <f>'Rekenblad front'!E41</f>
        <v>-175000</v>
      </c>
      <c r="F36" s="110">
        <f>'Rekenblad front'!F41</f>
        <v>-175000</v>
      </c>
      <c r="G36" s="110">
        <f>'Rekenblad front'!G41</f>
        <v>-175000</v>
      </c>
      <c r="H36" s="110">
        <f>'Rekenblad front'!H41</f>
        <v>-178324.99999999997</v>
      </c>
      <c r="I36" s="110">
        <f>'Rekenblad front'!I41</f>
        <v>-181713.17499999996</v>
      </c>
      <c r="J36" s="110">
        <f>'Rekenblad front'!J41</f>
        <v>-185165.72532499995</v>
      </c>
      <c r="K36" s="107" t="s">
        <v>154</v>
      </c>
    </row>
    <row r="37" spans="1:11" x14ac:dyDescent="0.25">
      <c r="A37" s="93" t="s">
        <v>157</v>
      </c>
      <c r="B37" s="95"/>
      <c r="C37" s="95">
        <f>'Rekenblad front'!C42</f>
        <v>0</v>
      </c>
      <c r="D37" s="95"/>
      <c r="E37" s="100">
        <f>'Rekenblad front'!E42</f>
        <v>175000</v>
      </c>
      <c r="F37" s="100">
        <f>'Rekenblad front'!F42</f>
        <v>175000</v>
      </c>
      <c r="G37" s="100">
        <f>'Rekenblad front'!G42</f>
        <v>175000</v>
      </c>
      <c r="H37" s="100">
        <f>'Rekenblad front'!H42</f>
        <v>178324.99999999997</v>
      </c>
      <c r="I37" s="100">
        <f>'Rekenblad front'!I42</f>
        <v>181713.17499999996</v>
      </c>
      <c r="J37" s="100">
        <f>'Rekenblad front'!J42</f>
        <v>185165.72532499995</v>
      </c>
      <c r="K37" s="107" t="s">
        <v>154</v>
      </c>
    </row>
    <row r="38" spans="1:11" x14ac:dyDescent="0.25">
      <c r="A38" s="94" t="s">
        <v>165</v>
      </c>
      <c r="B38" s="94"/>
      <c r="C38" s="94">
        <f>'Rekenblad front'!C43</f>
        <v>0</v>
      </c>
      <c r="D38" s="94"/>
      <c r="E38" s="94">
        <f>'Rekenblad front'!E43</f>
        <v>0</v>
      </c>
      <c r="F38" s="94">
        <f>'Rekenblad front'!F43</f>
        <v>0</v>
      </c>
      <c r="G38" s="94">
        <f>'Rekenblad front'!G43</f>
        <v>0</v>
      </c>
      <c r="H38" s="94">
        <f>'Rekenblad front'!H43</f>
        <v>0</v>
      </c>
      <c r="I38" s="94">
        <f>'Rekenblad front'!I43</f>
        <v>0</v>
      </c>
      <c r="J38" s="94">
        <f>'Rekenblad front'!J43</f>
        <v>0</v>
      </c>
      <c r="K38" s="107"/>
    </row>
    <row r="39" spans="1:11" x14ac:dyDescent="0.25">
      <c r="A39" s="93" t="s">
        <v>166</v>
      </c>
      <c r="B39" s="93"/>
      <c r="C39" s="93">
        <f>'Rekenblad front'!C44</f>
        <v>0</v>
      </c>
      <c r="D39" s="93"/>
      <c r="E39" s="93">
        <f>'Rekenblad front'!E44</f>
        <v>0</v>
      </c>
      <c r="F39" s="93">
        <f>'Rekenblad front'!F44</f>
        <v>0</v>
      </c>
      <c r="G39" s="93">
        <f>'Rekenblad front'!G44</f>
        <v>0</v>
      </c>
      <c r="H39" s="93">
        <f>'Rekenblad front'!H44</f>
        <v>0</v>
      </c>
      <c r="I39" s="93">
        <f>'Rekenblad front'!I44</f>
        <v>0</v>
      </c>
      <c r="J39" s="93">
        <f>'Rekenblad front'!J44</f>
        <v>0</v>
      </c>
      <c r="K39" s="107"/>
    </row>
    <row r="40" spans="1:11" x14ac:dyDescent="0.25">
      <c r="A40" s="101" t="s">
        <v>150</v>
      </c>
      <c r="B40" s="101"/>
      <c r="C40" s="101">
        <f>'Rekenblad front'!C45</f>
        <v>0</v>
      </c>
      <c r="D40" s="101"/>
      <c r="E40" s="101">
        <f>'Rekenblad front'!E45</f>
        <v>0</v>
      </c>
      <c r="F40" s="101">
        <f>'Rekenblad front'!F45</f>
        <v>-175000</v>
      </c>
      <c r="G40" s="101">
        <f>'Rekenblad front'!G45</f>
        <v>-175000</v>
      </c>
      <c r="H40" s="101">
        <f>'Rekenblad front'!H45</f>
        <v>-178324.99999999997</v>
      </c>
      <c r="I40" s="101">
        <f>'Rekenblad front'!I45</f>
        <v>-181713.17499999996</v>
      </c>
      <c r="J40" s="101">
        <f>'Rekenblad front'!J45</f>
        <v>-185165.72532499995</v>
      </c>
      <c r="K40" s="1"/>
    </row>
    <row r="41" spans="1:11" x14ac:dyDescent="0.25">
      <c r="A41" s="102" t="s">
        <v>151</v>
      </c>
      <c r="B41" s="103"/>
      <c r="C41" s="103">
        <f>'Rekenblad front'!C46</f>
        <v>0</v>
      </c>
      <c r="D41" s="103"/>
      <c r="E41" s="103">
        <f>'Rekenblad front'!E46</f>
        <v>0</v>
      </c>
      <c r="F41" s="103">
        <f>'Rekenblad front'!F46</f>
        <v>225000</v>
      </c>
      <c r="G41" s="103">
        <f>'Rekenblad front'!G46</f>
        <v>275000</v>
      </c>
      <c r="H41" s="103">
        <f>'Rekenblad front'!H46</f>
        <v>280224.99999999994</v>
      </c>
      <c r="I41" s="103">
        <f>'Rekenblad front'!I46</f>
        <v>285549.27499999991</v>
      </c>
      <c r="J41" s="103">
        <f>'Rekenblad front'!J46</f>
        <v>290974.71122499992</v>
      </c>
      <c r="K41" s="1"/>
    </row>
    <row r="42" spans="1:11" ht="15.75" x14ac:dyDescent="0.25">
      <c r="A42" s="72" t="s">
        <v>148</v>
      </c>
      <c r="B42" s="74"/>
      <c r="C42" s="74">
        <f>SUM(C33:C37)</f>
        <v>0</v>
      </c>
      <c r="D42" s="74"/>
      <c r="E42" s="74"/>
      <c r="F42" s="74">
        <f>SUM(F33:F37)</f>
        <v>50000</v>
      </c>
      <c r="G42" s="74">
        <f t="shared" ref="G42:J42" si="7">SUM(G33:G37)</f>
        <v>100000</v>
      </c>
      <c r="H42" s="74">
        <f t="shared" si="7"/>
        <v>101899.99999999999</v>
      </c>
      <c r="I42" s="74">
        <f t="shared" si="7"/>
        <v>103836.09999999998</v>
      </c>
      <c r="J42" s="74">
        <f t="shared" si="7"/>
        <v>105808.98589999997</v>
      </c>
      <c r="K42" s="1"/>
    </row>
    <row r="43" spans="1:11" s="104" customFormat="1" ht="11.25" x14ac:dyDescent="0.2">
      <c r="B43" s="105"/>
      <c r="C43" s="105"/>
      <c r="D43" s="105"/>
      <c r="E43" s="105"/>
      <c r="F43" s="105">
        <f>+F40+F41</f>
        <v>50000</v>
      </c>
      <c r="G43" s="105">
        <f t="shared" ref="G43:J43" si="8">+G40+G41</f>
        <v>100000</v>
      </c>
      <c r="H43" s="105">
        <f t="shared" si="8"/>
        <v>101899.99999999997</v>
      </c>
      <c r="I43" s="105">
        <f t="shared" si="8"/>
        <v>103836.09999999995</v>
      </c>
      <c r="J43" s="105">
        <f t="shared" si="8"/>
        <v>105808.98589999997</v>
      </c>
      <c r="K43" s="106"/>
    </row>
    <row r="44" spans="1:11" ht="15.75" x14ac:dyDescent="0.25">
      <c r="A44" s="70" t="s">
        <v>152</v>
      </c>
      <c r="B44" s="70"/>
      <c r="C44" s="70">
        <f>+C26+C34+C36</f>
        <v>-334892.49999999907</v>
      </c>
      <c r="D44" s="70"/>
      <c r="E44" s="70"/>
      <c r="F44" s="70">
        <f>F26+F40</f>
        <v>-712261.02918973286</v>
      </c>
      <c r="G44" s="70">
        <f t="shared" ref="G44:J44" si="9">G26+G40</f>
        <v>-988836.15654387302</v>
      </c>
      <c r="H44" s="70">
        <f t="shared" si="9"/>
        <v>-1277682.7773298887</v>
      </c>
      <c r="I44" s="70">
        <f t="shared" si="9"/>
        <v>-1575806.0406705874</v>
      </c>
      <c r="J44" s="70">
        <f t="shared" si="9"/>
        <v>-1883481.7524882599</v>
      </c>
      <c r="K44" s="4"/>
    </row>
    <row r="45" spans="1:11" ht="15.75" x14ac:dyDescent="0.25">
      <c r="A45" s="71" t="s">
        <v>153</v>
      </c>
      <c r="B45" s="71"/>
      <c r="C45" s="71">
        <f>+C27+C33+C35+C37</f>
        <v>-910057.16999999946</v>
      </c>
      <c r="D45" s="71"/>
      <c r="E45" s="71"/>
      <c r="F45" s="71">
        <f>+F27+F41</f>
        <v>-466690.213191872</v>
      </c>
      <c r="G45" s="71">
        <f t="shared" ref="G45:J45" si="10">+G27+G41</f>
        <v>-506839.41365246125</v>
      </c>
      <c r="H45" s="71">
        <f t="shared" si="10"/>
        <v>-594840.56545276567</v>
      </c>
      <c r="I45" s="71">
        <f t="shared" si="10"/>
        <v>-685914.26169384981</v>
      </c>
      <c r="J45" s="71">
        <f t="shared" si="10"/>
        <v>-780156.26203972939</v>
      </c>
      <c r="K45" s="4"/>
    </row>
    <row r="46" spans="1:11" ht="15.75" x14ac:dyDescent="0.25">
      <c r="A46" s="72" t="s">
        <v>149</v>
      </c>
      <c r="B46" s="74"/>
      <c r="C46" s="74">
        <f>+C44+C45</f>
        <v>-1244949.6699999985</v>
      </c>
      <c r="D46" s="74"/>
      <c r="E46" s="74"/>
      <c r="F46" s="74">
        <f>+F44+F45</f>
        <v>-1178951.2423816049</v>
      </c>
      <c r="G46" s="74">
        <f t="shared" ref="G46:J46" si="11">+G44+G45</f>
        <v>-1495675.5701963343</v>
      </c>
      <c r="H46" s="74">
        <f t="shared" si="11"/>
        <v>-1872523.3427826543</v>
      </c>
      <c r="I46" s="74">
        <f t="shared" si="11"/>
        <v>-2261720.3023644374</v>
      </c>
      <c r="J46" s="74">
        <f t="shared" si="11"/>
        <v>-2663638.0145279896</v>
      </c>
      <c r="K46" s="4"/>
    </row>
    <row r="47" spans="1:11" x14ac:dyDescent="0.25">
      <c r="F47" s="45"/>
      <c r="G47" s="45"/>
      <c r="H47" s="45"/>
      <c r="I47" s="45"/>
      <c r="J47" s="45"/>
      <c r="K47" s="3"/>
    </row>
    <row r="48" spans="1:11" x14ac:dyDescent="0.25">
      <c r="A48" t="s">
        <v>20</v>
      </c>
      <c r="C48" s="2">
        <f>C19/C15</f>
        <v>0.55027447371542981</v>
      </c>
      <c r="E48" s="2">
        <f t="shared" ref="E48:J48" si="12">E19/E15</f>
        <v>0.55027447371542981</v>
      </c>
      <c r="F48" s="2">
        <f t="shared" si="12"/>
        <v>0.52165223669019112</v>
      </c>
      <c r="G48" s="2">
        <f t="shared" si="12"/>
        <v>0.51216439134060643</v>
      </c>
      <c r="H48" s="2">
        <f t="shared" si="12"/>
        <v>0.50284911154915835</v>
      </c>
      <c r="I48" s="2">
        <f t="shared" si="12"/>
        <v>0.49370325868207299</v>
      </c>
      <c r="J48" s="2">
        <f t="shared" si="12"/>
        <v>0.48472375119125505</v>
      </c>
      <c r="K48" s="2"/>
    </row>
    <row r="49" spans="1:11" x14ac:dyDescent="0.25">
      <c r="A49" t="s">
        <v>21</v>
      </c>
      <c r="C49" s="2">
        <f>C20/C17</f>
        <v>0.23105301907042178</v>
      </c>
      <c r="E49" s="2">
        <f t="shared" ref="E49:J49" si="13">E20/E17</f>
        <v>0.23105301907042178</v>
      </c>
      <c r="F49" s="2">
        <f t="shared" si="13"/>
        <v>0.22706797609004156</v>
      </c>
      <c r="G49" s="2">
        <f t="shared" si="13"/>
        <v>0.22293804873718523</v>
      </c>
      <c r="H49" s="2">
        <f t="shared" si="13"/>
        <v>0.21888323677591151</v>
      </c>
      <c r="I49" s="2">
        <f t="shared" si="13"/>
        <v>0.21490217400251493</v>
      </c>
      <c r="J49" s="2">
        <f t="shared" si="13"/>
        <v>0.2109935190618934</v>
      </c>
      <c r="K49" s="2"/>
    </row>
    <row r="50" spans="1:11" x14ac:dyDescent="0.25">
      <c r="A50" t="s">
        <v>78</v>
      </c>
      <c r="C50" s="2">
        <f>(C20+C19)/SUM(C11:C20)</f>
        <v>0.17414014394431168</v>
      </c>
      <c r="E50" s="2">
        <f t="shared" ref="E50:J50" si="14">(E20+E19)/SUM(E11:E20)</f>
        <v>0.17414014394431168</v>
      </c>
      <c r="F50" s="2">
        <f t="shared" si="14"/>
        <v>0.16749281279706807</v>
      </c>
      <c r="G50" s="2">
        <f t="shared" si="14"/>
        <v>0.16516551543841215</v>
      </c>
      <c r="H50" s="2">
        <f t="shared" si="14"/>
        <v>0.16286066055981832</v>
      </c>
      <c r="I50" s="2">
        <f t="shared" si="14"/>
        <v>0.16057830775067677</v>
      </c>
      <c r="J50" s="2">
        <f t="shared" si="14"/>
        <v>0.1583185079358036</v>
      </c>
      <c r="K50" s="2"/>
    </row>
    <row r="52" spans="1:11" x14ac:dyDescent="0.25">
      <c r="A52" s="49" t="s">
        <v>89</v>
      </c>
      <c r="C52" s="3" t="e">
        <f>(B6+B7+B8+#REF!)/B21</f>
        <v>#REF!</v>
      </c>
      <c r="E52" s="3" t="e">
        <f>(E6+E7+E8+#REF!)/E21</f>
        <v>#REF!</v>
      </c>
      <c r="F52" s="3" t="e">
        <f>(F6+F7+F8+#REF!)/F21</f>
        <v>#REF!</v>
      </c>
      <c r="G52" s="3" t="e">
        <f>(G6+G7+G8+#REF!)/G21</f>
        <v>#REF!</v>
      </c>
      <c r="H52" s="3" t="e">
        <f>(H6+H7+H8+#REF!)/H21</f>
        <v>#REF!</v>
      </c>
      <c r="I52" s="3" t="e">
        <f>(I6+I7+I8+#REF!)/I21</f>
        <v>#REF!</v>
      </c>
      <c r="J52" s="3" t="e">
        <f>(J6+J7+J8+#REF!)/J21</f>
        <v>#REF!</v>
      </c>
    </row>
    <row r="53" spans="1:11" x14ac:dyDescent="0.25">
      <c r="A53" t="s">
        <v>45</v>
      </c>
      <c r="C53" s="1">
        <f>SUM(C11:C17)</f>
        <v>26810357.133910175</v>
      </c>
      <c r="E53" s="1">
        <f t="shared" ref="E53:J53" si="15">SUM(E11:E17)</f>
        <v>26810357.133910175</v>
      </c>
      <c r="F53" s="1">
        <f t="shared" si="15"/>
        <v>27244940.816560172</v>
      </c>
      <c r="G53" s="1">
        <f t="shared" si="15"/>
        <v>27711718.699856263</v>
      </c>
      <c r="H53" s="1">
        <f t="shared" si="15"/>
        <v>28187143.64344041</v>
      </c>
      <c r="I53" s="1">
        <f t="shared" si="15"/>
        <v>28671375.834104456</v>
      </c>
      <c r="J53" s="1">
        <f t="shared" si="15"/>
        <v>29164578.426100552</v>
      </c>
      <c r="K53" s="1"/>
    </row>
    <row r="54" spans="1:11" x14ac:dyDescent="0.25">
      <c r="F54" s="8">
        <f>(F53/E53)-1</f>
        <v>1.6209544709881119E-2</v>
      </c>
      <c r="G54" s="8">
        <f t="shared" ref="G54:I54" si="16">(G53/F53)-1</f>
        <v>1.7132644421542276E-2</v>
      </c>
      <c r="H54" s="8">
        <f t="shared" si="16"/>
        <v>1.7156097343995258E-2</v>
      </c>
      <c r="I54" s="8">
        <f t="shared" si="16"/>
        <v>1.7179186255600998E-2</v>
      </c>
      <c r="J54" s="8">
        <f>(J53/H53)-1</f>
        <v>3.4676616936587079E-2</v>
      </c>
    </row>
    <row r="55" spans="1:11" x14ac:dyDescent="0.25">
      <c r="A55" s="7" t="s">
        <v>74</v>
      </c>
      <c r="C55" s="1">
        <f>SUM(B6:B9)</f>
        <v>34084035.170000002</v>
      </c>
      <c r="E55" s="1">
        <f t="shared" ref="E55:J55" si="17">SUM(E6:E9)</f>
        <v>34084035.170000002</v>
      </c>
      <c r="F55" s="1">
        <f t="shared" si="17"/>
        <v>34340620.42503161</v>
      </c>
      <c r="G55" s="1">
        <f t="shared" si="17"/>
        <v>35173837.636142425</v>
      </c>
      <c r="H55" s="1">
        <f t="shared" si="17"/>
        <v>36027719.937312894</v>
      </c>
      <c r="I55" s="1">
        <f t="shared" si="17"/>
        <v>36902789.254673727</v>
      </c>
      <c r="J55" s="1">
        <f t="shared" si="17"/>
        <v>37799580.889123559</v>
      </c>
    </row>
    <row r="56" spans="1:11" x14ac:dyDescent="0.25">
      <c r="A56" s="7"/>
      <c r="E56" s="8">
        <f>(E55/C55)-1</f>
        <v>0</v>
      </c>
      <c r="F56" s="8">
        <f>(F55/E55)-1</f>
        <v>7.5280187264168408E-3</v>
      </c>
      <c r="G56" s="8">
        <f t="shared" ref="G56:I56" si="18">(G55/F55)-1</f>
        <v>2.4263312683292959E-2</v>
      </c>
      <c r="H56" s="8">
        <f t="shared" si="18"/>
        <v>2.4276063078572774E-2</v>
      </c>
      <c r="I56" s="8">
        <f t="shared" si="18"/>
        <v>2.4288778720480408E-2</v>
      </c>
      <c r="J56" s="8">
        <f>(J55/H55)-1</f>
        <v>4.9180490880179173E-2</v>
      </c>
    </row>
    <row r="57" spans="1:11" x14ac:dyDescent="0.25">
      <c r="A57" s="7" t="s">
        <v>75</v>
      </c>
      <c r="C57" s="1">
        <f>SUM(C11:C20)</f>
        <v>32867085.500000004</v>
      </c>
      <c r="E57" s="1">
        <f t="shared" ref="E57:J57" si="19">SUM(E11:E20)</f>
        <v>32867085.500000004</v>
      </c>
      <c r="F57" s="1">
        <f t="shared" si="19"/>
        <v>33126669.18265</v>
      </c>
      <c r="G57" s="1">
        <f t="shared" si="19"/>
        <v>33593447.065946087</v>
      </c>
      <c r="H57" s="1">
        <f t="shared" si="19"/>
        <v>34068872.009530239</v>
      </c>
      <c r="I57" s="1">
        <f t="shared" si="19"/>
        <v>34553104.200194284</v>
      </c>
      <c r="J57" s="1">
        <f t="shared" si="19"/>
        <v>35046306.79219038</v>
      </c>
    </row>
    <row r="58" spans="1:11" x14ac:dyDescent="0.25">
      <c r="A58" s="7"/>
      <c r="E58" s="8">
        <f>(E57/C57)-1</f>
        <v>0</v>
      </c>
      <c r="F58" s="8">
        <f>(F57/E57)-1</f>
        <v>7.8979830033909515E-3</v>
      </c>
      <c r="G58" s="8">
        <f t="shared" ref="G58:I58" si="20">(G57/F57)-1</f>
        <v>1.4090697761444781E-2</v>
      </c>
      <c r="H58" s="8">
        <f t="shared" si="20"/>
        <v>1.4152311986646238E-2</v>
      </c>
      <c r="I58" s="8">
        <f t="shared" si="20"/>
        <v>1.4213332056564498E-2</v>
      </c>
      <c r="J58" s="8">
        <f t="shared" ref="J58" si="21">(J57/H57)-1</f>
        <v>2.8689966089476604E-2</v>
      </c>
      <c r="K58" s="4"/>
    </row>
    <row r="59" spans="1:11" x14ac:dyDescent="0.25">
      <c r="A59" s="7" t="s">
        <v>76</v>
      </c>
      <c r="C59" s="1">
        <f>C57-C55</f>
        <v>-1216949.6699999981</v>
      </c>
      <c r="E59" s="1">
        <f>E57-E55</f>
        <v>-1216949.6699999981</v>
      </c>
      <c r="F59" s="1">
        <f t="shared" ref="F59:J59" si="22">F57-F55</f>
        <v>-1213951.24238161</v>
      </c>
      <c r="G59" s="1">
        <f t="shared" si="22"/>
        <v>-1580390.570196338</v>
      </c>
      <c r="H59" s="1">
        <f t="shared" si="22"/>
        <v>-1958847.9277826548</v>
      </c>
      <c r="I59" s="1">
        <f t="shared" si="22"/>
        <v>-2349685.0544794425</v>
      </c>
      <c r="J59" s="1">
        <f t="shared" si="22"/>
        <v>-2753274.0969331786</v>
      </c>
    </row>
    <row r="60" spans="1:11" x14ac:dyDescent="0.25">
      <c r="E60" s="8"/>
    </row>
    <row r="61" spans="1:11" x14ac:dyDescent="0.25">
      <c r="A61" s="29" t="s">
        <v>83</v>
      </c>
      <c r="B61" s="20"/>
      <c r="C61" s="33">
        <v>1100000</v>
      </c>
      <c r="D61" s="40" t="s">
        <v>81</v>
      </c>
      <c r="E61" s="2">
        <v>0.2</v>
      </c>
      <c r="F61" s="35">
        <f>L19</f>
        <v>0.86427695462846987</v>
      </c>
      <c r="G61" s="35">
        <f>F61*E61</f>
        <v>0.17285539092569399</v>
      </c>
    </row>
    <row r="62" spans="1:11" x14ac:dyDescent="0.25">
      <c r="A62" s="29" t="s">
        <v>84</v>
      </c>
      <c r="B62" s="12"/>
      <c r="C62" s="33">
        <v>400000</v>
      </c>
      <c r="D62" s="40" t="s">
        <v>82</v>
      </c>
      <c r="E62" s="2">
        <v>0.8</v>
      </c>
      <c r="F62" s="35">
        <v>0.5</v>
      </c>
      <c r="G62" s="35">
        <f>F62*E62</f>
        <v>0.4</v>
      </c>
    </row>
    <row r="63" spans="1:11" x14ac:dyDescent="0.25">
      <c r="G63" s="36">
        <f>SUM(G61:G62)</f>
        <v>0.57285539092569404</v>
      </c>
    </row>
    <row r="64" spans="1:11" ht="15.75" thickBot="1" x14ac:dyDescent="0.3"/>
    <row r="65" spans="1:11" ht="16.5" thickTop="1" thickBot="1" x14ac:dyDescent="0.3">
      <c r="A65" s="37" t="s">
        <v>90</v>
      </c>
      <c r="B65" s="38"/>
      <c r="C65" s="9"/>
      <c r="D65" s="44"/>
      <c r="E65" s="9"/>
      <c r="F65" s="54"/>
      <c r="G65" s="55"/>
      <c r="H65" s="38"/>
      <c r="I65" s="38"/>
      <c r="J65" s="38"/>
      <c r="K65" s="38"/>
    </row>
    <row r="66" spans="1:11" ht="15.75" thickTop="1" x14ac:dyDescent="0.25">
      <c r="F66" s="33">
        <v>500000</v>
      </c>
      <c r="G66" s="33">
        <v>500000</v>
      </c>
    </row>
    <row r="68" spans="1:11" x14ac:dyDescent="0.25">
      <c r="A68" t="s">
        <v>131</v>
      </c>
      <c r="C68" s="1">
        <f>C11+C13+C15+C17</f>
        <v>24762603.000000004</v>
      </c>
      <c r="E68" s="1">
        <f t="shared" ref="E68:J69" si="23">E11+E13+E15+E17</f>
        <v>24762603.000000004</v>
      </c>
      <c r="F68" s="1">
        <f t="shared" si="23"/>
        <v>25197186.68265</v>
      </c>
      <c r="G68" s="1">
        <f t="shared" si="23"/>
        <v>25663964.565946091</v>
      </c>
      <c r="H68" s="1">
        <f t="shared" si="23"/>
        <v>26139389.509530239</v>
      </c>
      <c r="I68" s="1">
        <f t="shared" si="23"/>
        <v>26623621.700194284</v>
      </c>
      <c r="J68" s="1">
        <f t="shared" si="23"/>
        <v>27116824.29219038</v>
      </c>
    </row>
    <row r="69" spans="1:11" x14ac:dyDescent="0.25">
      <c r="A69" t="s">
        <v>132</v>
      </c>
      <c r="C69" s="1">
        <f>C12+C14+C16+C18</f>
        <v>2381003.5</v>
      </c>
      <c r="E69" s="1">
        <f t="shared" si="23"/>
        <v>2381003.5</v>
      </c>
      <c r="F69" s="1">
        <f t="shared" si="23"/>
        <v>2381003.5</v>
      </c>
      <c r="G69" s="1">
        <f t="shared" si="23"/>
        <v>2381003.5</v>
      </c>
      <c r="H69" s="1">
        <f t="shared" si="23"/>
        <v>2381003.5</v>
      </c>
      <c r="I69" s="1">
        <f t="shared" si="23"/>
        <v>2381003.5</v>
      </c>
      <c r="J69" s="1">
        <f t="shared" si="23"/>
        <v>2381003.5</v>
      </c>
    </row>
    <row r="70" spans="1:11" x14ac:dyDescent="0.25">
      <c r="C70" s="1">
        <f>SUM(C68:C69)</f>
        <v>27143606.500000004</v>
      </c>
    </row>
    <row r="72" spans="1:11" x14ac:dyDescent="0.25">
      <c r="A72" t="s">
        <v>133</v>
      </c>
      <c r="F72" s="4">
        <f>F68-E68</f>
        <v>434583.68264999613</v>
      </c>
      <c r="G72" s="4">
        <f t="shared" ref="G72:I73" si="24">G68-F68</f>
        <v>466777.88329609111</v>
      </c>
      <c r="H72" s="4">
        <f t="shared" si="24"/>
        <v>475424.94358414784</v>
      </c>
      <c r="I72" s="4">
        <f t="shared" si="24"/>
        <v>484232.19066404551</v>
      </c>
      <c r="J72" s="4">
        <f>J68-H68</f>
        <v>977434.78266014159</v>
      </c>
    </row>
    <row r="73" spans="1:11" x14ac:dyDescent="0.25">
      <c r="F73" s="4">
        <f>F69-E69</f>
        <v>0</v>
      </c>
      <c r="G73" s="4">
        <f t="shared" si="24"/>
        <v>0</v>
      </c>
      <c r="H73" s="4">
        <f t="shared" si="24"/>
        <v>0</v>
      </c>
      <c r="I73" s="4">
        <f t="shared" si="24"/>
        <v>0</v>
      </c>
      <c r="J73" s="4">
        <f>J69-H69</f>
        <v>0</v>
      </c>
    </row>
  </sheetData>
  <phoneticPr fontId="2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opLeftCell="A61" workbookViewId="0">
      <selection activeCell="E83" sqref="E83"/>
    </sheetView>
  </sheetViews>
  <sheetFormatPr defaultColWidth="8.85546875" defaultRowHeight="15" x14ac:dyDescent="0.25"/>
  <cols>
    <col min="1" max="1" width="34.42578125" bestFit="1" customWidth="1"/>
    <col min="2" max="2" width="14.7109375" style="1" bestFit="1" customWidth="1"/>
    <col min="3" max="3" width="13.140625" bestFit="1" customWidth="1"/>
    <col min="4" max="4" width="12" bestFit="1" customWidth="1"/>
    <col min="5" max="5" width="27" bestFit="1" customWidth="1"/>
    <col min="6" max="6" width="15.7109375" bestFit="1" customWidth="1"/>
    <col min="7" max="7" width="13" customWidth="1"/>
    <col min="8" max="8" width="13.140625" bestFit="1" customWidth="1"/>
    <col min="9" max="9" width="11" bestFit="1" customWidth="1"/>
    <col min="10" max="10" width="10.42578125" bestFit="1" customWidth="1"/>
    <col min="11" max="11" width="19" bestFit="1" customWidth="1"/>
    <col min="12" max="12" width="10.42578125" bestFit="1" customWidth="1"/>
  </cols>
  <sheetData>
    <row r="1" spans="1:13" x14ac:dyDescent="0.25">
      <c r="A1" t="s">
        <v>7</v>
      </c>
      <c r="B1" s="1">
        <f>SUM([1]Bezoldigingen!$J$76:$K$76)</f>
        <v>9503322.2070870139</v>
      </c>
      <c r="D1" t="s">
        <v>46</v>
      </c>
      <c r="G1" s="13" t="s">
        <v>62</v>
      </c>
      <c r="H1" s="13"/>
      <c r="I1" s="14"/>
      <c r="L1" t="s">
        <v>67</v>
      </c>
      <c r="M1" t="s">
        <v>68</v>
      </c>
    </row>
    <row r="2" spans="1:13" x14ac:dyDescent="0.25">
      <c r="A2" t="s">
        <v>8</v>
      </c>
      <c r="B2" s="30">
        <f>B26-B1</f>
        <v>5661143</v>
      </c>
      <c r="E2" s="65" t="s">
        <v>128</v>
      </c>
      <c r="G2" s="14" t="s">
        <v>63</v>
      </c>
      <c r="H2" s="14"/>
      <c r="I2" s="17">
        <v>1.9E-2</v>
      </c>
      <c r="K2" t="s">
        <v>66</v>
      </c>
      <c r="L2">
        <v>119.87</v>
      </c>
      <c r="M2">
        <v>119.52</v>
      </c>
    </row>
    <row r="3" spans="1:13" x14ac:dyDescent="0.25">
      <c r="A3" s="65" t="s">
        <v>9</v>
      </c>
      <c r="B3" s="66">
        <f>[2]Detail!$N$380</f>
        <v>4413809.293602136</v>
      </c>
      <c r="C3" s="65"/>
      <c r="D3" s="65" t="s">
        <v>46</v>
      </c>
      <c r="G3" s="16">
        <v>0.9</v>
      </c>
      <c r="H3" s="16">
        <v>1</v>
      </c>
      <c r="I3" s="15">
        <f>G3*H3*$I$2</f>
        <v>1.7100000000000001E-2</v>
      </c>
      <c r="K3" t="s">
        <v>69</v>
      </c>
      <c r="L3">
        <v>116.96</v>
      </c>
      <c r="M3">
        <v>116.7</v>
      </c>
    </row>
    <row r="4" spans="1:13" x14ac:dyDescent="0.25">
      <c r="A4" s="65" t="s">
        <v>10</v>
      </c>
      <c r="B4" s="67">
        <f>B27-B3</f>
        <v>1684798.7702692235</v>
      </c>
      <c r="C4" s="65"/>
      <c r="D4" s="65"/>
      <c r="G4" s="16">
        <v>0.1</v>
      </c>
      <c r="H4" s="16">
        <v>0.75</v>
      </c>
      <c r="I4" s="15">
        <f>G4*H4*$I$2</f>
        <v>1.4250000000000003E-3</v>
      </c>
      <c r="K4" t="s">
        <v>70</v>
      </c>
      <c r="L4" s="8">
        <f>(L2/L3)-1</f>
        <v>2.4880300957592416E-2</v>
      </c>
      <c r="M4" s="8">
        <f>(M2/M3)-1</f>
        <v>2.416452442159378E-2</v>
      </c>
    </row>
    <row r="5" spans="1:13" x14ac:dyDescent="0.25">
      <c r="A5" t="s">
        <v>0</v>
      </c>
      <c r="B5" s="1">
        <f>B36+B37</f>
        <v>7418816.0603905004</v>
      </c>
      <c r="D5" t="s">
        <v>46</v>
      </c>
      <c r="G5" s="14"/>
      <c r="H5" s="14"/>
      <c r="I5" s="17">
        <f>SUM(I3:I4)</f>
        <v>1.8525E-2</v>
      </c>
    </row>
    <row r="6" spans="1:13" x14ac:dyDescent="0.25">
      <c r="A6" t="s">
        <v>1</v>
      </c>
      <c r="B6" s="1">
        <f>B29+B28-B5</f>
        <v>2541426.2134123668</v>
      </c>
      <c r="G6" s="14"/>
      <c r="H6" s="14"/>
      <c r="I6" s="14"/>
    </row>
    <row r="7" spans="1:13" x14ac:dyDescent="0.25">
      <c r="A7" t="s">
        <v>2</v>
      </c>
      <c r="B7" s="1">
        <f>B32+B33</f>
        <v>616800</v>
      </c>
      <c r="G7" s="14"/>
      <c r="H7" s="14"/>
      <c r="I7" s="14"/>
    </row>
    <row r="8" spans="1:13" x14ac:dyDescent="0.25">
      <c r="A8" t="s">
        <v>3</v>
      </c>
      <c r="B8" s="1">
        <f>SUM(B39:B40)</f>
        <v>1589643.3689203481</v>
      </c>
      <c r="D8" t="s">
        <v>46</v>
      </c>
      <c r="G8" s="14"/>
      <c r="H8" s="14"/>
      <c r="I8" s="14"/>
    </row>
    <row r="9" spans="1:13" x14ac:dyDescent="0.25">
      <c r="A9" t="s">
        <v>4</v>
      </c>
      <c r="B9" s="1">
        <f>C31-B7-B8</f>
        <v>1482698.0163184097</v>
      </c>
      <c r="E9" s="4">
        <f>SUM(B7:B9)</f>
        <v>3689141.3852387578</v>
      </c>
      <c r="G9" s="14"/>
      <c r="H9" s="14"/>
      <c r="I9" s="14"/>
    </row>
    <row r="10" spans="1:13" x14ac:dyDescent="0.25">
      <c r="A10" t="s">
        <v>5</v>
      </c>
      <c r="C10" s="1">
        <f>'[3]Globaal nieuwe voorstelling'!C2</f>
        <v>3689000</v>
      </c>
      <c r="G10" s="14"/>
      <c r="H10" s="14"/>
      <c r="I10" s="14"/>
    </row>
    <row r="11" spans="1:13" x14ac:dyDescent="0.25">
      <c r="C11" s="1"/>
      <c r="G11" s="14"/>
      <c r="H11" s="14"/>
      <c r="I11" s="14"/>
    </row>
    <row r="12" spans="1:13" x14ac:dyDescent="0.25">
      <c r="A12" t="s">
        <v>6</v>
      </c>
      <c r="C12" s="1">
        <f>'[3]Globaal nieuwe voorstelling'!E3</f>
        <v>9960000</v>
      </c>
      <c r="G12" s="14"/>
      <c r="H12" s="14"/>
      <c r="I12" s="14"/>
    </row>
    <row r="13" spans="1:13" x14ac:dyDescent="0.25">
      <c r="C13" s="1"/>
      <c r="G13" s="14"/>
      <c r="H13" s="14"/>
      <c r="I13" s="14"/>
    </row>
    <row r="14" spans="1:13" x14ac:dyDescent="0.25">
      <c r="A14" t="s">
        <v>11</v>
      </c>
      <c r="C14" s="1">
        <f>'[3]Globaal nieuwe voorstelling'!G4</f>
        <v>9719000</v>
      </c>
      <c r="G14" s="14"/>
      <c r="H14" s="14"/>
      <c r="I14" s="14"/>
    </row>
    <row r="15" spans="1:13" x14ac:dyDescent="0.25">
      <c r="C15" s="1"/>
      <c r="G15" s="14"/>
      <c r="H15" s="14"/>
      <c r="I15" s="14"/>
    </row>
    <row r="16" spans="1:13" x14ac:dyDescent="0.25">
      <c r="A16" t="s">
        <v>12</v>
      </c>
      <c r="C16" s="1">
        <f>'[3]Globaal nieuwe voorstelling'!I5</f>
        <v>3421000</v>
      </c>
      <c r="G16" s="14"/>
      <c r="H16" s="14"/>
      <c r="I16" s="14"/>
    </row>
    <row r="17" spans="1:18" x14ac:dyDescent="0.25">
      <c r="C17" s="1"/>
      <c r="G17" s="14"/>
      <c r="H17" s="14"/>
      <c r="I17" s="14"/>
    </row>
    <row r="18" spans="1:18" x14ac:dyDescent="0.25">
      <c r="A18" t="s">
        <v>13</v>
      </c>
      <c r="C18" s="1">
        <f>'[3]Globaal nieuwe voorstelling'!G6</f>
        <v>4898000</v>
      </c>
    </row>
    <row r="19" spans="1:18" x14ac:dyDescent="0.25">
      <c r="A19" t="s">
        <v>14</v>
      </c>
      <c r="C19" s="1">
        <f>'[3]Globaal nieuwe voorstelling'!I7</f>
        <v>672000</v>
      </c>
    </row>
    <row r="20" spans="1:18" x14ac:dyDescent="0.25">
      <c r="B20" s="1">
        <f>SUM(B1:B19)</f>
        <v>34912456.93</v>
      </c>
      <c r="C20" s="1">
        <f>SUM(C10:C19)</f>
        <v>32359000</v>
      </c>
    </row>
    <row r="21" spans="1:18" x14ac:dyDescent="0.25">
      <c r="B21" s="1">
        <f>C20-B20</f>
        <v>-2553456.9299999997</v>
      </c>
    </row>
    <row r="22" spans="1:18" x14ac:dyDescent="0.25">
      <c r="L22">
        <v>2013</v>
      </c>
    </row>
    <row r="23" spans="1:18" x14ac:dyDescent="0.25">
      <c r="A23" t="s">
        <v>60</v>
      </c>
      <c r="C23" s="11">
        <f>[3]Blad1!$O$23</f>
        <v>20406750</v>
      </c>
      <c r="L23">
        <v>2013</v>
      </c>
      <c r="M23">
        <v>2014</v>
      </c>
      <c r="N23">
        <v>2015</v>
      </c>
      <c r="O23">
        <v>2016</v>
      </c>
      <c r="P23">
        <v>2017</v>
      </c>
      <c r="Q23">
        <v>2018</v>
      </c>
    </row>
    <row r="24" spans="1:18" x14ac:dyDescent="0.25">
      <c r="A24" t="s">
        <v>61</v>
      </c>
      <c r="C24" s="11">
        <f>[3]Blad1!$P$23</f>
        <v>6382240</v>
      </c>
      <c r="I24" s="14" t="s">
        <v>63</v>
      </c>
      <c r="J24" s="14"/>
      <c r="K24" s="17">
        <v>1.9E-2</v>
      </c>
      <c r="L24" s="8">
        <f>K24</f>
        <v>1.9E-2</v>
      </c>
      <c r="M24" s="8">
        <f>L24*(1+$K24)</f>
        <v>1.9360999999999996E-2</v>
      </c>
      <c r="N24" s="8">
        <f t="shared" ref="N24:Q24" si="0">M24*(1+$K24)</f>
        <v>1.9728858999999994E-2</v>
      </c>
      <c r="O24" s="8">
        <f t="shared" si="0"/>
        <v>2.0103707320999992E-2</v>
      </c>
      <c r="P24" s="8">
        <f t="shared" si="0"/>
        <v>2.0485677760098991E-2</v>
      </c>
      <c r="Q24" s="8">
        <f t="shared" si="0"/>
        <v>2.087490563754087E-2</v>
      </c>
    </row>
    <row r="25" spans="1:18" x14ac:dyDescent="0.25">
      <c r="I25" s="16">
        <v>0.9</v>
      </c>
      <c r="J25" s="16">
        <v>1</v>
      </c>
      <c r="K25" s="15">
        <f>I25*J25*$I$2</f>
        <v>1.7100000000000001E-2</v>
      </c>
      <c r="L25" s="8">
        <f t="shared" ref="L25:L27" si="1">K25</f>
        <v>1.7100000000000001E-2</v>
      </c>
      <c r="M25" s="8">
        <f t="shared" ref="M25:Q25" si="2">L25*(1+$K25)</f>
        <v>1.7392410000000001E-2</v>
      </c>
      <c r="N25" s="8">
        <f t="shared" si="2"/>
        <v>1.7689820210999997E-2</v>
      </c>
      <c r="O25" s="8">
        <f t="shared" si="2"/>
        <v>1.7992316136608094E-2</v>
      </c>
      <c r="P25" s="8">
        <f t="shared" si="2"/>
        <v>1.829998474254409E-2</v>
      </c>
      <c r="Q25" s="8">
        <f t="shared" si="2"/>
        <v>1.8612914481641592E-2</v>
      </c>
    </row>
    <row r="26" spans="1:18" x14ac:dyDescent="0.25">
      <c r="A26" t="s">
        <v>47</v>
      </c>
      <c r="B26" s="1">
        <f>[1]Totaal!$M$1+[1]Totaal!$M$2</f>
        <v>15164465.207087014</v>
      </c>
      <c r="I26" s="16">
        <v>0.1</v>
      </c>
      <c r="J26" s="16">
        <v>0.75</v>
      </c>
      <c r="K26" s="15">
        <f>I26*J26*$I$2</f>
        <v>1.4250000000000003E-3</v>
      </c>
      <c r="L26" s="8">
        <f t="shared" si="1"/>
        <v>1.4250000000000003E-3</v>
      </c>
      <c r="M26" s="8">
        <f t="shared" ref="M26:Q26" si="3">L26*(1+$K26)</f>
        <v>1.4270306250000002E-3</v>
      </c>
      <c r="N26" s="8">
        <f t="shared" si="3"/>
        <v>1.4290641436406253E-3</v>
      </c>
      <c r="O26" s="8">
        <f t="shared" si="3"/>
        <v>1.4311005600453131E-3</v>
      </c>
      <c r="P26" s="8">
        <f t="shared" si="3"/>
        <v>1.4331398783433778E-3</v>
      </c>
      <c r="Q26" s="8">
        <f t="shared" si="3"/>
        <v>1.4351821026700171E-3</v>
      </c>
    </row>
    <row r="27" spans="1:18" x14ac:dyDescent="0.25">
      <c r="A27" t="s">
        <v>48</v>
      </c>
      <c r="B27" s="1">
        <f>[2]Blad2!$B$3+[2]Blad2!$B$4</f>
        <v>6098608.0638713595</v>
      </c>
      <c r="C27" s="4">
        <f>SUM(B26:B27)</f>
        <v>21263073.270958371</v>
      </c>
      <c r="I27" s="14"/>
      <c r="J27" s="14"/>
      <c r="K27" s="17">
        <f>SUM(K25:K26)</f>
        <v>1.8525E-2</v>
      </c>
      <c r="L27" s="8">
        <f t="shared" si="1"/>
        <v>1.8525E-2</v>
      </c>
      <c r="M27" s="8">
        <f t="shared" ref="M27:Q27" si="4">L27*(1+$K27)</f>
        <v>1.8868175624999997E-2</v>
      </c>
      <c r="N27" s="8">
        <f t="shared" si="4"/>
        <v>1.9217708578453119E-2</v>
      </c>
      <c r="O27" s="8">
        <f t="shared" si="4"/>
        <v>1.957371662986896E-2</v>
      </c>
      <c r="P27" s="8">
        <f t="shared" si="4"/>
        <v>1.9936319730437281E-2</v>
      </c>
      <c r="Q27" s="8">
        <f t="shared" si="4"/>
        <v>2.0305640053443631E-2</v>
      </c>
    </row>
    <row r="28" spans="1:18" x14ac:dyDescent="0.25">
      <c r="A28" t="s">
        <v>49</v>
      </c>
      <c r="B28" s="1">
        <f>[1]Totaal!$M$4+[1]Totaal!$M$5+[1]Totaal!$M$6</f>
        <v>7700607.3610680522</v>
      </c>
      <c r="L28" s="45">
        <f>L27/L24</f>
        <v>0.97499999999999998</v>
      </c>
      <c r="M28" s="45">
        <f t="shared" ref="M28:O28" si="5">M27/M24</f>
        <v>0.97454551030421988</v>
      </c>
      <c r="N28" s="45">
        <f t="shared" si="5"/>
        <v>0.97409123246575613</v>
      </c>
      <c r="O28" s="45">
        <f t="shared" si="5"/>
        <v>0.97363716638585296</v>
      </c>
      <c r="Q28" s="8">
        <f>((1+K27)^5)-1</f>
        <v>9.6120920563758983E-2</v>
      </c>
      <c r="R28" t="s">
        <v>85</v>
      </c>
    </row>
    <row r="29" spans="1:18" x14ac:dyDescent="0.25">
      <c r="A29" t="s">
        <v>50</v>
      </c>
      <c r="B29" s="66">
        <f>[2]Blad2!$B$6+[2]Blad2!$B$7+[2]Blad2!$B$8</f>
        <v>2259634.9127348149</v>
      </c>
      <c r="C29" s="4">
        <f>SUM(B28:B29)</f>
        <v>9960242.2738028672</v>
      </c>
    </row>
    <row r="30" spans="1:18" x14ac:dyDescent="0.25">
      <c r="A30" t="s">
        <v>53</v>
      </c>
      <c r="B30" s="1">
        <f>[1]Totaal!$M$3</f>
        <v>2987470.4318449325</v>
      </c>
    </row>
    <row r="31" spans="1:18" x14ac:dyDescent="0.25">
      <c r="A31" t="s">
        <v>91</v>
      </c>
      <c r="B31" s="1">
        <f>[2]Blad2!$B$5</f>
        <v>701670.95339382545</v>
      </c>
      <c r="C31" s="4">
        <f>SUM(B30:B31)</f>
        <v>3689141.3852387578</v>
      </c>
    </row>
    <row r="32" spans="1:18" x14ac:dyDescent="0.25">
      <c r="A32" t="s">
        <v>52</v>
      </c>
      <c r="B32" s="1">
        <f>'[1]goederen en diensten'!$E$21</f>
        <v>480000</v>
      </c>
    </row>
    <row r="33" spans="1:3" x14ac:dyDescent="0.25">
      <c r="A33" t="s">
        <v>51</v>
      </c>
      <c r="B33" s="1">
        <f>[2]Detail!$K$68+[2]Detail!$K$69</f>
        <v>136800</v>
      </c>
      <c r="C33" s="4"/>
    </row>
    <row r="34" spans="1:3" x14ac:dyDescent="0.25">
      <c r="C34" s="4">
        <f>SUM(C31,C29,C27)</f>
        <v>34912456.929999992</v>
      </c>
    </row>
    <row r="35" spans="1:3" x14ac:dyDescent="0.25">
      <c r="C35" s="4">
        <f>C34-B20</f>
        <v>0</v>
      </c>
    </row>
    <row r="36" spans="1:3" x14ac:dyDescent="0.25">
      <c r="A36" t="s">
        <v>54</v>
      </c>
      <c r="B36" s="1">
        <f>SUM([1]Bezoldigingen!$M$76:$O$76)</f>
        <v>5814507.3610680522</v>
      </c>
    </row>
    <row r="37" spans="1:3" x14ac:dyDescent="0.25">
      <c r="A37" t="s">
        <v>55</v>
      </c>
      <c r="B37" s="66">
        <f>[2]Detail!$Q$377+[2]Detail!$S$377</f>
        <v>1604308.6993224483</v>
      </c>
    </row>
    <row r="39" spans="1:3" x14ac:dyDescent="0.25">
      <c r="A39" t="s">
        <v>56</v>
      </c>
      <c r="B39" s="1">
        <f>[1]Bezoldigingen!$L$76</f>
        <v>1320170.4318449325</v>
      </c>
    </row>
    <row r="40" spans="1:3" x14ac:dyDescent="0.25">
      <c r="A40" t="s">
        <v>57</v>
      </c>
      <c r="B40" s="66">
        <f>[2]Detail!$P$377</f>
        <v>269472.93707541557</v>
      </c>
    </row>
    <row r="42" spans="1:3" x14ac:dyDescent="0.25">
      <c r="A42" t="s">
        <v>58</v>
      </c>
      <c r="B42" s="1">
        <f>[1]Totaal!$M$3</f>
        <v>2987470.4318449325</v>
      </c>
    </row>
    <row r="43" spans="1:3" x14ac:dyDescent="0.25">
      <c r="A43" t="s">
        <v>59</v>
      </c>
      <c r="B43" s="1">
        <f>B31</f>
        <v>701670.95339382545</v>
      </c>
      <c r="C43" s="4">
        <f>SUM(B42:B43)</f>
        <v>3689141.3852387578</v>
      </c>
    </row>
    <row r="45" spans="1:3" x14ac:dyDescent="0.25">
      <c r="A45" t="s">
        <v>64</v>
      </c>
      <c r="B45" s="1">
        <f>C14+C18-B26</f>
        <v>-547465.20708701387</v>
      </c>
    </row>
    <row r="46" spans="1:3" x14ac:dyDescent="0.25">
      <c r="A46" t="s">
        <v>65</v>
      </c>
      <c r="B46" s="1">
        <f>C16+C19-B27</f>
        <v>-2005608.0638713595</v>
      </c>
    </row>
    <row r="50" spans="1:4" x14ac:dyDescent="0.25">
      <c r="B50" s="1" t="s">
        <v>94</v>
      </c>
      <c r="C50" t="s">
        <v>95</v>
      </c>
      <c r="D50" t="s">
        <v>96</v>
      </c>
    </row>
    <row r="51" spans="1:4" x14ac:dyDescent="0.25">
      <c r="A51" t="s">
        <v>2</v>
      </c>
      <c r="B51" s="1">
        <f>B32</f>
        <v>480000</v>
      </c>
      <c r="C51" s="4">
        <f>ROUND(B33,-3)</f>
        <v>137000</v>
      </c>
      <c r="D51" s="4">
        <f>SUM(B51:C51)</f>
        <v>617000</v>
      </c>
    </row>
    <row r="52" spans="1:4" x14ac:dyDescent="0.25">
      <c r="A52" t="s">
        <v>3</v>
      </c>
      <c r="B52" s="1">
        <f>ROUND(B39,-3)</f>
        <v>1320000</v>
      </c>
      <c r="C52" s="4">
        <f>ROUND(B40,-3)</f>
        <v>269000</v>
      </c>
      <c r="D52" s="4">
        <f t="shared" ref="D52:D54" si="6">SUM(B52:C52)</f>
        <v>1589000</v>
      </c>
    </row>
    <row r="53" spans="1:4" x14ac:dyDescent="0.25">
      <c r="A53" t="s">
        <v>4</v>
      </c>
      <c r="B53" s="1">
        <f>ROUND(B42,-3)-SUM(B51:B52)</f>
        <v>1187000</v>
      </c>
      <c r="C53" s="4">
        <f>ROUND(B43,-3)-SUM(C51:C52)</f>
        <v>296000</v>
      </c>
      <c r="D53" s="4">
        <f t="shared" si="6"/>
        <v>1483000</v>
      </c>
    </row>
    <row r="54" spans="1:4" x14ac:dyDescent="0.25">
      <c r="A54" s="7" t="s">
        <v>97</v>
      </c>
      <c r="B54" s="1">
        <f>SUM(B51:B53)</f>
        <v>2987000</v>
      </c>
      <c r="C54" s="1">
        <f>SUM(C51:C53)</f>
        <v>702000</v>
      </c>
      <c r="D54" s="4">
        <f t="shared" si="6"/>
        <v>3689000</v>
      </c>
    </row>
    <row r="56" spans="1:4" x14ac:dyDescent="0.25">
      <c r="A56" s="7" t="s">
        <v>5</v>
      </c>
      <c r="D56" s="4">
        <f>D54</f>
        <v>3689000</v>
      </c>
    </row>
    <row r="59" spans="1:4" x14ac:dyDescent="0.25">
      <c r="B59" s="40" t="s">
        <v>94</v>
      </c>
      <c r="C59" s="5" t="s">
        <v>95</v>
      </c>
      <c r="D59" s="5" t="s">
        <v>96</v>
      </c>
    </row>
    <row r="60" spans="1:4" x14ac:dyDescent="0.25">
      <c r="A60" t="s">
        <v>98</v>
      </c>
      <c r="B60" s="40">
        <f>ROUND(B28,-3)-B61</f>
        <v>1886000</v>
      </c>
      <c r="C60" s="58">
        <f>ROUND(B29,-3)-C61</f>
        <v>656000</v>
      </c>
      <c r="D60" s="58">
        <f>SUM(B60:C60)</f>
        <v>2542000</v>
      </c>
    </row>
    <row r="61" spans="1:4" x14ac:dyDescent="0.25">
      <c r="A61" t="s">
        <v>99</v>
      </c>
      <c r="B61" s="40">
        <f>ROUND(B36,-3)</f>
        <v>5815000</v>
      </c>
      <c r="C61" s="58">
        <f>ROUND(B37,-3)</f>
        <v>1604000</v>
      </c>
      <c r="D61" s="58">
        <f>SUM(B61:C61)</f>
        <v>7419000</v>
      </c>
    </row>
    <row r="62" spans="1:4" x14ac:dyDescent="0.25">
      <c r="B62" s="40">
        <f>SUM(B60:B61)</f>
        <v>7701000</v>
      </c>
      <c r="C62" s="40">
        <f t="shared" ref="C62:D62" si="7">SUM(C60:C61)</f>
        <v>2260000</v>
      </c>
      <c r="D62" s="40">
        <f t="shared" si="7"/>
        <v>9961000</v>
      </c>
    </row>
    <row r="63" spans="1:4" x14ac:dyDescent="0.25">
      <c r="B63" s="40"/>
      <c r="C63" s="5"/>
      <c r="D63" s="5"/>
    </row>
    <row r="64" spans="1:4" x14ac:dyDescent="0.25">
      <c r="A64" s="7" t="s">
        <v>100</v>
      </c>
      <c r="B64" s="40"/>
      <c r="C64" s="5"/>
      <c r="D64" s="58">
        <f>D62</f>
        <v>9961000</v>
      </c>
    </row>
    <row r="67" spans="1:3" x14ac:dyDescent="0.25">
      <c r="C67" t="s">
        <v>95</v>
      </c>
    </row>
    <row r="68" spans="1:3" x14ac:dyDescent="0.25">
      <c r="A68" t="s">
        <v>107</v>
      </c>
      <c r="C68" s="4">
        <v>3813000</v>
      </c>
    </row>
    <row r="69" spans="1:3" x14ac:dyDescent="0.25">
      <c r="A69" t="s">
        <v>108</v>
      </c>
      <c r="C69" s="4">
        <v>2285000</v>
      </c>
    </row>
    <row r="70" spans="1:3" x14ac:dyDescent="0.25">
      <c r="A70" s="7" t="s">
        <v>101</v>
      </c>
      <c r="C70" s="4">
        <f>SUM(C68:C69)</f>
        <v>6098000</v>
      </c>
    </row>
    <row r="72" spans="1:3" x14ac:dyDescent="0.25">
      <c r="A72" s="7" t="s">
        <v>102</v>
      </c>
      <c r="C72" s="4">
        <f>C16</f>
        <v>3421000</v>
      </c>
    </row>
    <row r="73" spans="1:3" x14ac:dyDescent="0.25">
      <c r="A73" s="7" t="s">
        <v>14</v>
      </c>
      <c r="C73" s="4">
        <f>C19</f>
        <v>672000</v>
      </c>
    </row>
    <row r="74" spans="1:3" x14ac:dyDescent="0.25">
      <c r="A74" s="7" t="s">
        <v>104</v>
      </c>
      <c r="C74" s="4">
        <f>C72+C73</f>
        <v>4093000</v>
      </c>
    </row>
    <row r="75" spans="1:3" x14ac:dyDescent="0.25">
      <c r="A75" s="7" t="s">
        <v>103</v>
      </c>
      <c r="C75" s="4">
        <f>C73+C72+-C70</f>
        <v>-2005000</v>
      </c>
    </row>
    <row r="77" spans="1:3" x14ac:dyDescent="0.25">
      <c r="B77" t="s">
        <v>94</v>
      </c>
    </row>
    <row r="78" spans="1:3" x14ac:dyDescent="0.25">
      <c r="A78" t="s">
        <v>107</v>
      </c>
      <c r="B78" s="4">
        <f>ROUND(B2,-3)</f>
        <v>5661000</v>
      </c>
    </row>
    <row r="79" spans="1:3" x14ac:dyDescent="0.25">
      <c r="A79" t="s">
        <v>108</v>
      </c>
      <c r="B79" s="4">
        <f>ROUND(B1,-3)</f>
        <v>9503000</v>
      </c>
    </row>
    <row r="80" spans="1:3" x14ac:dyDescent="0.25">
      <c r="A80" s="7" t="s">
        <v>105</v>
      </c>
      <c r="B80" s="4">
        <f>SUM(B78:B79)</f>
        <v>15164000</v>
      </c>
    </row>
    <row r="81" spans="1:10" x14ac:dyDescent="0.25">
      <c r="B81"/>
    </row>
    <row r="82" spans="1:10" x14ac:dyDescent="0.25">
      <c r="A82" s="7" t="s">
        <v>106</v>
      </c>
      <c r="B82" s="4">
        <f>ROUND(C14,-3)</f>
        <v>9719000</v>
      </c>
    </row>
    <row r="83" spans="1:10" x14ac:dyDescent="0.25">
      <c r="A83" s="7" t="s">
        <v>13</v>
      </c>
      <c r="B83" s="4">
        <f>C18</f>
        <v>4898000</v>
      </c>
    </row>
    <row r="84" spans="1:10" x14ac:dyDescent="0.25">
      <c r="A84" s="7" t="s">
        <v>104</v>
      </c>
      <c r="B84" s="4">
        <f>B82+B83</f>
        <v>14617000</v>
      </c>
    </row>
    <row r="85" spans="1:10" x14ac:dyDescent="0.25">
      <c r="A85" s="7" t="s">
        <v>103</v>
      </c>
      <c r="B85" s="4">
        <f>B83+B82+-B80</f>
        <v>-547000</v>
      </c>
    </row>
    <row r="87" spans="1:10" x14ac:dyDescent="0.25">
      <c r="A87" s="68" t="s">
        <v>115</v>
      </c>
      <c r="B87" s="69">
        <v>0.83389999999999997</v>
      </c>
      <c r="C87" s="69">
        <v>0.83389999999999997</v>
      </c>
    </row>
    <row r="88" spans="1:10" x14ac:dyDescent="0.25">
      <c r="A88" s="68" t="s">
        <v>116</v>
      </c>
      <c r="B88" s="69">
        <f>1-B87</f>
        <v>0.16610000000000003</v>
      </c>
      <c r="C88" s="69">
        <f>1-C87</f>
        <v>0.16610000000000003</v>
      </c>
    </row>
    <row r="91" spans="1:10" x14ac:dyDescent="0.25">
      <c r="A91" t="s">
        <v>125</v>
      </c>
      <c r="B91" s="1">
        <f>B83</f>
        <v>4898000</v>
      </c>
      <c r="E91" s="59" t="s">
        <v>121</v>
      </c>
      <c r="F91" s="59">
        <v>2013</v>
      </c>
      <c r="G91" s="59" t="s">
        <v>119</v>
      </c>
      <c r="H91" s="59"/>
    </row>
    <row r="92" spans="1:10" x14ac:dyDescent="0.25">
      <c r="A92" t="s">
        <v>126</v>
      </c>
      <c r="B92" s="1">
        <v>3581720</v>
      </c>
      <c r="C92" s="8">
        <f>B92/B91</f>
        <v>0.73126173948550433</v>
      </c>
      <c r="E92" s="59"/>
      <c r="F92" s="59"/>
      <c r="G92" s="62">
        <v>0.02</v>
      </c>
      <c r="H92" s="59"/>
    </row>
    <row r="93" spans="1:10" x14ac:dyDescent="0.25">
      <c r="E93" s="59"/>
      <c r="F93" s="59"/>
      <c r="G93" s="62">
        <f>G92*(90%*100%)</f>
        <v>1.8000000000000002E-2</v>
      </c>
      <c r="H93" s="59"/>
      <c r="I93" s="45"/>
      <c r="J93" t="s">
        <v>124</v>
      </c>
    </row>
    <row r="94" spans="1:10" x14ac:dyDescent="0.25">
      <c r="E94" s="59" t="s">
        <v>123</v>
      </c>
      <c r="F94" s="61">
        <f>B1</f>
        <v>9503322.2070870139</v>
      </c>
      <c r="G94" s="61">
        <f t="shared" ref="G94:G95" si="8">F94*$G$92</f>
        <v>190066.44414174027</v>
      </c>
      <c r="H94" s="61">
        <f t="shared" ref="H94:H95" si="9">SUM(F94:G94)</f>
        <v>9693388.6512287538</v>
      </c>
      <c r="I94">
        <f t="shared" ref="I94:I95" si="10">G94/$G$97</f>
        <v>0.5711876160383591</v>
      </c>
      <c r="J94" s="4">
        <f t="shared" ref="J94:J95" si="11">I94*$G$99</f>
        <v>143301.8338621677</v>
      </c>
    </row>
    <row r="95" spans="1:10" x14ac:dyDescent="0.25">
      <c r="E95" s="59" t="s">
        <v>54</v>
      </c>
      <c r="F95" s="60">
        <f>SUM([1]Bezoldigingen!$M$76:$O$76)</f>
        <v>5814507.3610680522</v>
      </c>
      <c r="G95" s="61">
        <f t="shared" si="8"/>
        <v>116290.14722136105</v>
      </c>
      <c r="H95" s="61">
        <f t="shared" si="9"/>
        <v>5930797.5082894135</v>
      </c>
      <c r="I95">
        <f t="shared" si="10"/>
        <v>0.34947511255897612</v>
      </c>
      <c r="J95" s="4">
        <f t="shared" si="11"/>
        <v>87677.714139246178</v>
      </c>
    </row>
    <row r="96" spans="1:10" x14ac:dyDescent="0.25">
      <c r="E96" s="59" t="s">
        <v>3</v>
      </c>
      <c r="F96" s="60">
        <f>B52</f>
        <v>1320000</v>
      </c>
      <c r="G96" s="61">
        <f>F96*$G$92</f>
        <v>26400</v>
      </c>
      <c r="H96" s="61">
        <f>SUM(F96:G96)</f>
        <v>1346400</v>
      </c>
      <c r="I96">
        <f>G96/$G$97</f>
        <v>7.9337271402664819E-2</v>
      </c>
      <c r="J96" s="4">
        <f>I96*$G$99</f>
        <v>19904.451998586163</v>
      </c>
    </row>
    <row r="97" spans="5:11" x14ac:dyDescent="0.25">
      <c r="E97" s="59"/>
      <c r="F97" s="61">
        <f>SUM(F94:F95)</f>
        <v>15317829.568155065</v>
      </c>
      <c r="G97" s="61">
        <f>SUM(G94:G96)</f>
        <v>332756.59136310132</v>
      </c>
      <c r="H97" s="61">
        <f>SUM(H94:H95)</f>
        <v>15624186.159518167</v>
      </c>
      <c r="I97">
        <f>SUM(I94:I96)</f>
        <v>1</v>
      </c>
      <c r="J97" s="4">
        <f>SUM(J94:J96)</f>
        <v>250884.00000000003</v>
      </c>
      <c r="K97" s="4">
        <f>G97-J97</f>
        <v>81872.591363101295</v>
      </c>
    </row>
    <row r="98" spans="5:11" x14ac:dyDescent="0.25">
      <c r="E98" s="59"/>
      <c r="F98" s="59"/>
      <c r="G98" s="59"/>
      <c r="H98" s="59"/>
    </row>
    <row r="99" spans="5:11" x14ac:dyDescent="0.25">
      <c r="E99" s="59" t="s">
        <v>120</v>
      </c>
      <c r="F99" s="60">
        <v>13938000</v>
      </c>
      <c r="G99" s="61">
        <f>F99*G93</f>
        <v>250884.00000000003</v>
      </c>
      <c r="H99" s="59"/>
    </row>
    <row r="100" spans="5:11" x14ac:dyDescent="0.25">
      <c r="E100" s="59"/>
      <c r="F100" s="59"/>
      <c r="G100" s="59"/>
      <c r="H100" s="59"/>
    </row>
    <row r="101" spans="5:11" x14ac:dyDescent="0.25">
      <c r="E101" s="59" t="s">
        <v>122</v>
      </c>
      <c r="F101" s="59"/>
      <c r="G101" s="61">
        <f>G99-G97</f>
        <v>-81872.591363101295</v>
      </c>
      <c r="H101" s="59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workbookViewId="0">
      <selection activeCell="O44" sqref="O44"/>
    </sheetView>
  </sheetViews>
  <sheetFormatPr defaultColWidth="8.85546875" defaultRowHeight="15" x14ac:dyDescent="0.25"/>
  <cols>
    <col min="1" max="1" width="29.7109375" bestFit="1" customWidth="1"/>
    <col min="2" max="2" width="14.7109375" bestFit="1" customWidth="1"/>
    <col min="3" max="11" width="13.140625" bestFit="1" customWidth="1"/>
  </cols>
  <sheetData>
    <row r="3" spans="1:7" x14ac:dyDescent="0.25">
      <c r="B3" s="5">
        <f>'Rekenblad front'!E5</f>
        <v>2013</v>
      </c>
      <c r="C3" s="5">
        <f>'Rekenblad front'!F5</f>
        <v>2014</v>
      </c>
      <c r="D3" s="5">
        <f>'Rekenblad front'!G5</f>
        <v>2015</v>
      </c>
      <c r="E3" s="5">
        <f>'Rekenblad front'!H5</f>
        <v>2016</v>
      </c>
      <c r="F3" s="5">
        <f>'Rekenblad front'!J5</f>
        <v>2018</v>
      </c>
      <c r="G3" s="5"/>
    </row>
    <row r="4" spans="1:7" x14ac:dyDescent="0.25">
      <c r="A4" t="s">
        <v>7</v>
      </c>
      <c r="B4" s="1">
        <f>'Rekenblad front'!E6</f>
        <v>9766637.0007801913</v>
      </c>
      <c r="C4" s="1">
        <f>'Rekenblad front'!F6</f>
        <v>9873867.4667348843</v>
      </c>
      <c r="D4" s="1">
        <f>'Rekenblad front'!G6</f>
        <v>10136512.341350032</v>
      </c>
      <c r="E4" s="1">
        <f>'Rekenblad front'!H6</f>
        <v>10406143.569629943</v>
      </c>
      <c r="F4" s="1">
        <f>'Rekenblad front'!J6</f>
        <v>10967113.378478382</v>
      </c>
      <c r="G4" s="1"/>
    </row>
    <row r="5" spans="1:7" x14ac:dyDescent="0.25">
      <c r="A5" t="s">
        <v>8</v>
      </c>
      <c r="B5" s="1">
        <f>'Rekenblad front'!E7</f>
        <v>5360277</v>
      </c>
      <c r="C5" s="1">
        <f>'Rekenblad front'!F7</f>
        <v>5456761.9860000005</v>
      </c>
      <c r="D5" s="1">
        <f>'Rekenblad front'!G7</f>
        <v>5560440.463734</v>
      </c>
      <c r="E5" s="1">
        <f>'Rekenblad front'!H7</f>
        <v>5666088.8325449452</v>
      </c>
      <c r="F5" s="1">
        <f>'Rekenblad front'!J7</f>
        <v>5883445.6662502</v>
      </c>
      <c r="G5" s="1"/>
    </row>
    <row r="6" spans="1:7" x14ac:dyDescent="0.25">
      <c r="A6" t="s">
        <v>9</v>
      </c>
      <c r="B6" s="1">
        <f>'Rekenblad front'!E8</f>
        <v>4103628.5467419843</v>
      </c>
      <c r="C6" s="1">
        <f>'Rekenblad front'!F8</f>
        <v>4210897.3969538203</v>
      </c>
      <c r="D6" s="1">
        <f>'Rekenblad front'!G8</f>
        <v>4325181.1523071462</v>
      </c>
      <c r="E6" s="1">
        <f>'Rekenblad front'!H8</f>
        <v>4442566.5687807621</v>
      </c>
      <c r="F6" s="1">
        <f>'Rekenblad front'!J8</f>
        <v>4686981.3860403867</v>
      </c>
      <c r="G6" s="1"/>
    </row>
    <row r="7" spans="1:7" x14ac:dyDescent="0.25">
      <c r="A7" t="s">
        <v>10</v>
      </c>
      <c r="B7" s="1">
        <f>'Rekenblad front'!E9</f>
        <v>1278519.5309361476</v>
      </c>
      <c r="C7" s="1">
        <f>'Rekenblad front'!F9</f>
        <v>1016532.8824929981</v>
      </c>
      <c r="D7" s="1">
        <f>'Rekenblad front'!G9</f>
        <v>1035847.0072603651</v>
      </c>
      <c r="E7" s="1">
        <f>'Rekenblad front'!H9</f>
        <v>1055528.1003983119</v>
      </c>
      <c r="F7" s="1">
        <f>'Rekenblad front'!J9</f>
        <v>1096019.2138576913</v>
      </c>
      <c r="G7" s="1"/>
    </row>
    <row r="8" spans="1:7" x14ac:dyDescent="0.25">
      <c r="A8" t="s">
        <v>0</v>
      </c>
      <c r="B8" s="1">
        <f>'Rekenblad front'!E10</f>
        <v>7533011.9563898016</v>
      </c>
      <c r="C8" s="1">
        <f>'Rekenblad front'!F10</f>
        <v>7639329.5922442023</v>
      </c>
      <c r="D8" s="1">
        <f>'Rekenblad front'!G10</f>
        <v>7843388.0335645266</v>
      </c>
      <c r="E8" s="1">
        <f>'Rekenblad front'!H10</f>
        <v>8052897.1949999193</v>
      </c>
      <c r="F8" s="1">
        <f>'Rekenblad front'!J10</f>
        <v>8488853.9563832153</v>
      </c>
      <c r="G8" s="1"/>
    </row>
    <row r="9" spans="1:7" x14ac:dyDescent="0.25">
      <c r="A9" t="s">
        <v>1</v>
      </c>
      <c r="B9" s="1">
        <f>'Rekenblad front'!E11</f>
        <v>2336900.9276157883</v>
      </c>
      <c r="C9" s="1">
        <f>'Rekenblad front'!F11</f>
        <v>2378965.1443128726</v>
      </c>
      <c r="D9" s="1">
        <f>'Rekenblad front'!G11</f>
        <v>2424165.482054817</v>
      </c>
      <c r="E9" s="1">
        <f>'Rekenblad front'!H11</f>
        <v>2470224.6262138584</v>
      </c>
      <c r="F9" s="1">
        <f>'Rekenblad front'!J11</f>
        <v>2564984.913100048</v>
      </c>
      <c r="G9" s="1"/>
    </row>
    <row r="10" spans="1:7" x14ac:dyDescent="0.25">
      <c r="A10" t="s">
        <v>2</v>
      </c>
      <c r="B10" s="1">
        <f>'Rekenblad front'!E12</f>
        <v>516800</v>
      </c>
      <c r="C10" s="1">
        <f>'Rekenblad front'!F12</f>
        <v>526102.4</v>
      </c>
      <c r="D10" s="1">
        <f>'Rekenblad front'!G12</f>
        <v>536098.3456</v>
      </c>
      <c r="E10" s="1">
        <f>'Rekenblad front'!H12</f>
        <v>546284.21416639991</v>
      </c>
      <c r="F10" s="1">
        <f>'Rekenblad front'!J12</f>
        <v>567240.22290603712</v>
      </c>
      <c r="G10" s="1"/>
    </row>
    <row r="11" spans="1:7" x14ac:dyDescent="0.25">
      <c r="A11" t="s">
        <v>3</v>
      </c>
      <c r="B11" s="1">
        <f>'Rekenblad front'!E13</f>
        <v>1607382.6660880218</v>
      </c>
      <c r="C11" s="1">
        <f>'Rekenblad front'!F13</f>
        <v>1628830.2190987021</v>
      </c>
      <c r="D11" s="1">
        <f>'Rekenblad front'!G13</f>
        <v>1672294.1396707208</v>
      </c>
      <c r="E11" s="1">
        <f>'Rekenblad front'!H13</f>
        <v>1716917.8572365206</v>
      </c>
      <c r="F11" s="1">
        <f>'Rekenblad front'!J13</f>
        <v>1809769.3018789808</v>
      </c>
      <c r="G11" s="1"/>
    </row>
    <row r="12" spans="1:7" x14ac:dyDescent="0.25">
      <c r="A12" t="s">
        <v>4</v>
      </c>
      <c r="B12" s="1">
        <f>'Rekenblad front'!E14</f>
        <v>1580877.5414480641</v>
      </c>
      <c r="C12" s="1">
        <f>'Rekenblad front'!F14</f>
        <v>1609333.3371941294</v>
      </c>
      <c r="D12" s="1">
        <f>'Rekenblad front'!G14</f>
        <v>1639910.6706008178</v>
      </c>
      <c r="E12" s="1">
        <f>'Rekenblad front'!H14</f>
        <v>1671068.9733422331</v>
      </c>
      <c r="F12" s="1">
        <f>'Rekenblad front'!J14</f>
        <v>1735172.8502286142</v>
      </c>
      <c r="G12" s="1"/>
    </row>
    <row r="13" spans="1:7" x14ac:dyDescent="0.25">
      <c r="A13" t="s">
        <v>5</v>
      </c>
      <c r="B13" s="1">
        <f>'Rekenblad front'!E16</f>
        <v>3380490.1324446434</v>
      </c>
      <c r="C13" s="1">
        <f>'Rekenblad front'!F16</f>
        <v>3439817.7342690467</v>
      </c>
      <c r="D13" s="1">
        <f>'Rekenblad front'!G16</f>
        <v>3503540.3577963803</v>
      </c>
      <c r="E13" s="1">
        <f>'Rekenblad front'!H16</f>
        <v>3568443.4429245577</v>
      </c>
      <c r="F13" s="1">
        <f>'Rekenblad front'!J16</f>
        <v>3701878.8752937149</v>
      </c>
      <c r="G13" s="1"/>
    </row>
    <row r="14" spans="1:7" x14ac:dyDescent="0.25">
      <c r="A14" t="s">
        <v>6</v>
      </c>
      <c r="B14" s="1">
        <f>'Rekenblad front'!E18</f>
        <v>9030618.1819668841</v>
      </c>
      <c r="C14" s="1">
        <f>'Rekenblad front'!F18</f>
        <v>9189105.5310604032</v>
      </c>
      <c r="D14" s="1">
        <f>'Rekenblad front'!G18</f>
        <v>9359333.7110232972</v>
      </c>
      <c r="E14" s="1">
        <f>'Rekenblad front'!H18</f>
        <v>9532715.3680200037</v>
      </c>
      <c r="F14" s="1">
        <f>'Rekenblad front'!J18</f>
        <v>9889173.8679595087</v>
      </c>
      <c r="G14" s="1"/>
    </row>
    <row r="15" spans="1:7" x14ac:dyDescent="0.25">
      <c r="A15" t="s">
        <v>11</v>
      </c>
      <c r="B15" s="1">
        <f>'Rekenblad front'!E20</f>
        <v>8989461.1440001708</v>
      </c>
      <c r="C15" s="1">
        <f>'Rekenblad front'!F20</f>
        <v>9147226.1870773733</v>
      </c>
      <c r="D15" s="1">
        <f>'Rekenblad front'!G20</f>
        <v>9316678.5521929804</v>
      </c>
      <c r="E15" s="1">
        <f>'Rekenblad front'!H20</f>
        <v>9489270.0223723538</v>
      </c>
      <c r="F15" s="1">
        <f>'Rekenblad front'!J20</f>
        <v>9844103.9628719687</v>
      </c>
      <c r="G15" s="1"/>
    </row>
    <row r="16" spans="1:7" x14ac:dyDescent="0.25">
      <c r="A16" t="s">
        <v>12</v>
      </c>
      <c r="B16" s="1">
        <f>'Rekenblad front'!E22</f>
        <v>3362033.5415883036</v>
      </c>
      <c r="C16" s="1">
        <f>'Rekenblad front'!F22</f>
        <v>3421037.2302431781</v>
      </c>
      <c r="D16" s="1">
        <f>'Rekenblad front'!G22</f>
        <v>3484411.9449334326</v>
      </c>
      <c r="E16" s="1">
        <f>'Rekenblad front'!H22</f>
        <v>3548960.6762133241</v>
      </c>
      <c r="F16" s="1">
        <f>'Rekenblad front'!J22</f>
        <v>3681667.5860651867</v>
      </c>
      <c r="G16" s="1"/>
    </row>
    <row r="17" spans="1:11" x14ac:dyDescent="0.25">
      <c r="A17" t="s">
        <v>13</v>
      </c>
      <c r="B17" s="1">
        <f>'Rekenblad front'!E24</f>
        <v>4946671</v>
      </c>
      <c r="C17" s="1">
        <f>'Rekenblad front'!F24</f>
        <v>4771671</v>
      </c>
      <c r="D17" s="1">
        <f>'Rekenblad front'!G24</f>
        <v>4771671</v>
      </c>
      <c r="E17" s="1">
        <f>'Rekenblad front'!H24</f>
        <v>4771671</v>
      </c>
      <c r="F17" s="1">
        <f>'Rekenblad front'!J24</f>
        <v>4771671</v>
      </c>
      <c r="G17" s="1"/>
    </row>
    <row r="18" spans="1:11" x14ac:dyDescent="0.25">
      <c r="A18" t="s">
        <v>14</v>
      </c>
      <c r="B18" s="1">
        <f>'Rekenblad front'!E25</f>
        <v>776808</v>
      </c>
      <c r="C18" s="1">
        <f>'Rekenblad front'!F25</f>
        <v>776808</v>
      </c>
      <c r="D18" s="1">
        <f>'Rekenblad front'!G25</f>
        <v>776808</v>
      </c>
      <c r="E18" s="1">
        <f>'Rekenblad front'!H25</f>
        <v>776808</v>
      </c>
      <c r="F18" s="1">
        <f>'Rekenblad front'!J25</f>
        <v>776808</v>
      </c>
      <c r="G18" s="1"/>
    </row>
    <row r="19" spans="1:11" x14ac:dyDescent="0.25">
      <c r="A19" t="s">
        <v>72</v>
      </c>
      <c r="B19" s="1">
        <f>-'Rekenblad front'!E31</f>
        <v>334892.49999999907</v>
      </c>
      <c r="C19" s="1">
        <f>-'Rekenblad front'!F31</f>
        <v>537261.02918973437</v>
      </c>
      <c r="D19" s="1">
        <f>-'Rekenblad front'!G31</f>
        <v>813836.15654387302</v>
      </c>
      <c r="E19" s="1">
        <f>-'Rekenblad front'!H31</f>
        <v>1099357.7773298873</v>
      </c>
      <c r="F19" s="1">
        <f>-'Rekenblad front'!J31</f>
        <v>1698316.0271632583</v>
      </c>
      <c r="G19" s="1"/>
    </row>
    <row r="20" spans="1:11" x14ac:dyDescent="0.25">
      <c r="A20" t="s">
        <v>73</v>
      </c>
      <c r="B20" s="1">
        <f>-'Rekenblad front'!E32</f>
        <v>910057.16999999946</v>
      </c>
      <c r="C20" s="1">
        <f>-'Rekenblad front'!F32</f>
        <v>691690.21319187235</v>
      </c>
      <c r="D20" s="1">
        <f>-'Rekenblad front'!G32</f>
        <v>781839.41365246125</v>
      </c>
      <c r="E20" s="1">
        <f>-'Rekenblad front'!H32</f>
        <v>875065.56545276521</v>
      </c>
      <c r="F20" s="1">
        <f>-'Rekenblad front'!J32</f>
        <v>1071130.9732647291</v>
      </c>
      <c r="G20" s="1"/>
    </row>
    <row r="23" spans="1:11" x14ac:dyDescent="0.25">
      <c r="B23" s="5" t="s">
        <v>25</v>
      </c>
      <c r="C23" t="s">
        <v>30</v>
      </c>
      <c r="D23" s="5" t="s">
        <v>26</v>
      </c>
      <c r="E23" t="s">
        <v>31</v>
      </c>
      <c r="F23" s="5" t="s">
        <v>27</v>
      </c>
      <c r="G23" t="s">
        <v>32</v>
      </c>
      <c r="H23" s="5" t="s">
        <v>28</v>
      </c>
      <c r="I23" t="s">
        <v>33</v>
      </c>
      <c r="J23" s="5" t="s">
        <v>29</v>
      </c>
      <c r="K23" t="s">
        <v>34</v>
      </c>
    </row>
    <row r="24" spans="1:11" x14ac:dyDescent="0.25">
      <c r="A24" t="s">
        <v>35</v>
      </c>
      <c r="B24" s="1">
        <f>B4+B5</f>
        <v>15126914.000780191</v>
      </c>
      <c r="D24" s="1">
        <f>C4+C5</f>
        <v>15330629.452734884</v>
      </c>
      <c r="F24" s="1">
        <f>D4+D5</f>
        <v>15696952.805084031</v>
      </c>
      <c r="H24" s="1">
        <f>E4+E5</f>
        <v>16072232.402174888</v>
      </c>
      <c r="J24" s="1">
        <f>F4+F5</f>
        <v>16850559.044728581</v>
      </c>
    </row>
    <row r="25" spans="1:11" x14ac:dyDescent="0.25">
      <c r="A25" t="s">
        <v>36</v>
      </c>
      <c r="B25" s="4">
        <f>B6+B7</f>
        <v>5382148.0776781319</v>
      </c>
      <c r="D25" s="4">
        <f>C6+C7</f>
        <v>5227430.2794468179</v>
      </c>
      <c r="F25" s="4">
        <f>D6+D7</f>
        <v>5361028.1595675116</v>
      </c>
      <c r="H25" s="4">
        <f>E6+E7</f>
        <v>5498094.6691790745</v>
      </c>
      <c r="J25" s="4">
        <f>F6+F7</f>
        <v>5783000.5998980775</v>
      </c>
    </row>
    <row r="26" spans="1:11" x14ac:dyDescent="0.25">
      <c r="A26" t="s">
        <v>37</v>
      </c>
      <c r="B26" s="4">
        <f>B8+B9</f>
        <v>9869912.8840055894</v>
      </c>
      <c r="D26" s="4">
        <f>C8+C9</f>
        <v>10018294.736557074</v>
      </c>
      <c r="F26" s="4">
        <f>D8+D9</f>
        <v>10267553.515619343</v>
      </c>
      <c r="H26" s="4">
        <f>E8+E9</f>
        <v>10523121.821213778</v>
      </c>
      <c r="J26" s="4">
        <f>F8+F9</f>
        <v>11053838.869483262</v>
      </c>
    </row>
    <row r="27" spans="1:11" x14ac:dyDescent="0.25">
      <c r="A27" t="s">
        <v>38</v>
      </c>
      <c r="B27" s="4">
        <f>B10+B11+B12</f>
        <v>3705060.207536086</v>
      </c>
      <c r="D27" s="4">
        <f>C10+C11+C12</f>
        <v>3764265.9562928313</v>
      </c>
      <c r="F27" s="4">
        <f>D10+D11+D12</f>
        <v>3848303.1558715384</v>
      </c>
      <c r="H27" s="4">
        <f>E10+E11+E12</f>
        <v>3934271.0447451537</v>
      </c>
      <c r="J27" s="4">
        <f>F10+F11+F12</f>
        <v>4112182.3750136322</v>
      </c>
    </row>
    <row r="28" spans="1:11" x14ac:dyDescent="0.25">
      <c r="A28" t="s">
        <v>39</v>
      </c>
      <c r="C28" s="4">
        <f t="shared" ref="C28:C35" si="0">B13</f>
        <v>3380490.1324446434</v>
      </c>
      <c r="E28" s="4">
        <f t="shared" ref="E28:E35" si="1">C13</f>
        <v>3439817.7342690467</v>
      </c>
      <c r="G28" s="4">
        <f t="shared" ref="G28:G33" si="2">D13</f>
        <v>3503540.3577963803</v>
      </c>
      <c r="I28" s="4">
        <f t="shared" ref="I28:I33" si="3">E13</f>
        <v>3568443.4429245577</v>
      </c>
      <c r="K28" s="4">
        <f t="shared" ref="K28:K33" si="4">F13</f>
        <v>3701878.8752937149</v>
      </c>
    </row>
    <row r="29" spans="1:11" x14ac:dyDescent="0.25">
      <c r="A29" t="s">
        <v>40</v>
      </c>
      <c r="C29" s="4">
        <f t="shared" si="0"/>
        <v>9030618.1819668841</v>
      </c>
      <c r="E29" s="4">
        <f t="shared" si="1"/>
        <v>9189105.5310604032</v>
      </c>
      <c r="G29" s="4">
        <f t="shared" si="2"/>
        <v>9359333.7110232972</v>
      </c>
      <c r="I29" s="4">
        <f t="shared" si="3"/>
        <v>9532715.3680200037</v>
      </c>
      <c r="K29" s="4">
        <f t="shared" si="4"/>
        <v>9889173.8679595087</v>
      </c>
    </row>
    <row r="30" spans="1:11" x14ac:dyDescent="0.25">
      <c r="A30" t="s">
        <v>41</v>
      </c>
      <c r="C30" s="4">
        <f t="shared" si="0"/>
        <v>8989461.1440001708</v>
      </c>
      <c r="E30" s="4">
        <f t="shared" si="1"/>
        <v>9147226.1870773733</v>
      </c>
      <c r="G30" s="4">
        <f t="shared" si="2"/>
        <v>9316678.5521929804</v>
      </c>
      <c r="I30" s="4">
        <f t="shared" si="3"/>
        <v>9489270.0223723538</v>
      </c>
      <c r="K30" s="4">
        <f t="shared" si="4"/>
        <v>9844103.9628719687</v>
      </c>
    </row>
    <row r="31" spans="1:11" x14ac:dyDescent="0.25">
      <c r="A31" t="s">
        <v>42</v>
      </c>
      <c r="C31" s="4">
        <f t="shared" si="0"/>
        <v>3362033.5415883036</v>
      </c>
      <c r="E31" s="4">
        <f t="shared" si="1"/>
        <v>3421037.2302431781</v>
      </c>
      <c r="G31" s="4">
        <f t="shared" si="2"/>
        <v>3484411.9449334326</v>
      </c>
      <c r="I31" s="4">
        <f t="shared" si="3"/>
        <v>3548960.6762133241</v>
      </c>
      <c r="K31" s="4">
        <f t="shared" si="4"/>
        <v>3681667.5860651867</v>
      </c>
    </row>
    <row r="32" spans="1:11" x14ac:dyDescent="0.25">
      <c r="A32" t="s">
        <v>43</v>
      </c>
      <c r="C32" s="4">
        <f t="shared" si="0"/>
        <v>4946671</v>
      </c>
      <c r="E32" s="4">
        <f t="shared" si="1"/>
        <v>4771671</v>
      </c>
      <c r="G32" s="4">
        <f t="shared" si="2"/>
        <v>4771671</v>
      </c>
      <c r="I32" s="4">
        <f t="shared" si="3"/>
        <v>4771671</v>
      </c>
      <c r="K32" s="4">
        <f t="shared" si="4"/>
        <v>4771671</v>
      </c>
    </row>
    <row r="33" spans="1:11" x14ac:dyDescent="0.25">
      <c r="A33" t="s">
        <v>44</v>
      </c>
      <c r="C33" s="4">
        <f t="shared" si="0"/>
        <v>776808</v>
      </c>
      <c r="E33" s="4">
        <f t="shared" si="1"/>
        <v>776808</v>
      </c>
      <c r="G33" s="4">
        <f t="shared" si="2"/>
        <v>776808</v>
      </c>
      <c r="I33" s="4">
        <f t="shared" si="3"/>
        <v>776808</v>
      </c>
      <c r="K33" s="4">
        <f t="shared" si="4"/>
        <v>776808</v>
      </c>
    </row>
    <row r="34" spans="1:11" x14ac:dyDescent="0.25">
      <c r="A34" t="s">
        <v>72</v>
      </c>
      <c r="C34" s="4">
        <f t="shared" si="0"/>
        <v>334892.49999999907</v>
      </c>
      <c r="E34" s="4">
        <f t="shared" si="1"/>
        <v>537261.02918973437</v>
      </c>
      <c r="G34" s="4">
        <f t="shared" ref="G34:G35" si="5">D19</f>
        <v>813836.15654387302</v>
      </c>
      <c r="I34" s="4">
        <f t="shared" ref="I34:I35" si="6">E19</f>
        <v>1099357.7773298873</v>
      </c>
      <c r="K34" s="4">
        <f t="shared" ref="K34:K35" si="7">F19</f>
        <v>1698316.0271632583</v>
      </c>
    </row>
    <row r="35" spans="1:11" x14ac:dyDescent="0.25">
      <c r="A35" t="s">
        <v>73</v>
      </c>
      <c r="C35" s="4">
        <f t="shared" si="0"/>
        <v>910057.16999999946</v>
      </c>
      <c r="E35" s="4">
        <f t="shared" si="1"/>
        <v>691690.21319187235</v>
      </c>
      <c r="G35" s="4">
        <f t="shared" si="5"/>
        <v>781839.41365246125</v>
      </c>
      <c r="I35" s="4">
        <f t="shared" si="6"/>
        <v>875065.56545276521</v>
      </c>
      <c r="K35" s="4">
        <f t="shared" si="7"/>
        <v>1071130.9732647291</v>
      </c>
    </row>
    <row r="36" spans="1:11" x14ac:dyDescent="0.25">
      <c r="A36" t="s">
        <v>23</v>
      </c>
      <c r="B36" s="4">
        <f>SUM(B24:B27)</f>
        <v>34084035.170000002</v>
      </c>
      <c r="D36" s="4">
        <f>SUM(D24:D27)</f>
        <v>34340620.42503161</v>
      </c>
      <c r="F36" s="4">
        <f>SUM(F24:F27)</f>
        <v>35173837.636142425</v>
      </c>
      <c r="H36" s="4">
        <f>SUM(H24:H27)</f>
        <v>36027719.937312894</v>
      </c>
      <c r="J36" s="4">
        <f>SUM(J24:J27)</f>
        <v>37799580.889123559</v>
      </c>
    </row>
    <row r="37" spans="1:11" x14ac:dyDescent="0.25">
      <c r="A37" t="s">
        <v>24</v>
      </c>
      <c r="B37" s="4">
        <f>SUM(C28:C35)</f>
        <v>31731031.670000002</v>
      </c>
      <c r="D37" s="4">
        <f>SUM(E28:E35)</f>
        <v>31974616.925031606</v>
      </c>
      <c r="F37" s="4">
        <f>SUM(G28:G35)</f>
        <v>32808119.136142425</v>
      </c>
      <c r="H37" s="4">
        <f>SUM(I28:I35)</f>
        <v>33662291.852312893</v>
      </c>
      <c r="J37" s="4">
        <f>SUM(K28:K35)</f>
        <v>35434750.292618372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8" sqref="P8"/>
    </sheetView>
  </sheetViews>
  <sheetFormatPr defaultColWidth="8.85546875" defaultRowHeight="15" x14ac:dyDescent="0.25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0" sqref="A40"/>
    </sheetView>
  </sheetViews>
  <sheetFormatPr defaultColWidth="8.85546875" defaultRowHeight="15" x14ac:dyDescent="0.25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18" sqref="J18"/>
    </sheetView>
  </sheetViews>
  <sheetFormatPr defaultColWidth="8.85546875" defaultRowHeight="15" x14ac:dyDescent="0.25"/>
  <cols>
    <col min="1" max="1" width="32.140625" style="1" customWidth="1"/>
    <col min="2" max="2" width="14" customWidth="1"/>
    <col min="3" max="3" width="13.28515625" bestFit="1" customWidth="1"/>
    <col min="4" max="5" width="10.42578125" bestFit="1" customWidth="1"/>
    <col min="6" max="7" width="13.140625" bestFit="1" customWidth="1"/>
  </cols>
  <sheetData>
    <row r="1" spans="1:7" x14ac:dyDescent="0.25">
      <c r="C1">
        <v>2014</v>
      </c>
      <c r="D1">
        <v>2015</v>
      </c>
      <c r="E1">
        <v>2016</v>
      </c>
      <c r="F1">
        <v>2017</v>
      </c>
      <c r="G1">
        <v>2018</v>
      </c>
    </row>
    <row r="2" spans="1:7" x14ac:dyDescent="0.25">
      <c r="A2" s="1">
        <v>250000</v>
      </c>
      <c r="C2" s="1">
        <v>50000</v>
      </c>
      <c r="D2" s="1">
        <v>50000</v>
      </c>
      <c r="E2" s="1">
        <v>50000</v>
      </c>
      <c r="F2" s="1">
        <v>50000</v>
      </c>
      <c r="G2" s="1">
        <v>50000</v>
      </c>
    </row>
    <row r="3" spans="1:7" x14ac:dyDescent="0.25">
      <c r="A3" s="1">
        <v>-115000</v>
      </c>
      <c r="C3" s="1">
        <v>-85000</v>
      </c>
      <c r="D3" s="1">
        <v>-85000</v>
      </c>
      <c r="E3" s="1">
        <v>-85000</v>
      </c>
      <c r="F3" s="1">
        <v>-85000</v>
      </c>
      <c r="G3" s="1">
        <v>-85000</v>
      </c>
    </row>
    <row r="4" spans="1:7" x14ac:dyDescent="0.25">
      <c r="C4" s="4">
        <f>SUM(C2:C3)</f>
        <v>-35000</v>
      </c>
    </row>
    <row r="6" spans="1:7" x14ac:dyDescent="0.25">
      <c r="C6">
        <v>2014</v>
      </c>
      <c r="D6">
        <v>2015</v>
      </c>
      <c r="E6">
        <v>2016</v>
      </c>
      <c r="F6">
        <v>2017</v>
      </c>
      <c r="G6">
        <v>2018</v>
      </c>
    </row>
    <row r="7" spans="1:7" x14ac:dyDescent="0.25">
      <c r="C7" s="141">
        <v>-250000</v>
      </c>
      <c r="D7" s="141">
        <v>-250000</v>
      </c>
      <c r="E7" s="141">
        <v>-250000</v>
      </c>
      <c r="F7" s="141">
        <v>-250000</v>
      </c>
      <c r="G7" s="141">
        <v>-250000</v>
      </c>
    </row>
    <row r="8" spans="1:7" x14ac:dyDescent="0.25">
      <c r="C8" s="4"/>
      <c r="D8" s="4"/>
      <c r="E8" s="4"/>
      <c r="F8" s="4"/>
      <c r="G8" s="4"/>
    </row>
    <row r="9" spans="1:7" x14ac:dyDescent="0.25">
      <c r="A9" s="1" t="s">
        <v>173</v>
      </c>
      <c r="C9" s="4">
        <f>C7</f>
        <v>-250000</v>
      </c>
      <c r="D9" s="4">
        <f t="shared" ref="D9:G9" si="0">D7</f>
        <v>-250000</v>
      </c>
      <c r="E9" s="4">
        <f t="shared" si="0"/>
        <v>-250000</v>
      </c>
      <c r="F9" s="4">
        <f t="shared" si="0"/>
        <v>-250000</v>
      </c>
      <c r="G9" s="4">
        <f t="shared" si="0"/>
        <v>-250000</v>
      </c>
    </row>
    <row r="11" spans="1:7" x14ac:dyDescent="0.25">
      <c r="C11" s="45">
        <f>'Rekenblad front'!F3</f>
        <v>1.7999999999999999E-2</v>
      </c>
      <c r="D11" s="45">
        <f>'Rekenblad front'!G3</f>
        <v>1.9E-2</v>
      </c>
      <c r="E11" s="45">
        <f>'Rekenblad front'!H3</f>
        <v>1.9E-2</v>
      </c>
      <c r="F11" s="45">
        <f>'Rekenblad front'!I3</f>
        <v>1.9E-2</v>
      </c>
      <c r="G11" s="45">
        <f>'Rekenblad front'!J3</f>
        <v>1.9E-2</v>
      </c>
    </row>
    <row r="12" spans="1:7" x14ac:dyDescent="0.25">
      <c r="C12">
        <v>2014</v>
      </c>
      <c r="D12">
        <v>2015</v>
      </c>
      <c r="E12">
        <v>2016</v>
      </c>
      <c r="F12">
        <v>2017</v>
      </c>
      <c r="G12">
        <v>2018</v>
      </c>
    </row>
    <row r="13" spans="1:7" x14ac:dyDescent="0.25">
      <c r="A13" s="18" t="s">
        <v>7</v>
      </c>
      <c r="C13" s="4">
        <f>$C18*C$9</f>
        <v>-142795.44126528149</v>
      </c>
      <c r="D13" s="4">
        <f>$C18*D$9</f>
        <v>-142795.44126528149</v>
      </c>
      <c r="E13" s="4">
        <f t="shared" ref="E13:G13" si="1">$C18*E$9</f>
        <v>-142795.44126528149</v>
      </c>
      <c r="F13" s="4">
        <f t="shared" si="1"/>
        <v>-142795.44126528149</v>
      </c>
      <c r="G13" s="4">
        <f t="shared" si="1"/>
        <v>-142795.44126528149</v>
      </c>
    </row>
    <row r="14" spans="1:7" x14ac:dyDescent="0.25">
      <c r="A14" s="1" t="s">
        <v>174</v>
      </c>
      <c r="C14" s="4">
        <f t="shared" ref="C14:D15" si="2">$C19*C$9</f>
        <v>-87367.883175081952</v>
      </c>
      <c r="D14" s="4">
        <f t="shared" si="2"/>
        <v>-87367.883175081952</v>
      </c>
      <c r="E14" s="4">
        <f t="shared" ref="E14:G14" si="3">$C19*E$9</f>
        <v>-87367.883175081952</v>
      </c>
      <c r="F14" s="4">
        <f t="shared" si="3"/>
        <v>-87367.883175081952</v>
      </c>
      <c r="G14" s="4">
        <f t="shared" si="3"/>
        <v>-87367.883175081952</v>
      </c>
    </row>
    <row r="15" spans="1:7" x14ac:dyDescent="0.25">
      <c r="A15" s="1" t="s">
        <v>175</v>
      </c>
      <c r="C15" s="4">
        <f t="shared" si="2"/>
        <v>-19836.675559636569</v>
      </c>
      <c r="D15" s="4">
        <f t="shared" si="2"/>
        <v>-19836.675559636569</v>
      </c>
      <c r="E15" s="4">
        <f t="shared" ref="E15:G15" si="4">$C20*E$9</f>
        <v>-19836.675559636569</v>
      </c>
      <c r="F15" s="4">
        <f t="shared" si="4"/>
        <v>-19836.675559636569</v>
      </c>
      <c r="G15" s="4">
        <f t="shared" si="4"/>
        <v>-19836.675559636569</v>
      </c>
    </row>
    <row r="16" spans="1:7" x14ac:dyDescent="0.25">
      <c r="C16" s="4">
        <f>SUM(C13:C15)</f>
        <v>-250000</v>
      </c>
      <c r="D16" s="4">
        <f t="shared" ref="D16:G16" si="5">SUM(D13:D15)</f>
        <v>-250000</v>
      </c>
      <c r="E16" s="4">
        <f t="shared" si="5"/>
        <v>-250000</v>
      </c>
      <c r="F16" s="4">
        <f t="shared" si="5"/>
        <v>-250000</v>
      </c>
      <c r="G16" s="4">
        <f t="shared" si="5"/>
        <v>-250000</v>
      </c>
    </row>
    <row r="18" spans="1:3" x14ac:dyDescent="0.25">
      <c r="A18" s="1" t="s">
        <v>176</v>
      </c>
      <c r="B18" s="4">
        <v>9772348.8184308037</v>
      </c>
      <c r="C18" s="8">
        <v>0.57118176506112595</v>
      </c>
    </row>
    <row r="19" spans="1:3" x14ac:dyDescent="0.25">
      <c r="A19" s="1" t="s">
        <v>177</v>
      </c>
      <c r="B19" s="4">
        <v>5979108.4529699087</v>
      </c>
      <c r="C19" s="8">
        <v>0.34947153270032782</v>
      </c>
    </row>
    <row r="20" spans="1:3" x14ac:dyDescent="0.25">
      <c r="A20" s="1" t="s">
        <v>178</v>
      </c>
      <c r="B20" s="4">
        <v>1357542.728599288</v>
      </c>
      <c r="C20" s="8">
        <v>7.9346702238546271E-2</v>
      </c>
    </row>
    <row r="21" spans="1:3" x14ac:dyDescent="0.25">
      <c r="B21" s="4">
        <v>17109000</v>
      </c>
      <c r="C21" s="8">
        <v>1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K51" sqref="K51"/>
    </sheetView>
  </sheetViews>
  <sheetFormatPr defaultColWidth="8.85546875" defaultRowHeight="15" x14ac:dyDescent="0.25"/>
  <cols>
    <col min="2" max="2" width="32.28515625" bestFit="1" customWidth="1"/>
    <col min="4" max="4" width="14.7109375" bestFit="1" customWidth="1"/>
    <col min="5" max="6" width="14.7109375" customWidth="1"/>
    <col min="7" max="7" width="15.28515625" customWidth="1"/>
    <col min="8" max="8" width="14.7109375" bestFit="1" customWidth="1"/>
    <col min="9" max="9" width="9.85546875" bestFit="1" customWidth="1"/>
  </cols>
  <sheetData>
    <row r="1" spans="1:9" x14ac:dyDescent="0.25">
      <c r="D1">
        <v>2013</v>
      </c>
      <c r="E1">
        <v>2014</v>
      </c>
      <c r="F1">
        <v>2015</v>
      </c>
      <c r="G1">
        <v>2016</v>
      </c>
      <c r="H1">
        <v>2017</v>
      </c>
    </row>
    <row r="2" spans="1:9" x14ac:dyDescent="0.25">
      <c r="A2" s="124">
        <v>620000</v>
      </c>
      <c r="B2" s="125" t="s">
        <v>188</v>
      </c>
      <c r="C2" s="126" t="s">
        <v>189</v>
      </c>
      <c r="D2" s="1">
        <v>109043.17</v>
      </c>
      <c r="E2" s="1"/>
      <c r="F2" s="1"/>
      <c r="G2" s="1"/>
      <c r="H2" s="1">
        <f>SUM(H23:H26)</f>
        <v>115690</v>
      </c>
      <c r="I2" s="32">
        <f t="shared" ref="I2:I4" si="0">(H2/D2)-1</f>
        <v>6.0955949831612566E-2</v>
      </c>
    </row>
    <row r="3" spans="1:9" x14ac:dyDescent="0.25">
      <c r="A3" s="124">
        <v>620001</v>
      </c>
      <c r="B3" s="127" t="s">
        <v>190</v>
      </c>
      <c r="C3" s="126" t="s">
        <v>191</v>
      </c>
      <c r="D3" s="134">
        <f>1651428.67/45*49</f>
        <v>1798222.3295555555</v>
      </c>
      <c r="E3" s="1">
        <v>1647799</v>
      </c>
      <c r="F3" s="1"/>
      <c r="G3" s="1"/>
      <c r="H3" s="1">
        <v>1777070</v>
      </c>
      <c r="I3" s="32">
        <f t="shared" si="0"/>
        <v>-1.1762911186173231E-2</v>
      </c>
    </row>
    <row r="4" spans="1:9" x14ac:dyDescent="0.25">
      <c r="A4" s="124">
        <v>620002</v>
      </c>
      <c r="B4" s="128" t="s">
        <v>192</v>
      </c>
      <c r="C4" s="126" t="s">
        <v>193</v>
      </c>
      <c r="D4" s="1">
        <f>879771.37</f>
        <v>879771.37</v>
      </c>
      <c r="E4" s="1">
        <v>904507</v>
      </c>
      <c r="F4" s="1"/>
      <c r="G4" s="1"/>
      <c r="H4" s="1">
        <v>916708</v>
      </c>
      <c r="I4" s="32">
        <f t="shared" si="0"/>
        <v>4.1984351002465559E-2</v>
      </c>
    </row>
    <row r="5" spans="1:9" x14ac:dyDescent="0.25">
      <c r="A5" s="124">
        <v>620003</v>
      </c>
      <c r="B5" s="127" t="s">
        <v>194</v>
      </c>
      <c r="C5" s="126" t="s">
        <v>195</v>
      </c>
      <c r="D5" s="1">
        <f>432636.57</f>
        <v>432636.57</v>
      </c>
      <c r="E5" s="1">
        <v>434647</v>
      </c>
      <c r="F5" s="1"/>
      <c r="G5" s="1"/>
      <c r="H5" s="1">
        <v>438266</v>
      </c>
      <c r="I5" s="32">
        <f>(H5/D5)-1</f>
        <v>1.3011914364982946E-2</v>
      </c>
    </row>
    <row r="6" spans="1:9" x14ac:dyDescent="0.25">
      <c r="A6" s="124">
        <v>620004</v>
      </c>
      <c r="B6" s="128" t="s">
        <v>196</v>
      </c>
      <c r="C6" s="129" t="s">
        <v>195</v>
      </c>
      <c r="D6" s="1">
        <v>403622</v>
      </c>
      <c r="E6" s="1">
        <v>406436</v>
      </c>
      <c r="F6" s="1"/>
      <c r="G6" s="1"/>
      <c r="H6" s="1">
        <v>413306</v>
      </c>
      <c r="I6" s="32">
        <f t="shared" ref="I6:I12" si="1">(H6/D6)-1</f>
        <v>2.3992745687797079E-2</v>
      </c>
    </row>
    <row r="7" spans="1:9" x14ac:dyDescent="0.25">
      <c r="A7" s="124">
        <v>620006</v>
      </c>
      <c r="B7" s="127" t="s">
        <v>197</v>
      </c>
      <c r="C7" s="126" t="s">
        <v>193</v>
      </c>
      <c r="D7" s="1">
        <v>5445</v>
      </c>
      <c r="E7" s="1">
        <v>5445</v>
      </c>
      <c r="F7" s="1">
        <v>5445</v>
      </c>
      <c r="G7" s="1">
        <v>5445</v>
      </c>
      <c r="H7" s="1">
        <v>5445</v>
      </c>
      <c r="I7" s="32">
        <f t="shared" si="1"/>
        <v>0</v>
      </c>
    </row>
    <row r="8" spans="1:9" x14ac:dyDescent="0.25">
      <c r="A8" s="124">
        <v>620007</v>
      </c>
      <c r="B8" s="127" t="s">
        <v>198</v>
      </c>
      <c r="C8" s="126" t="s">
        <v>199</v>
      </c>
      <c r="D8" s="1">
        <v>388325</v>
      </c>
      <c r="E8" s="1">
        <v>388325</v>
      </c>
      <c r="F8" s="1">
        <v>388325</v>
      </c>
      <c r="G8" s="1">
        <v>388325</v>
      </c>
      <c r="H8" s="1">
        <v>388325</v>
      </c>
      <c r="I8" s="32">
        <f t="shared" si="1"/>
        <v>0</v>
      </c>
    </row>
    <row r="9" spans="1:9" x14ac:dyDescent="0.25">
      <c r="A9" s="124">
        <v>620008</v>
      </c>
      <c r="B9" s="127" t="s">
        <v>200</v>
      </c>
      <c r="C9" s="126" t="s">
        <v>199</v>
      </c>
      <c r="D9" s="1">
        <v>13177</v>
      </c>
      <c r="E9" s="1">
        <v>13177</v>
      </c>
      <c r="F9" s="1">
        <v>13177</v>
      </c>
      <c r="G9" s="1">
        <v>13177</v>
      </c>
      <c r="H9" s="1">
        <v>13177</v>
      </c>
      <c r="I9" s="32">
        <f t="shared" si="1"/>
        <v>0</v>
      </c>
    </row>
    <row r="10" spans="1:9" x14ac:dyDescent="0.25">
      <c r="A10" s="124">
        <v>620009</v>
      </c>
      <c r="B10" s="127" t="s">
        <v>201</v>
      </c>
      <c r="C10" s="130" t="s">
        <v>191</v>
      </c>
      <c r="D10" s="1">
        <v>49561.38</v>
      </c>
      <c r="E10" s="1">
        <v>49561</v>
      </c>
      <c r="F10" s="1">
        <v>49561</v>
      </c>
      <c r="G10" s="1">
        <v>49561</v>
      </c>
      <c r="H10" s="1">
        <v>49561</v>
      </c>
      <c r="I10" s="32">
        <f t="shared" si="1"/>
        <v>-7.6672602740135432E-6</v>
      </c>
    </row>
    <row r="11" spans="1:9" x14ac:dyDescent="0.25">
      <c r="A11" s="124">
        <v>620011</v>
      </c>
      <c r="B11" s="127" t="s">
        <v>202</v>
      </c>
      <c r="C11" s="130" t="s">
        <v>203</v>
      </c>
      <c r="D11" s="1">
        <v>5737</v>
      </c>
      <c r="E11" s="1">
        <v>5737</v>
      </c>
      <c r="F11" s="1">
        <v>5737</v>
      </c>
      <c r="G11" s="1">
        <v>5737</v>
      </c>
      <c r="H11" s="1">
        <v>5737</v>
      </c>
      <c r="I11" s="32">
        <f t="shared" si="1"/>
        <v>0</v>
      </c>
    </row>
    <row r="12" spans="1:9" x14ac:dyDescent="0.25">
      <c r="A12" s="124">
        <v>620012</v>
      </c>
      <c r="B12" s="125" t="s">
        <v>204</v>
      </c>
      <c r="C12" s="126" t="s">
        <v>195</v>
      </c>
      <c r="D12" s="1"/>
      <c r="E12" s="1"/>
      <c r="F12" s="1"/>
      <c r="G12" s="1"/>
      <c r="H12" s="1"/>
      <c r="I12" s="32" t="e">
        <f t="shared" si="1"/>
        <v>#DIV/0!</v>
      </c>
    </row>
    <row r="13" spans="1:9" x14ac:dyDescent="0.25">
      <c r="A13" s="124"/>
      <c r="B13" s="125"/>
      <c r="C13" s="126"/>
      <c r="D13" s="1"/>
      <c r="E13" s="1"/>
      <c r="F13" s="1"/>
      <c r="G13" s="1"/>
      <c r="H13" s="1"/>
    </row>
    <row r="14" spans="1:9" x14ac:dyDescent="0.25">
      <c r="A14" s="124">
        <v>620100</v>
      </c>
      <c r="B14" s="127" t="s">
        <v>205</v>
      </c>
      <c r="C14" s="126" t="s">
        <v>189</v>
      </c>
      <c r="D14" s="1"/>
      <c r="E14" s="1"/>
      <c r="F14" s="1"/>
      <c r="G14" s="1"/>
      <c r="H14" s="1"/>
    </row>
    <row r="15" spans="1:9" x14ac:dyDescent="0.25">
      <c r="A15" s="124">
        <v>620200</v>
      </c>
      <c r="B15" s="127" t="s">
        <v>206</v>
      </c>
      <c r="C15" s="126" t="s">
        <v>189</v>
      </c>
      <c r="D15" s="1">
        <v>129488.56</v>
      </c>
      <c r="E15" s="1"/>
      <c r="F15" s="1"/>
      <c r="G15" s="1"/>
      <c r="H15" s="1">
        <f>SUM(H35:H37)</f>
        <v>131460</v>
      </c>
    </row>
    <row r="16" spans="1:9" x14ac:dyDescent="0.25">
      <c r="A16" s="124">
        <v>620300</v>
      </c>
      <c r="B16" s="125" t="s">
        <v>207</v>
      </c>
      <c r="C16" s="126" t="s">
        <v>195</v>
      </c>
      <c r="D16" s="1">
        <v>3400</v>
      </c>
      <c r="E16" s="1">
        <v>3400</v>
      </c>
      <c r="F16" s="1">
        <v>3400</v>
      </c>
      <c r="G16" s="1">
        <v>3400</v>
      </c>
      <c r="H16" s="1">
        <v>3400</v>
      </c>
    </row>
    <row r="17" spans="1:11" x14ac:dyDescent="0.25">
      <c r="A17" s="124">
        <v>620400</v>
      </c>
      <c r="B17" s="125" t="s">
        <v>208</v>
      </c>
      <c r="C17" s="126" t="s">
        <v>195</v>
      </c>
      <c r="D17" s="1">
        <v>-3400</v>
      </c>
      <c r="E17" s="1">
        <v>-3400</v>
      </c>
      <c r="F17" s="1">
        <v>-3400</v>
      </c>
      <c r="G17" s="1">
        <v>-3400</v>
      </c>
      <c r="H17" s="1">
        <v>-3400</v>
      </c>
    </row>
    <row r="18" spans="1:11" x14ac:dyDescent="0.25">
      <c r="D18" s="119">
        <f>SUM(D2:D17)</f>
        <v>4215029.3795555551</v>
      </c>
      <c r="E18" s="2">
        <f>E3/D3</f>
        <v>0.91634887016849931</v>
      </c>
      <c r="F18" s="1"/>
      <c r="G18" s="1"/>
      <c r="H18" s="119">
        <f>SUM(H2:H17)</f>
        <v>4254745</v>
      </c>
      <c r="I18" s="32">
        <f t="shared" ref="I18" si="2">(H18/D18)-1</f>
        <v>9.4223828277639754E-3</v>
      </c>
      <c r="J18" s="32">
        <f>I18/4</f>
        <v>2.3555957069409938E-3</v>
      </c>
      <c r="K18" s="133">
        <f>(((1+I18))^(1/4))-1</f>
        <v>2.3473179137785127E-3</v>
      </c>
    </row>
    <row r="19" spans="1:11" x14ac:dyDescent="0.25">
      <c r="D19" s="1"/>
      <c r="E19" s="1"/>
      <c r="F19" s="1"/>
      <c r="G19" s="1"/>
      <c r="H19" s="1"/>
    </row>
    <row r="20" spans="1:11" x14ac:dyDescent="0.25">
      <c r="D20" s="1"/>
      <c r="E20" s="1"/>
      <c r="F20" s="1"/>
      <c r="G20" s="1"/>
      <c r="H20" s="1"/>
    </row>
    <row r="21" spans="1:11" x14ac:dyDescent="0.25">
      <c r="D21" s="1"/>
      <c r="E21" s="1"/>
      <c r="F21" s="1"/>
      <c r="G21" s="1"/>
      <c r="H21" s="1"/>
    </row>
    <row r="22" spans="1:11" x14ac:dyDescent="0.25">
      <c r="B22" t="s">
        <v>209</v>
      </c>
      <c r="D22" s="1"/>
      <c r="E22" s="1"/>
      <c r="F22" s="1"/>
      <c r="G22" s="1"/>
      <c r="H22" s="1"/>
    </row>
    <row r="23" spans="1:11" x14ac:dyDescent="0.25">
      <c r="B23" s="127" t="s">
        <v>190</v>
      </c>
      <c r="D23" s="1">
        <v>55909</v>
      </c>
      <c r="E23" s="1">
        <v>61132</v>
      </c>
      <c r="F23" s="1"/>
      <c r="G23" s="1"/>
      <c r="H23" s="1">
        <v>62662</v>
      </c>
    </row>
    <row r="24" spans="1:11" x14ac:dyDescent="0.25">
      <c r="B24" s="128" t="s">
        <v>192</v>
      </c>
      <c r="D24" s="1">
        <v>27162</v>
      </c>
      <c r="E24" s="1">
        <v>28685</v>
      </c>
      <c r="F24" s="1"/>
      <c r="G24" s="1"/>
      <c r="H24" s="1">
        <v>28970</v>
      </c>
    </row>
    <row r="25" spans="1:11" x14ac:dyDescent="0.25">
      <c r="B25" s="127" t="s">
        <v>194</v>
      </c>
      <c r="D25" s="1">
        <v>12828</v>
      </c>
      <c r="E25" s="1">
        <v>12878</v>
      </c>
      <c r="F25" s="1"/>
      <c r="G25" s="1"/>
      <c r="H25" s="1">
        <v>12969</v>
      </c>
    </row>
    <row r="26" spans="1:11" x14ac:dyDescent="0.25">
      <c r="B26" s="128" t="s">
        <v>196</v>
      </c>
      <c r="D26" s="1">
        <v>10936</v>
      </c>
      <c r="E26" s="1">
        <v>10976</v>
      </c>
      <c r="F26" s="1"/>
      <c r="G26" s="1"/>
      <c r="H26" s="1">
        <v>11089</v>
      </c>
    </row>
    <row r="27" spans="1:11" x14ac:dyDescent="0.25">
      <c r="B27" s="127" t="s">
        <v>197</v>
      </c>
      <c r="D27" s="1"/>
      <c r="E27" s="1"/>
      <c r="F27" s="1"/>
      <c r="G27" s="1"/>
      <c r="H27" s="1"/>
    </row>
    <row r="28" spans="1:11" x14ac:dyDescent="0.25">
      <c r="B28" s="127" t="s">
        <v>198</v>
      </c>
      <c r="D28" s="1"/>
      <c r="E28" s="1"/>
      <c r="F28" s="1"/>
      <c r="G28" s="1"/>
      <c r="H28" s="1"/>
    </row>
    <row r="29" spans="1:11" x14ac:dyDescent="0.25">
      <c r="B29" s="127" t="s">
        <v>200</v>
      </c>
      <c r="D29" s="1"/>
      <c r="E29" s="1"/>
      <c r="F29" s="1"/>
      <c r="G29" s="1"/>
      <c r="H29" s="1"/>
    </row>
    <row r="30" spans="1:11" x14ac:dyDescent="0.25">
      <c r="B30" s="127" t="s">
        <v>201</v>
      </c>
      <c r="D30" s="1">
        <v>2206</v>
      </c>
      <c r="E30" s="1">
        <v>2206</v>
      </c>
      <c r="F30" s="1"/>
      <c r="G30" s="1"/>
      <c r="H30" s="1"/>
    </row>
    <row r="31" spans="1:11" x14ac:dyDescent="0.25">
      <c r="D31" s="1"/>
      <c r="E31" s="1"/>
      <c r="F31" s="1"/>
      <c r="G31" s="1"/>
      <c r="H31" s="1"/>
    </row>
    <row r="32" spans="1:11" x14ac:dyDescent="0.25">
      <c r="D32" s="1"/>
      <c r="E32" s="1"/>
      <c r="F32" s="1"/>
      <c r="G32" s="1"/>
      <c r="H32" s="1"/>
    </row>
    <row r="33" spans="2:11" x14ac:dyDescent="0.25">
      <c r="B33" s="125" t="s">
        <v>210</v>
      </c>
      <c r="D33" s="1"/>
      <c r="E33" s="1"/>
      <c r="F33" s="1"/>
      <c r="G33" s="1"/>
      <c r="H33" s="1"/>
    </row>
    <row r="34" spans="2:11" x14ac:dyDescent="0.25">
      <c r="B34" s="127" t="s">
        <v>190</v>
      </c>
      <c r="D34" s="1">
        <v>0</v>
      </c>
      <c r="E34" s="1"/>
      <c r="F34" s="1"/>
      <c r="G34" s="1"/>
      <c r="H34" s="1"/>
    </row>
    <row r="35" spans="2:11" x14ac:dyDescent="0.25">
      <c r="B35" s="128" t="s">
        <v>192</v>
      </c>
      <c r="D35" s="1">
        <v>69091</v>
      </c>
      <c r="E35" s="1">
        <v>69152</v>
      </c>
      <c r="F35" s="1"/>
      <c r="G35" s="1"/>
      <c r="H35" s="1">
        <v>70133</v>
      </c>
    </row>
    <row r="36" spans="2:11" x14ac:dyDescent="0.25">
      <c r="B36" s="127" t="s">
        <v>194</v>
      </c>
      <c r="D36" s="1">
        <v>33130</v>
      </c>
      <c r="E36" s="1">
        <v>33284</v>
      </c>
      <c r="F36" s="1"/>
      <c r="G36" s="1"/>
      <c r="H36" s="1">
        <v>33561</v>
      </c>
    </row>
    <row r="37" spans="2:11" x14ac:dyDescent="0.25">
      <c r="B37" s="128" t="s">
        <v>196</v>
      </c>
      <c r="D37" s="1">
        <v>26267</v>
      </c>
      <c r="E37" s="1">
        <v>27421</v>
      </c>
      <c r="F37" s="1"/>
      <c r="G37" s="1"/>
      <c r="H37" s="1">
        <v>27766</v>
      </c>
    </row>
    <row r="38" spans="2:11" x14ac:dyDescent="0.25">
      <c r="B38" s="127" t="s">
        <v>197</v>
      </c>
      <c r="D38" s="1"/>
      <c r="E38" s="1"/>
      <c r="F38" s="1"/>
      <c r="G38" s="1"/>
      <c r="H38" s="1"/>
    </row>
    <row r="39" spans="2:11" x14ac:dyDescent="0.25">
      <c r="B39" s="127" t="s">
        <v>198</v>
      </c>
      <c r="D39" s="1"/>
      <c r="E39" s="1"/>
      <c r="F39" s="1"/>
      <c r="G39" s="1"/>
      <c r="H39" s="1"/>
    </row>
    <row r="40" spans="2:11" x14ac:dyDescent="0.25">
      <c r="B40" s="127" t="s">
        <v>200</v>
      </c>
      <c r="D40" s="1"/>
      <c r="E40" s="1"/>
      <c r="F40" s="1"/>
      <c r="G40" s="1"/>
      <c r="H40" s="1"/>
    </row>
    <row r="41" spans="2:11" x14ac:dyDescent="0.25">
      <c r="B41" s="127" t="s">
        <v>201</v>
      </c>
      <c r="D41" s="1"/>
      <c r="E41" s="1"/>
      <c r="F41" s="1"/>
      <c r="G41" s="1"/>
      <c r="H41" s="1"/>
    </row>
    <row r="45" spans="2:11" x14ac:dyDescent="0.25">
      <c r="B45" s="127" t="s">
        <v>190</v>
      </c>
      <c r="D45" s="4">
        <f>D3+D23+D34</f>
        <v>1854131.3295555555</v>
      </c>
      <c r="H45" s="4">
        <f>H3+H23+H34</f>
        <v>1839732</v>
      </c>
      <c r="I45" s="32">
        <f t="shared" ref="I45:I49" si="3">(H45/D45)-1</f>
        <v>-7.7660785544285682E-3</v>
      </c>
      <c r="J45" s="32">
        <f>I45/4</f>
        <v>-1.9415196386071421E-3</v>
      </c>
      <c r="K45" s="131">
        <f>(((1+I45))^(1/4))-1</f>
        <v>-1.9471996388759072E-3</v>
      </c>
    </row>
    <row r="46" spans="2:11" x14ac:dyDescent="0.25">
      <c r="B46" s="128" t="s">
        <v>192</v>
      </c>
      <c r="D46" s="4">
        <f t="shared" ref="D46:D48" si="4">D4+D24+D35</f>
        <v>976024.37</v>
      </c>
      <c r="H46" s="4">
        <f t="shared" ref="H46:H48" si="5">H4+H24+H35</f>
        <v>1015811</v>
      </c>
      <c r="I46" s="32">
        <f t="shared" si="3"/>
        <v>4.0763971907791685E-2</v>
      </c>
      <c r="J46" s="32">
        <f t="shared" ref="J46:J51" si="6">I46/4</f>
        <v>1.0190992976947921E-2</v>
      </c>
      <c r="K46" s="131">
        <f t="shared" ref="K46:K49" si="7">(((1+I46))^(1/4))-1</f>
        <v>1.0038812125679586E-2</v>
      </c>
    </row>
    <row r="47" spans="2:11" x14ac:dyDescent="0.25">
      <c r="B47" s="127" t="s">
        <v>194</v>
      </c>
      <c r="D47" s="4">
        <f t="shared" si="4"/>
        <v>478594.57</v>
      </c>
      <c r="H47" s="4">
        <f t="shared" si="5"/>
        <v>484796</v>
      </c>
      <c r="I47" s="32">
        <f t="shared" si="3"/>
        <v>1.2957585373356784E-2</v>
      </c>
      <c r="J47" s="32">
        <f t="shared" si="6"/>
        <v>3.2393963433391959E-3</v>
      </c>
      <c r="K47" s="131">
        <f t="shared" si="7"/>
        <v>3.2237737369085195E-3</v>
      </c>
    </row>
    <row r="48" spans="2:11" x14ac:dyDescent="0.25">
      <c r="B48" s="128" t="s">
        <v>196</v>
      </c>
      <c r="D48" s="4">
        <f t="shared" si="4"/>
        <v>440825</v>
      </c>
      <c r="H48" s="4">
        <f t="shared" si="5"/>
        <v>452161</v>
      </c>
      <c r="I48" s="32">
        <f t="shared" si="3"/>
        <v>2.5715419951227725E-2</v>
      </c>
      <c r="J48" s="32">
        <f t="shared" si="6"/>
        <v>6.4288549878069312E-3</v>
      </c>
      <c r="K48" s="131">
        <f t="shared" si="7"/>
        <v>6.367773562621748E-3</v>
      </c>
    </row>
    <row r="49" spans="2:11" x14ac:dyDescent="0.25">
      <c r="D49" s="4">
        <f>SUM(D45:D48)</f>
        <v>3749575.2695555552</v>
      </c>
      <c r="H49" s="4">
        <f>SUM(H45:H48)</f>
        <v>3792500</v>
      </c>
      <c r="I49" s="32">
        <f t="shared" si="3"/>
        <v>1.1447891389984699E-2</v>
      </c>
      <c r="J49" s="32">
        <f t="shared" si="6"/>
        <v>2.8619728474961748E-3</v>
      </c>
      <c r="K49" s="131">
        <f t="shared" si="7"/>
        <v>2.8497679217258653E-3</v>
      </c>
    </row>
    <row r="50" spans="2:11" x14ac:dyDescent="0.25">
      <c r="K50" s="132"/>
    </row>
    <row r="51" spans="2:11" x14ac:dyDescent="0.25">
      <c r="D51" s="4">
        <f>SUM(D46:D48)</f>
        <v>1895443.94</v>
      </c>
      <c r="H51" s="4">
        <f>SUM(H46:H48)</f>
        <v>1952768</v>
      </c>
      <c r="I51" s="32">
        <f t="shared" ref="I51" si="8">(H51/D51)-1</f>
        <v>3.0243078568707338E-2</v>
      </c>
      <c r="J51" s="32">
        <f t="shared" si="6"/>
        <v>7.5607696421768344E-3</v>
      </c>
      <c r="K51" s="131">
        <f t="shared" ref="K51" si="9">(((1+I51))^(1/4))-1</f>
        <v>7.4765037755477604E-3</v>
      </c>
    </row>
    <row r="53" spans="2:11" x14ac:dyDescent="0.25">
      <c r="B53" t="s">
        <v>211</v>
      </c>
    </row>
    <row r="54" spans="2:11" x14ac:dyDescent="0.25">
      <c r="B54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13" sqref="B13"/>
    </sheetView>
  </sheetViews>
  <sheetFormatPr defaultColWidth="8.85546875" defaultRowHeight="15" x14ac:dyDescent="0.25"/>
  <cols>
    <col min="1" max="1" width="14.85546875" customWidth="1"/>
  </cols>
  <sheetData>
    <row r="1" spans="1:9" x14ac:dyDescent="0.25">
      <c r="A1" t="s">
        <v>212</v>
      </c>
    </row>
    <row r="2" spans="1:9" x14ac:dyDescent="0.25">
      <c r="B2" s="45">
        <f>'Rekenblad front'!F3</f>
        <v>1.7999999999999999E-2</v>
      </c>
      <c r="C2" s="45">
        <f>'Rekenblad front'!G3</f>
        <v>1.9E-2</v>
      </c>
      <c r="D2" s="45">
        <f>'Rekenblad front'!H3</f>
        <v>1.9E-2</v>
      </c>
      <c r="E2" s="45">
        <f>'Rekenblad front'!I3</f>
        <v>1.9E-2</v>
      </c>
      <c r="F2" s="45">
        <f>'Rekenblad front'!J3</f>
        <v>1.9E-2</v>
      </c>
      <c r="G2" s="45">
        <f>'Rekenblad front'!K3</f>
        <v>9.7601050514777743E-2</v>
      </c>
    </row>
    <row r="3" spans="1:9" x14ac:dyDescent="0.25">
      <c r="B3" s="90">
        <v>2013</v>
      </c>
      <c r="C3" s="90">
        <v>2014</v>
      </c>
      <c r="D3" s="90">
        <v>2015</v>
      </c>
      <c r="E3" s="90">
        <v>2016</v>
      </c>
      <c r="F3" s="90">
        <v>2017</v>
      </c>
      <c r="G3" s="90">
        <v>2018</v>
      </c>
      <c r="I3" t="s">
        <v>217</v>
      </c>
    </row>
    <row r="4" spans="1:9" x14ac:dyDescent="0.25">
      <c r="A4" t="s">
        <v>213</v>
      </c>
    </row>
    <row r="6" spans="1:9" x14ac:dyDescent="0.25">
      <c r="A6" t="s">
        <v>215</v>
      </c>
    </row>
    <row r="10" spans="1:9" x14ac:dyDescent="0.25">
      <c r="A10" t="s">
        <v>214</v>
      </c>
    </row>
    <row r="12" spans="1:9" x14ac:dyDescent="0.25">
      <c r="A12" t="s">
        <v>216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</vt:i4>
      </vt:variant>
    </vt:vector>
  </HeadingPairs>
  <TitlesOfParts>
    <vt:vector size="10" baseType="lpstr">
      <vt:lpstr>Rekenblad front</vt:lpstr>
      <vt:lpstr>Rekenblad reduced</vt:lpstr>
      <vt:lpstr>Blad3</vt:lpstr>
      <vt:lpstr>Blad2</vt:lpstr>
      <vt:lpstr>Blad1</vt:lpstr>
      <vt:lpstr>Blad4</vt:lpstr>
      <vt:lpstr>ontslagverg opera</vt:lpstr>
      <vt:lpstr>Lonen ballet correcties</vt:lpstr>
      <vt:lpstr>EI Ballet evolutie</vt:lpstr>
      <vt:lpstr>'Rekenblad front'!Afdrukbereik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Dirk Mattens</cp:lastModifiedBy>
  <cp:lastPrinted>2013-01-27T17:18:53Z</cp:lastPrinted>
  <dcterms:created xsi:type="dcterms:W3CDTF">2012-09-18T20:04:19Z</dcterms:created>
  <dcterms:modified xsi:type="dcterms:W3CDTF">2013-03-14T15:57:29Z</dcterms:modified>
</cp:coreProperties>
</file>