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.sharepoint.com/sites/Kabinet0V0Z/docs/Schriftelijke vragen/2022-2023/201-300/"/>
    </mc:Choice>
  </mc:AlternateContent>
  <xr:revisionPtr revIDLastSave="8" documentId="13_ncr:1_{7BE6D337-DC22-4E8F-834C-89B5B31F72BE}" xr6:coauthVersionLast="47" xr6:coauthVersionMax="47" xr10:uidLastSave="{9CD92324-71B3-4CD2-8D44-51915EA6EDBD}"/>
  <bookViews>
    <workbookView xWindow="-120" yWindow="-120" windowWidth="29040" windowHeight="15840" xr2:uid="{A5CD0387-E003-4681-9175-1E4211B5A477}"/>
  </bookViews>
  <sheets>
    <sheet name="Vraag 3 - Bubao" sheetId="1" r:id="rId1"/>
    <sheet name="Vraag 3 - BuSo" sheetId="2" r:id="rId2"/>
    <sheet name="Vraag 6 - nieuwe internaten" sheetId="3" r:id="rId3"/>
    <sheet name="Vraag 6 - gesloten internaten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30" i="2" l="1"/>
  <c r="P29" i="2"/>
  <c r="P28" i="2"/>
  <c r="P26" i="2"/>
  <c r="P24" i="2"/>
  <c r="P23" i="2"/>
  <c r="P22" i="2"/>
  <c r="P21" i="2"/>
  <c r="P20" i="2"/>
  <c r="P18" i="2"/>
  <c r="P16" i="2"/>
  <c r="P15" i="2"/>
  <c r="P14" i="2"/>
  <c r="P13" i="2"/>
  <c r="P12" i="2"/>
  <c r="P11" i="2"/>
  <c r="P10" i="2"/>
  <c r="P9" i="2"/>
  <c r="P8" i="2"/>
  <c r="P6" i="2"/>
  <c r="P5" i="2"/>
  <c r="N30" i="2"/>
  <c r="N29" i="2"/>
  <c r="N28" i="2"/>
  <c r="N26" i="2"/>
  <c r="N25" i="2"/>
  <c r="N24" i="2"/>
  <c r="N23" i="2"/>
  <c r="N22" i="2"/>
  <c r="N21" i="2"/>
  <c r="N20" i="2"/>
  <c r="N18" i="2"/>
  <c r="N16" i="2"/>
  <c r="N15" i="2"/>
  <c r="N12" i="2"/>
  <c r="N11" i="2"/>
  <c r="N10" i="2"/>
  <c r="N9" i="2"/>
  <c r="N8" i="2"/>
  <c r="N5" i="2"/>
  <c r="P19" i="1"/>
  <c r="P18" i="1"/>
  <c r="O29" i="2"/>
  <c r="O23" i="2"/>
  <c r="O16" i="2"/>
  <c r="O11" i="2"/>
  <c r="M29" i="2"/>
  <c r="M23" i="2"/>
  <c r="M16" i="2"/>
  <c r="N14" i="2"/>
  <c r="M11" i="2"/>
  <c r="P17" i="1"/>
  <c r="P16" i="1"/>
  <c r="P14" i="1"/>
  <c r="P13" i="1"/>
  <c r="P12" i="1"/>
  <c r="P11" i="1"/>
  <c r="P10" i="1"/>
  <c r="N19" i="1"/>
  <c r="N18" i="1"/>
  <c r="N17" i="1"/>
  <c r="N16" i="1"/>
  <c r="N15" i="1"/>
  <c r="N14" i="1"/>
  <c r="N13" i="1"/>
  <c r="N12" i="1"/>
  <c r="N11" i="1"/>
  <c r="N10" i="1"/>
  <c r="N9" i="1"/>
  <c r="P8" i="1"/>
  <c r="P6" i="1"/>
  <c r="P5" i="1"/>
  <c r="N8" i="1"/>
  <c r="N6" i="1"/>
  <c r="N5" i="1"/>
  <c r="O18" i="1"/>
  <c r="O19" i="1" s="1"/>
  <c r="O8" i="1"/>
  <c r="M18" i="1"/>
  <c r="M8" i="1"/>
  <c r="L28" i="2"/>
  <c r="J28" i="2"/>
  <c r="H28" i="2"/>
  <c r="F28" i="2"/>
  <c r="D28" i="2"/>
  <c r="J27" i="2"/>
  <c r="H27" i="2"/>
  <c r="F27" i="2"/>
  <c r="D27" i="2"/>
  <c r="L26" i="2"/>
  <c r="J26" i="2"/>
  <c r="H26" i="2"/>
  <c r="F26" i="2"/>
  <c r="D26" i="2"/>
  <c r="L25" i="2"/>
  <c r="J25" i="2"/>
  <c r="H25" i="2"/>
  <c r="F25" i="2"/>
  <c r="D25" i="2"/>
  <c r="L24" i="2"/>
  <c r="J24" i="2"/>
  <c r="H24" i="2"/>
  <c r="F24" i="2"/>
  <c r="D24" i="2"/>
  <c r="L22" i="2"/>
  <c r="J22" i="2"/>
  <c r="H22" i="2"/>
  <c r="F22" i="2"/>
  <c r="D22" i="2"/>
  <c r="L21" i="2"/>
  <c r="J21" i="2"/>
  <c r="H21" i="2"/>
  <c r="F21" i="2"/>
  <c r="D21" i="2"/>
  <c r="L20" i="2"/>
  <c r="J20" i="2"/>
  <c r="H19" i="2"/>
  <c r="F19" i="2"/>
  <c r="D19" i="2"/>
  <c r="L18" i="2"/>
  <c r="J18" i="2"/>
  <c r="H18" i="2"/>
  <c r="F18" i="2"/>
  <c r="D18" i="2"/>
  <c r="L17" i="2"/>
  <c r="J17" i="2"/>
  <c r="H17" i="2"/>
  <c r="F17" i="2"/>
  <c r="D17" i="2"/>
  <c r="L15" i="2"/>
  <c r="L14" i="2"/>
  <c r="L13" i="2"/>
  <c r="L12" i="2"/>
  <c r="J15" i="2"/>
  <c r="J14" i="2"/>
  <c r="J13" i="2"/>
  <c r="J12" i="2"/>
  <c r="H12" i="2"/>
  <c r="F15" i="2"/>
  <c r="F12" i="2"/>
  <c r="D15" i="2"/>
  <c r="D12" i="2"/>
  <c r="L10" i="2"/>
  <c r="F10" i="2"/>
  <c r="L9" i="2"/>
  <c r="J9" i="2"/>
  <c r="H9" i="2"/>
  <c r="F9" i="2"/>
  <c r="D9" i="2"/>
  <c r="L8" i="2"/>
  <c r="J8" i="2"/>
  <c r="D7" i="2"/>
  <c r="L5" i="2"/>
  <c r="J5" i="2"/>
  <c r="H5" i="2"/>
  <c r="F5" i="2"/>
  <c r="D5" i="2"/>
  <c r="K29" i="2"/>
  <c r="L29" i="2" s="1"/>
  <c r="I29" i="2"/>
  <c r="J29" i="2" s="1"/>
  <c r="G29" i="2"/>
  <c r="H29" i="2" s="1"/>
  <c r="E29" i="2"/>
  <c r="F29" i="2" s="1"/>
  <c r="C29" i="2"/>
  <c r="D29" i="2" s="1"/>
  <c r="K23" i="2"/>
  <c r="L23" i="2" s="1"/>
  <c r="I23" i="2"/>
  <c r="G23" i="2"/>
  <c r="H23" i="2" s="1"/>
  <c r="E23" i="2"/>
  <c r="F23" i="2" s="1"/>
  <c r="C23" i="2"/>
  <c r="D23" i="2" s="1"/>
  <c r="K16" i="2"/>
  <c r="L16" i="2" s="1"/>
  <c r="I16" i="2"/>
  <c r="J16" i="2" s="1"/>
  <c r="G16" i="2"/>
  <c r="H16" i="2" s="1"/>
  <c r="E16" i="2"/>
  <c r="F16" i="2" s="1"/>
  <c r="C16" i="2"/>
  <c r="D16" i="2" s="1"/>
  <c r="K11" i="2"/>
  <c r="L11" i="2" s="1"/>
  <c r="I11" i="2"/>
  <c r="J11" i="2" s="1"/>
  <c r="G11" i="2"/>
  <c r="H11" i="2" s="1"/>
  <c r="E11" i="2"/>
  <c r="F11" i="2" s="1"/>
  <c r="C11" i="2"/>
  <c r="D11" i="2" s="1"/>
  <c r="L19" i="1"/>
  <c r="L18" i="1"/>
  <c r="J19" i="1"/>
  <c r="J18" i="1"/>
  <c r="H19" i="1"/>
  <c r="H18" i="1"/>
  <c r="F19" i="1"/>
  <c r="F18" i="1"/>
  <c r="D19" i="1"/>
  <c r="D18" i="1"/>
  <c r="L17" i="1"/>
  <c r="J17" i="1"/>
  <c r="H17" i="1"/>
  <c r="F17" i="1"/>
  <c r="D17" i="1"/>
  <c r="L16" i="1"/>
  <c r="J16" i="1"/>
  <c r="H16" i="1"/>
  <c r="F16" i="1"/>
  <c r="D16" i="1"/>
  <c r="L15" i="1"/>
  <c r="J15" i="1"/>
  <c r="H15" i="1"/>
  <c r="F15" i="1"/>
  <c r="D15" i="1"/>
  <c r="L14" i="1"/>
  <c r="J14" i="1"/>
  <c r="L13" i="1"/>
  <c r="J13" i="1"/>
  <c r="L12" i="1"/>
  <c r="J12" i="1"/>
  <c r="H12" i="1"/>
  <c r="F12" i="1"/>
  <c r="D12" i="1"/>
  <c r="L11" i="1"/>
  <c r="J11" i="1"/>
  <c r="H11" i="1"/>
  <c r="F11" i="1"/>
  <c r="D11" i="1"/>
  <c r="L10" i="1"/>
  <c r="J10" i="1"/>
  <c r="H10" i="1"/>
  <c r="F10" i="1"/>
  <c r="D10" i="1"/>
  <c r="L9" i="1"/>
  <c r="J9" i="1"/>
  <c r="H9" i="1"/>
  <c r="F9" i="1"/>
  <c r="D9" i="1"/>
  <c r="L6" i="1"/>
  <c r="L5" i="1"/>
  <c r="J7" i="1"/>
  <c r="J6" i="1"/>
  <c r="H6" i="1"/>
  <c r="H5" i="1"/>
  <c r="F8" i="1"/>
  <c r="F6" i="1"/>
  <c r="F5" i="1"/>
  <c r="D6" i="1"/>
  <c r="D5" i="1"/>
  <c r="G19" i="1"/>
  <c r="E19" i="1"/>
  <c r="K18" i="1"/>
  <c r="I18" i="1"/>
  <c r="G18" i="1"/>
  <c r="E18" i="1"/>
  <c r="C18" i="1"/>
  <c r="K8" i="1"/>
  <c r="K19" i="1" s="1"/>
  <c r="I8" i="1"/>
  <c r="J8" i="1" s="1"/>
  <c r="G8" i="1"/>
  <c r="H8" i="1" s="1"/>
  <c r="E8" i="1"/>
  <c r="C8" i="1"/>
  <c r="C19" i="1" s="1"/>
  <c r="O30" i="2" l="1"/>
  <c r="M30" i="2"/>
  <c r="M19" i="1"/>
  <c r="K30" i="2"/>
  <c r="L30" i="2" s="1"/>
  <c r="E30" i="2"/>
  <c r="F30" i="2" s="1"/>
  <c r="I30" i="2"/>
  <c r="J30" i="2" s="1"/>
  <c r="G30" i="2"/>
  <c r="H30" i="2" s="1"/>
  <c r="C30" i="2"/>
  <c r="D30" i="2" s="1"/>
  <c r="J23" i="2"/>
  <c r="L8" i="1"/>
  <c r="I19" i="1"/>
  <c r="D8" i="1"/>
</calcChain>
</file>

<file path=xl/sharedStrings.xml><?xml version="1.0" encoding="utf-8"?>
<sst xmlns="http://schemas.openxmlformats.org/spreadsheetml/2006/main" count="249" uniqueCount="146">
  <si>
    <t>2015-2016</t>
  </si>
  <si>
    <t>2016-2017</t>
  </si>
  <si>
    <t>2017-2018</t>
  </si>
  <si>
    <t>2018-2019</t>
  </si>
  <si>
    <t>2019-2020</t>
  </si>
  <si>
    <t>Type 2</t>
  </si>
  <si>
    <t>Type 3</t>
  </si>
  <si>
    <t>Type 7</t>
  </si>
  <si>
    <t>Type 1</t>
  </si>
  <si>
    <t>Type 4</t>
  </si>
  <si>
    <t>Type 6</t>
  </si>
  <si>
    <t>Type 8</t>
  </si>
  <si>
    <t>Type 9</t>
  </si>
  <si>
    <t>Type BA</t>
  </si>
  <si>
    <t>soort onderwijs</t>
  </si>
  <si>
    <t>buitengewoon kleuteronderwijs</t>
  </si>
  <si>
    <t>buitengewoon lager onderwijs</t>
  </si>
  <si>
    <t>type</t>
  </si>
  <si>
    <t>Totaal buitengewoon kleuteronderwijs</t>
  </si>
  <si>
    <t>% op schoolbevolking</t>
  </si>
  <si>
    <t>Totaal buitengewoon lager onderwijs</t>
  </si>
  <si>
    <t>Totaal buitengewoon basisonderwijs</t>
  </si>
  <si>
    <t>Type 5</t>
  </si>
  <si>
    <t>opleidingsvorm</t>
  </si>
  <si>
    <t>Totaal OV1</t>
  </si>
  <si>
    <t>Totaal OV2</t>
  </si>
  <si>
    <t>Totaal OV3</t>
  </si>
  <si>
    <t>Totaal OV4</t>
  </si>
  <si>
    <t>Totaal BuSo</t>
  </si>
  <si>
    <t>OV1</t>
  </si>
  <si>
    <t>OV2</t>
  </si>
  <si>
    <t>OV3</t>
  </si>
  <si>
    <t>OV4</t>
  </si>
  <si>
    <t>net</t>
  </si>
  <si>
    <t>straatnaam</t>
  </si>
  <si>
    <t>huisnr</t>
  </si>
  <si>
    <t>postnummer</t>
  </si>
  <si>
    <t>Vrij gesubsidieerd onderwijs</t>
  </si>
  <si>
    <t>Internaat Onze-Lieve-Vrouw J.Billiart</t>
  </si>
  <si>
    <t>Tweebruggenstraat</t>
  </si>
  <si>
    <t xml:space="preserve">36   </t>
  </si>
  <si>
    <t>Gent</t>
  </si>
  <si>
    <t>InternaatOost</t>
  </si>
  <si>
    <t>Wezestraat</t>
  </si>
  <si>
    <t xml:space="preserve">2    </t>
  </si>
  <si>
    <t>Ardooie</t>
  </si>
  <si>
    <t>Internaat2KSOTielt-Ruiselede</t>
  </si>
  <si>
    <t>Ieperstraat</t>
  </si>
  <si>
    <t xml:space="preserve">32   </t>
  </si>
  <si>
    <t>Tielt</t>
  </si>
  <si>
    <t>Officieel gesubsidieerd onderwijs</t>
  </si>
  <si>
    <t>Stedelijk Internaat Gent: Kastanje</t>
  </si>
  <si>
    <t>Steenakker</t>
  </si>
  <si>
    <t xml:space="preserve">250  </t>
  </si>
  <si>
    <t>Internaat Abdijschool - Paviljoen</t>
  </si>
  <si>
    <t>Abdijhoek</t>
  </si>
  <si>
    <t xml:space="preserve">17   </t>
  </si>
  <si>
    <t>Zedelgem</t>
  </si>
  <si>
    <t>Arena</t>
  </si>
  <si>
    <t>Joseph Wautersstraat</t>
  </si>
  <si>
    <t xml:space="preserve">61   </t>
  </si>
  <si>
    <t>Brugge</t>
  </si>
  <si>
    <t>Internaat 'De Mijn'</t>
  </si>
  <si>
    <t>Massartstraat</t>
  </si>
  <si>
    <t xml:space="preserve">4    </t>
  </si>
  <si>
    <t>Koksijde</t>
  </si>
  <si>
    <t>Andere</t>
  </si>
  <si>
    <t>Kasterlinden Internaat</t>
  </si>
  <si>
    <t>Poolsterstraat</t>
  </si>
  <si>
    <t xml:space="preserve">10   </t>
  </si>
  <si>
    <t>Sint-Agatha-Berchem</t>
  </si>
  <si>
    <t>Internaat Stuvenberghe</t>
  </si>
  <si>
    <t>Snaggaardstraat</t>
  </si>
  <si>
    <t xml:space="preserve">15   </t>
  </si>
  <si>
    <t>Sint-Lievenscollege Internaat</t>
  </si>
  <si>
    <t>Zilverenberg</t>
  </si>
  <si>
    <t xml:space="preserve">1    </t>
  </si>
  <si>
    <t>Internaat Ignatius</t>
  </si>
  <si>
    <t>Drongenplein</t>
  </si>
  <si>
    <t>26_27</t>
  </si>
  <si>
    <t>Internaat Kijkuit</t>
  </si>
  <si>
    <t>Houtsaegerlaan</t>
  </si>
  <si>
    <t xml:space="preserve">16   </t>
  </si>
  <si>
    <t>Internaat VABI</t>
  </si>
  <si>
    <t>Zuidstraat</t>
  </si>
  <si>
    <t xml:space="preserve">33   </t>
  </si>
  <si>
    <t>Roeselare</t>
  </si>
  <si>
    <t>Don Bosco 2.0</t>
  </si>
  <si>
    <t>Don Boscolaan</t>
  </si>
  <si>
    <t xml:space="preserve">30   </t>
  </si>
  <si>
    <t>Kortrijk</t>
  </si>
  <si>
    <t>Internaat 't Convent"</t>
  </si>
  <si>
    <t>Carmersstraat</t>
  </si>
  <si>
    <t xml:space="preserve">83   </t>
  </si>
  <si>
    <t>Internaat Sint-Andreasinstituut</t>
  </si>
  <si>
    <t>Hoogstraat</t>
  </si>
  <si>
    <t>Oudenburg</t>
  </si>
  <si>
    <t>Gemeenschapsonderwijs</t>
  </si>
  <si>
    <t>GO! Autonoom Internaat STUDHO</t>
  </si>
  <si>
    <t>Armand Hertzstraat</t>
  </si>
  <si>
    <t xml:space="preserve">2_A  </t>
  </si>
  <si>
    <t>Hasselt</t>
  </si>
  <si>
    <t>Sint-Lievensinternaat</t>
  </si>
  <si>
    <t>Sint-Jorisinternaat</t>
  </si>
  <si>
    <t>Beekstraat</t>
  </si>
  <si>
    <t>GO! internaat atheneum Keerbergen</t>
  </si>
  <si>
    <t>Vlieghavenlaan</t>
  </si>
  <si>
    <t xml:space="preserve">18   </t>
  </si>
  <si>
    <t>Keerbergen</t>
  </si>
  <si>
    <t>Internaat De Raan</t>
  </si>
  <si>
    <t>Kerkstraat</t>
  </si>
  <si>
    <t xml:space="preserve">72   </t>
  </si>
  <si>
    <t>De Haan</t>
  </si>
  <si>
    <t>GO! internaat atheneum Hof Ten Bos</t>
  </si>
  <si>
    <t>Lage Kaart</t>
  </si>
  <si>
    <t xml:space="preserve">538  </t>
  </si>
  <si>
    <t>Brasschaat</t>
  </si>
  <si>
    <t>GO! internaat Zwaluwnest</t>
  </si>
  <si>
    <t>Boudewijnvest</t>
  </si>
  <si>
    <t>Diest</t>
  </si>
  <si>
    <t>Aantal leerlingen ingeschreven in een gewoon internaat én ingeschreven in het buitengewoon basisonderwijs</t>
  </si>
  <si>
    <t>Aantal leerlingen ingeschreven in een gewoon internaat én ingeschreven in het buitengewoon secundair onderwijs</t>
  </si>
  <si>
    <t>Overzicht van de nieuw opgerichte internaten</t>
  </si>
  <si>
    <t>Overzicht van de gesloten internaten</t>
  </si>
  <si>
    <t>naam instelling</t>
  </si>
  <si>
    <t>datum opheffing</t>
  </si>
  <si>
    <t>naam fusiegemeente</t>
  </si>
  <si>
    <t>datum oprichting</t>
  </si>
  <si>
    <t>2020-2021</t>
  </si>
  <si>
    <t>Bron: AGODI-databanken, geraadpleegd op 1/02/2023.</t>
  </si>
  <si>
    <t>2021-2022</t>
  </si>
  <si>
    <t>GO! Next de Mix</t>
  </si>
  <si>
    <t>Elfde-Liniestraat</t>
  </si>
  <si>
    <t xml:space="preserve">20   </t>
  </si>
  <si>
    <t>Sint-Ignatius Internaat</t>
  </si>
  <si>
    <t>Terhulpensesteenweg</t>
  </si>
  <si>
    <t xml:space="preserve">708  </t>
  </si>
  <si>
    <t>Overijse</t>
  </si>
  <si>
    <t>Topsporthuis</t>
  </si>
  <si>
    <t>Edegemsesteenweg</t>
  </si>
  <si>
    <t xml:space="preserve">   25</t>
  </si>
  <si>
    <t>Antwerpen</t>
  </si>
  <si>
    <t/>
  </si>
  <si>
    <t>GO! Next internaat Hoebanx</t>
  </si>
  <si>
    <t>Koning Boudewijnlaan</t>
  </si>
  <si>
    <t>GO! Next internaat de Zandberg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</si>
</sst>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i/>
      <sz val="9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">
    <xf numFmtId="0" fontId="0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3" fillId="0" borderId="0"/>
  </cellStyleXfs>
  <cellXfs count="55">
    <xf numFmtId="0" fontId="0" fillId="0" borderId="0" xfId="0"/>
    <xf numFmtId="0" fontId="6" fillId="0" borderId="0" xfId="2" applyFont="1" applyFill="1" applyBorder="1" applyAlignment="1">
      <alignment horizontal="right" wrapText="1"/>
    </xf>
    <xf numFmtId="0" fontId="0" fillId="0" borderId="0" xfId="0" applyFill="1" applyBorder="1"/>
    <xf numFmtId="0" fontId="6" fillId="0" borderId="0" xfId="2" applyFont="1" applyFill="1" applyBorder="1" applyAlignment="1">
      <alignment horizontal="center"/>
    </xf>
    <xf numFmtId="0" fontId="6" fillId="0" borderId="0" xfId="2" applyFont="1" applyFill="1" applyBorder="1" applyAlignment="1">
      <alignment wrapText="1"/>
    </xf>
    <xf numFmtId="0" fontId="8" fillId="0" borderId="0" xfId="0" applyFont="1"/>
    <xf numFmtId="0" fontId="9" fillId="0" borderId="0" xfId="0" applyFont="1"/>
    <xf numFmtId="0" fontId="2" fillId="2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wrapText="1"/>
    </xf>
    <xf numFmtId="0" fontId="2" fillId="0" borderId="1" xfId="1" applyFont="1" applyFill="1" applyBorder="1" applyAlignment="1">
      <alignment horizontal="center" wrapText="1"/>
    </xf>
    <xf numFmtId="164" fontId="2" fillId="0" borderId="1" xfId="1" applyNumberFormat="1" applyFont="1" applyFill="1" applyBorder="1" applyAlignment="1">
      <alignment horizontal="center" wrapText="1"/>
    </xf>
    <xf numFmtId="0" fontId="3" fillId="0" borderId="1" xfId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3" fillId="0" borderId="1" xfId="1" applyNumberFormat="1" applyBorder="1" applyAlignment="1">
      <alignment horizontal="center"/>
    </xf>
    <xf numFmtId="0" fontId="4" fillId="0" borderId="1" xfId="1" applyFont="1" applyFill="1" applyBorder="1" applyAlignment="1">
      <alignment wrapText="1"/>
    </xf>
    <xf numFmtId="0" fontId="5" fillId="0" borderId="1" xfId="1" applyFont="1" applyBorder="1" applyAlignment="1">
      <alignment horizontal="center"/>
    </xf>
    <xf numFmtId="164" fontId="5" fillId="0" borderId="1" xfId="1" applyNumberFormat="1" applyFont="1" applyBorder="1" applyAlignment="1">
      <alignment horizontal="center"/>
    </xf>
    <xf numFmtId="0" fontId="4" fillId="0" borderId="1" xfId="1" applyFont="1" applyFill="1" applyBorder="1" applyAlignment="1">
      <alignment horizontal="center" wrapText="1"/>
    </xf>
    <xf numFmtId="164" fontId="4" fillId="0" borderId="1" xfId="1" applyNumberFormat="1" applyFont="1" applyFill="1" applyBorder="1" applyAlignment="1">
      <alignment horizontal="center" wrapText="1"/>
    </xf>
    <xf numFmtId="164" fontId="1" fillId="0" borderId="1" xfId="0" applyNumberFormat="1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6" fillId="2" borderId="2" xfId="3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6" fillId="0" borderId="1" xfId="3" applyFont="1" applyFill="1" applyBorder="1" applyAlignment="1">
      <alignment wrapText="1"/>
    </xf>
    <xf numFmtId="0" fontId="6" fillId="0" borderId="1" xfId="3" applyFont="1" applyFill="1" applyBorder="1" applyAlignment="1">
      <alignment horizontal="center" wrapText="1"/>
    </xf>
    <xf numFmtId="164" fontId="6" fillId="0" borderId="1" xfId="3" applyNumberFormat="1" applyFont="1" applyFill="1" applyBorder="1" applyAlignment="1">
      <alignment horizontal="center" wrapText="1"/>
    </xf>
    <xf numFmtId="0" fontId="7" fillId="0" borderId="1" xfId="3" applyBorder="1" applyAlignment="1">
      <alignment horizontal="center"/>
    </xf>
    <xf numFmtId="164" fontId="7" fillId="0" borderId="1" xfId="3" applyNumberFormat="1" applyBorder="1" applyAlignment="1">
      <alignment horizontal="center"/>
    </xf>
    <xf numFmtId="0" fontId="4" fillId="0" borderId="1" xfId="3" applyFont="1" applyFill="1" applyBorder="1" applyAlignment="1">
      <alignment wrapText="1"/>
    </xf>
    <xf numFmtId="0" fontId="5" fillId="0" borderId="1" xfId="3" applyFont="1" applyBorder="1" applyAlignment="1">
      <alignment horizontal="center"/>
    </xf>
    <xf numFmtId="164" fontId="5" fillId="0" borderId="1" xfId="3" applyNumberFormat="1" applyFont="1" applyBorder="1" applyAlignment="1">
      <alignment horizontal="center"/>
    </xf>
    <xf numFmtId="0" fontId="4" fillId="0" borderId="1" xfId="3" applyFont="1" applyFill="1" applyBorder="1" applyAlignment="1">
      <alignment horizontal="center" wrapText="1"/>
    </xf>
    <xf numFmtId="164" fontId="4" fillId="0" borderId="1" xfId="3" applyNumberFormat="1" applyFont="1" applyFill="1" applyBorder="1" applyAlignment="1">
      <alignment horizontal="center" wrapText="1"/>
    </xf>
    <xf numFmtId="0" fontId="6" fillId="2" borderId="2" xfId="4" applyFont="1" applyFill="1" applyBorder="1" applyAlignment="1">
      <alignment horizontal="center"/>
    </xf>
    <xf numFmtId="0" fontId="2" fillId="2" borderId="2" xfId="4" applyFont="1" applyFill="1" applyBorder="1" applyAlignment="1">
      <alignment horizontal="center"/>
    </xf>
    <xf numFmtId="14" fontId="6" fillId="0" borderId="1" xfId="4" applyNumberFormat="1" applyFont="1" applyFill="1" applyBorder="1" applyAlignment="1">
      <alignment horizontal="left" wrapText="1"/>
    </xf>
    <xf numFmtId="0" fontId="6" fillId="0" borderId="1" xfId="4" applyFont="1" applyFill="1" applyBorder="1" applyAlignment="1">
      <alignment horizontal="left" wrapText="1"/>
    </xf>
    <xf numFmtId="14" fontId="6" fillId="0" borderId="1" xfId="5" applyNumberFormat="1" applyFont="1" applyFill="1" applyBorder="1" applyAlignment="1">
      <alignment horizontal="left" wrapText="1"/>
    </xf>
    <xf numFmtId="0" fontId="6" fillId="0" borderId="1" xfId="5" applyFont="1" applyFill="1" applyBorder="1" applyAlignment="1">
      <alignment horizontal="left" wrapText="1"/>
    </xf>
    <xf numFmtId="0" fontId="2" fillId="2" borderId="2" xfId="3" applyFont="1" applyFill="1" applyBorder="1" applyAlignment="1">
      <alignment horizontal="center"/>
    </xf>
    <xf numFmtId="0" fontId="2" fillId="0" borderId="1" xfId="3" applyFont="1" applyFill="1" applyBorder="1" applyAlignment="1">
      <alignment wrapText="1"/>
    </xf>
    <xf numFmtId="0" fontId="10" fillId="0" borderId="3" xfId="6" applyFont="1" applyFill="1" applyBorder="1" applyAlignment="1">
      <alignment wrapText="1"/>
    </xf>
    <xf numFmtId="0" fontId="10" fillId="0" borderId="4" xfId="6" applyFont="1" applyFill="1" applyBorder="1" applyAlignment="1">
      <alignment wrapText="1"/>
    </xf>
    <xf numFmtId="14" fontId="10" fillId="0" borderId="1" xfId="6" applyNumberFormat="1" applyFont="1" applyFill="1" applyBorder="1" applyAlignment="1">
      <alignment horizontal="left" wrapText="1"/>
    </xf>
    <xf numFmtId="0" fontId="10" fillId="0" borderId="1" xfId="6" applyFont="1" applyFill="1" applyBorder="1" applyAlignment="1">
      <alignment wrapText="1"/>
    </xf>
    <xf numFmtId="0" fontId="2" fillId="2" borderId="1" xfId="5" applyFont="1" applyFill="1" applyBorder="1" applyAlignment="1">
      <alignment horizontal="center"/>
    </xf>
    <xf numFmtId="0" fontId="6" fillId="2" borderId="1" xfId="5" applyFont="1" applyFill="1" applyBorder="1" applyAlignment="1">
      <alignment horizontal="center"/>
    </xf>
    <xf numFmtId="14" fontId="2" fillId="0" borderId="1" xfId="7" applyNumberFormat="1" applyFont="1" applyFill="1" applyBorder="1" applyAlignment="1">
      <alignment horizontal="left" wrapText="1"/>
    </xf>
    <xf numFmtId="0" fontId="2" fillId="0" borderId="1" xfId="7" applyFont="1" applyFill="1" applyBorder="1" applyAlignment="1">
      <alignment wrapText="1"/>
    </xf>
    <xf numFmtId="0" fontId="2" fillId="0" borderId="1" xfId="7" applyFont="1" applyFill="1" applyBorder="1" applyAlignment="1">
      <alignment horizontal="left" wrapText="1"/>
    </xf>
    <xf numFmtId="0" fontId="10" fillId="0" borderId="1" xfId="6" applyFont="1" applyFill="1" applyBorder="1" applyAlignment="1">
      <alignment horizontal="left" wrapText="1"/>
    </xf>
  </cellXfs>
  <cellStyles count="8">
    <cellStyle name="Standaard" xfId="0" builtinId="0"/>
    <cellStyle name="Standaard_Blad1" xfId="1" xr:uid="{04BF1115-8695-4911-ACC3-61A34DE0D2FD}"/>
    <cellStyle name="Standaard_Blad2" xfId="3" xr:uid="{D7A8C4D7-3204-46A9-A69F-2B2CFE3383A2}"/>
    <cellStyle name="Standaard_Blad4" xfId="5" xr:uid="{36D8EF82-6BD4-42C7-950C-0A725F93D249}"/>
    <cellStyle name="Standaard_Vraag 3 - Bao" xfId="2" xr:uid="{99804909-12C2-47A7-ACF3-0228642FF36E}"/>
    <cellStyle name="Standaard_Vraag 6 - gesloten internaten" xfId="7" xr:uid="{FAB15736-B980-4572-BFA4-CFFEE9C5EBFA}"/>
    <cellStyle name="Standaard_Vraag 6 - nieuwe internaten" xfId="4" xr:uid="{EFDA4143-FF53-4BF1-8DE9-F052545FBC1C}"/>
    <cellStyle name="Standaard_Vraag 6 - nieuwe internaten_1" xfId="6" xr:uid="{7BF300A9-D78C-4721-BFD3-3BA4D1631A5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60546-379E-4A91-A6F3-392990B32A97}">
  <sheetPr>
    <pageSetUpPr fitToPage="1"/>
  </sheetPr>
  <dimension ref="A1:P33"/>
  <sheetViews>
    <sheetView tabSelected="1" workbookViewId="0">
      <selection activeCell="P7" sqref="P7"/>
    </sheetView>
  </sheetViews>
  <sheetFormatPr defaultRowHeight="17.45" customHeight="1" x14ac:dyDescent="0.25"/>
  <cols>
    <col min="1" max="1" width="34.140625" bestFit="1" customWidth="1"/>
    <col min="2" max="2" width="7.5703125" bestFit="1" customWidth="1"/>
    <col min="3" max="3" width="11.7109375" customWidth="1"/>
    <col min="4" max="4" width="21" customWidth="1"/>
    <col min="5" max="5" width="11" customWidth="1"/>
    <col min="6" max="6" width="20.42578125" customWidth="1"/>
    <col min="7" max="7" width="11.140625" customWidth="1"/>
    <col min="8" max="8" width="21.42578125" customWidth="1"/>
    <col min="9" max="9" width="10.5703125" customWidth="1"/>
    <col min="10" max="10" width="20.28515625" customWidth="1"/>
    <col min="11" max="11" width="11.140625" customWidth="1"/>
    <col min="12" max="12" width="20.7109375" customWidth="1"/>
    <col min="13" max="13" width="9.7109375" bestFit="1" customWidth="1"/>
    <col min="14" max="14" width="18.7109375" bestFit="1" customWidth="1"/>
    <col min="15" max="15" width="9.7109375" bestFit="1" customWidth="1"/>
    <col min="16" max="16" width="18.7109375" bestFit="1" customWidth="1"/>
  </cols>
  <sheetData>
    <row r="1" spans="1:16" s="6" customFormat="1" ht="17.45" customHeight="1" x14ac:dyDescent="0.3">
      <c r="A1" s="6" t="s">
        <v>120</v>
      </c>
    </row>
    <row r="2" spans="1:16" s="5" customFormat="1" ht="17.45" customHeight="1" x14ac:dyDescent="0.2">
      <c r="A2" s="5" t="s">
        <v>129</v>
      </c>
    </row>
    <row r="4" spans="1:16" ht="17.45" customHeight="1" x14ac:dyDescent="0.25">
      <c r="A4" s="7" t="s">
        <v>14</v>
      </c>
      <c r="B4" s="7" t="s">
        <v>17</v>
      </c>
      <c r="C4" s="7" t="s">
        <v>0</v>
      </c>
      <c r="D4" s="7" t="s">
        <v>19</v>
      </c>
      <c r="E4" s="7" t="s">
        <v>1</v>
      </c>
      <c r="F4" s="7" t="s">
        <v>19</v>
      </c>
      <c r="G4" s="7" t="s">
        <v>2</v>
      </c>
      <c r="H4" s="7" t="s">
        <v>19</v>
      </c>
      <c r="I4" s="7" t="s">
        <v>3</v>
      </c>
      <c r="J4" s="7" t="s">
        <v>19</v>
      </c>
      <c r="K4" s="7" t="s">
        <v>4</v>
      </c>
      <c r="L4" s="7" t="s">
        <v>19</v>
      </c>
      <c r="M4" s="7" t="s">
        <v>128</v>
      </c>
      <c r="N4" s="7" t="s">
        <v>19</v>
      </c>
      <c r="O4" s="7" t="s">
        <v>130</v>
      </c>
      <c r="P4" s="7" t="s">
        <v>19</v>
      </c>
    </row>
    <row r="5" spans="1:16" ht="17.45" customHeight="1" x14ac:dyDescent="0.25">
      <c r="A5" s="8" t="s">
        <v>15</v>
      </c>
      <c r="B5" s="8" t="s">
        <v>5</v>
      </c>
      <c r="C5" s="9">
        <v>3</v>
      </c>
      <c r="D5" s="10">
        <f>C5*100/1133</f>
        <v>0.26478375992939102</v>
      </c>
      <c r="E5" s="9">
        <v>3</v>
      </c>
      <c r="F5" s="10">
        <f>E5*100/1050</f>
        <v>0.2857142857142857</v>
      </c>
      <c r="G5" s="9">
        <v>1</v>
      </c>
      <c r="H5" s="10">
        <f>G5*100/974</f>
        <v>0.10266940451745379</v>
      </c>
      <c r="I5" s="11"/>
      <c r="J5" s="11"/>
      <c r="K5" s="9">
        <v>3</v>
      </c>
      <c r="L5" s="12">
        <f>K5*100/1084</f>
        <v>0.2767527675276753</v>
      </c>
      <c r="M5" s="9">
        <v>2</v>
      </c>
      <c r="N5" s="12">
        <f>M5*100/1095</f>
        <v>0.18264840182648401</v>
      </c>
      <c r="O5" s="9">
        <v>2</v>
      </c>
      <c r="P5" s="12">
        <f>O5*100/1252</f>
        <v>0.15974440894568689</v>
      </c>
    </row>
    <row r="6" spans="1:16" ht="17.45" customHeight="1" x14ac:dyDescent="0.25">
      <c r="A6" s="8"/>
      <c r="B6" s="8" t="s">
        <v>6</v>
      </c>
      <c r="C6" s="9">
        <v>1</v>
      </c>
      <c r="D6" s="10">
        <f>C6*100/131</f>
        <v>0.76335877862595425</v>
      </c>
      <c r="E6" s="9">
        <v>1</v>
      </c>
      <c r="F6" s="10">
        <f>E6*100/104</f>
        <v>0.96153846153846156</v>
      </c>
      <c r="G6" s="9">
        <v>1</v>
      </c>
      <c r="H6" s="10">
        <f>G6*100/90</f>
        <v>1.1111111111111112</v>
      </c>
      <c r="I6" s="9">
        <v>4</v>
      </c>
      <c r="J6" s="10">
        <f>I6*100/112</f>
        <v>3.5714285714285716</v>
      </c>
      <c r="K6" s="9">
        <v>3</v>
      </c>
      <c r="L6" s="12">
        <f>K6*100/121</f>
        <v>2.4793388429752068</v>
      </c>
      <c r="M6" s="9">
        <v>2</v>
      </c>
      <c r="N6" s="12">
        <f>M6*100/101</f>
        <v>1.9801980198019802</v>
      </c>
      <c r="O6" s="9">
        <v>1</v>
      </c>
      <c r="P6" s="12">
        <f>O6*100/105</f>
        <v>0.95238095238095233</v>
      </c>
    </row>
    <row r="7" spans="1:16" ht="17.45" customHeight="1" x14ac:dyDescent="0.25">
      <c r="A7" s="8"/>
      <c r="B7" s="8" t="s">
        <v>7</v>
      </c>
      <c r="C7" s="11"/>
      <c r="D7" s="13"/>
      <c r="E7" s="11"/>
      <c r="F7" s="13"/>
      <c r="G7" s="11"/>
      <c r="H7" s="13"/>
      <c r="I7" s="9">
        <v>2</v>
      </c>
      <c r="J7" s="10">
        <f>I7*100/207</f>
        <v>0.96618357487922701</v>
      </c>
      <c r="K7" s="11"/>
      <c r="L7" s="12"/>
      <c r="M7" s="11"/>
      <c r="N7" s="12"/>
      <c r="O7" s="11"/>
      <c r="P7" s="12"/>
    </row>
    <row r="8" spans="1:16" ht="17.45" customHeight="1" x14ac:dyDescent="0.25">
      <c r="A8" s="14" t="s">
        <v>18</v>
      </c>
      <c r="B8" s="14"/>
      <c r="C8" s="15">
        <f>SUM(C5:C7)</f>
        <v>4</v>
      </c>
      <c r="D8" s="16">
        <f>C8*100/1264</f>
        <v>0.31645569620253167</v>
      </c>
      <c r="E8" s="15">
        <f>SUM(E5:E7)</f>
        <v>4</v>
      </c>
      <c r="F8" s="16">
        <f>E8*100/1154</f>
        <v>0.34662045060658581</v>
      </c>
      <c r="G8" s="15">
        <f>SUM(G5:G7)</f>
        <v>2</v>
      </c>
      <c r="H8" s="16">
        <f>G8*100/1064</f>
        <v>0.18796992481203006</v>
      </c>
      <c r="I8" s="17">
        <f>SUM(I6:I7)</f>
        <v>6</v>
      </c>
      <c r="J8" s="18">
        <f>I8*100/319</f>
        <v>1.8808777429467085</v>
      </c>
      <c r="K8" s="15">
        <f>SUM(K5:K7)</f>
        <v>6</v>
      </c>
      <c r="L8" s="19">
        <f>K8*100/1205</f>
        <v>0.49792531120331951</v>
      </c>
      <c r="M8" s="15">
        <f>SUM(M5:M7)</f>
        <v>4</v>
      </c>
      <c r="N8" s="19">
        <f>M8*100/1196</f>
        <v>0.33444816053511706</v>
      </c>
      <c r="O8" s="15">
        <f>SUM(O5:O7)</f>
        <v>3</v>
      </c>
      <c r="P8" s="19">
        <f>O8*100/1357</f>
        <v>0.2210759027266028</v>
      </c>
    </row>
    <row r="9" spans="1:16" ht="17.45" customHeight="1" x14ac:dyDescent="0.25">
      <c r="A9" s="8" t="s">
        <v>16</v>
      </c>
      <c r="B9" s="8" t="s">
        <v>8</v>
      </c>
      <c r="C9" s="9">
        <v>27</v>
      </c>
      <c r="D9" s="10">
        <f>C9*100/5704</f>
        <v>0.47335203366058903</v>
      </c>
      <c r="E9" s="9">
        <v>20</v>
      </c>
      <c r="F9" s="10">
        <f>E9*100/3925</f>
        <v>0.50955414012738853</v>
      </c>
      <c r="G9" s="9">
        <v>12</v>
      </c>
      <c r="H9" s="10">
        <f>G9*100/2459</f>
        <v>0.48800325335502237</v>
      </c>
      <c r="I9" s="9">
        <v>7</v>
      </c>
      <c r="J9" s="12">
        <f>I9*100/1406</f>
        <v>0.49786628733997157</v>
      </c>
      <c r="K9" s="9">
        <v>4</v>
      </c>
      <c r="L9" s="20">
        <f>K9*100/681</f>
        <v>0.58737151248164465</v>
      </c>
      <c r="M9" s="9">
        <v>2</v>
      </c>
      <c r="N9" s="20">
        <f>M9*100/211</f>
        <v>0.94786729857819907</v>
      </c>
      <c r="O9" s="9"/>
      <c r="P9" s="20"/>
    </row>
    <row r="10" spans="1:16" ht="17.45" customHeight="1" x14ac:dyDescent="0.25">
      <c r="A10" s="8"/>
      <c r="B10" s="8" t="s">
        <v>5</v>
      </c>
      <c r="C10" s="9">
        <v>17</v>
      </c>
      <c r="D10" s="10">
        <f>C10*100/3710</f>
        <v>0.4582210242587601</v>
      </c>
      <c r="E10" s="9">
        <v>16</v>
      </c>
      <c r="F10" s="10">
        <f>E10*100/3588</f>
        <v>0.44593088071348941</v>
      </c>
      <c r="G10" s="9">
        <v>17</v>
      </c>
      <c r="H10" s="10">
        <f>G10*100/3603</f>
        <v>0.47182903136275328</v>
      </c>
      <c r="I10" s="9">
        <v>13</v>
      </c>
      <c r="J10" s="10">
        <f>I10*100/3701</f>
        <v>0.3512564171845447</v>
      </c>
      <c r="K10" s="9">
        <v>10</v>
      </c>
      <c r="L10" s="20">
        <f>K10*100/3854</f>
        <v>0.25947067981318112</v>
      </c>
      <c r="M10" s="9">
        <v>10</v>
      </c>
      <c r="N10" s="20">
        <f>M10*100/4089</f>
        <v>0.24455857177794083</v>
      </c>
      <c r="O10" s="9">
        <v>13</v>
      </c>
      <c r="P10" s="20">
        <f>O10*100/4245</f>
        <v>0.30624263839811544</v>
      </c>
    </row>
    <row r="11" spans="1:16" ht="17.45" customHeight="1" x14ac:dyDescent="0.25">
      <c r="A11" s="8"/>
      <c r="B11" s="8" t="s">
        <v>6</v>
      </c>
      <c r="C11" s="9">
        <v>17</v>
      </c>
      <c r="D11" s="10">
        <f>C11*100/2020</f>
        <v>0.84158415841584155</v>
      </c>
      <c r="E11" s="9">
        <v>25</v>
      </c>
      <c r="F11" s="10">
        <f>E11*100/1837</f>
        <v>1.3609145345672291</v>
      </c>
      <c r="G11" s="9">
        <v>26</v>
      </c>
      <c r="H11" s="10">
        <f>G11*100/1739</f>
        <v>1.4951121334100057</v>
      </c>
      <c r="I11" s="9">
        <v>20</v>
      </c>
      <c r="J11" s="10">
        <f>I11*100/1732</f>
        <v>1.1547344110854503</v>
      </c>
      <c r="K11" s="9">
        <v>18</v>
      </c>
      <c r="L11" s="20">
        <f>K11*100/1800</f>
        <v>1</v>
      </c>
      <c r="M11" s="9">
        <v>24</v>
      </c>
      <c r="N11" s="20">
        <f>M11*100/1773</f>
        <v>1.3536379018612521</v>
      </c>
      <c r="O11" s="9">
        <v>36</v>
      </c>
      <c r="P11" s="20">
        <f>O11*100/1697</f>
        <v>2.1213906894519741</v>
      </c>
    </row>
    <row r="12" spans="1:16" ht="17.45" customHeight="1" x14ac:dyDescent="0.25">
      <c r="A12" s="8"/>
      <c r="B12" s="8" t="s">
        <v>9</v>
      </c>
      <c r="C12" s="9">
        <v>1</v>
      </c>
      <c r="D12" s="10">
        <f>C12*100/1279</f>
        <v>7.8186082877247848E-2</v>
      </c>
      <c r="E12" s="9">
        <v>2</v>
      </c>
      <c r="F12" s="10">
        <f>E12*100/1179</f>
        <v>0.16963528413910092</v>
      </c>
      <c r="G12" s="9">
        <v>1</v>
      </c>
      <c r="H12" s="10">
        <f>G12*100/1133</f>
        <v>8.8261253309797005E-2</v>
      </c>
      <c r="I12" s="9">
        <v>1</v>
      </c>
      <c r="J12" s="10">
        <f>I12*100/1049</f>
        <v>9.532888465204957E-2</v>
      </c>
      <c r="K12" s="9">
        <v>1</v>
      </c>
      <c r="L12" s="20">
        <f>K12*100/992</f>
        <v>0.10080645161290322</v>
      </c>
      <c r="M12" s="9">
        <v>2</v>
      </c>
      <c r="N12" s="20">
        <f>M12*100/971</f>
        <v>0.20597322348094749</v>
      </c>
      <c r="O12" s="9">
        <v>1</v>
      </c>
      <c r="P12" s="20">
        <f>O12*100/993</f>
        <v>0.10070493454179255</v>
      </c>
    </row>
    <row r="13" spans="1:16" ht="17.45" customHeight="1" x14ac:dyDescent="0.25">
      <c r="A13" s="8"/>
      <c r="B13" s="8" t="s">
        <v>10</v>
      </c>
      <c r="C13" s="11"/>
      <c r="D13" s="13"/>
      <c r="E13" s="11"/>
      <c r="F13" s="13"/>
      <c r="G13" s="11"/>
      <c r="H13" s="13"/>
      <c r="I13" s="9">
        <v>1</v>
      </c>
      <c r="J13" s="10">
        <f>I13*100/114</f>
        <v>0.8771929824561403</v>
      </c>
      <c r="K13" s="9">
        <v>3</v>
      </c>
      <c r="L13" s="20">
        <f>K13*100/118</f>
        <v>2.5423728813559321</v>
      </c>
      <c r="M13" s="9">
        <v>3</v>
      </c>
      <c r="N13" s="20">
        <f>M13*100/124</f>
        <v>2.4193548387096775</v>
      </c>
      <c r="O13" s="9">
        <v>4</v>
      </c>
      <c r="P13" s="20">
        <f>O13*100/126</f>
        <v>3.1746031746031744</v>
      </c>
    </row>
    <row r="14" spans="1:16" ht="17.45" customHeight="1" x14ac:dyDescent="0.25">
      <c r="A14" s="8"/>
      <c r="B14" s="8" t="s">
        <v>7</v>
      </c>
      <c r="C14" s="11"/>
      <c r="D14" s="13"/>
      <c r="E14" s="11"/>
      <c r="F14" s="13"/>
      <c r="G14" s="11"/>
      <c r="H14" s="13"/>
      <c r="I14" s="9">
        <v>6</v>
      </c>
      <c r="J14" s="10">
        <f>I14*100/1159</f>
        <v>0.51768766177739434</v>
      </c>
      <c r="K14" s="9">
        <v>9</v>
      </c>
      <c r="L14" s="20">
        <f>K14*100/1136</f>
        <v>0.79225352112676062</v>
      </c>
      <c r="M14" s="9">
        <v>9</v>
      </c>
      <c r="N14" s="20">
        <f>M14*100/1119</f>
        <v>0.80428954423592491</v>
      </c>
      <c r="O14" s="9">
        <v>7</v>
      </c>
      <c r="P14" s="20">
        <f>O14*100/1127</f>
        <v>0.6211180124223602</v>
      </c>
    </row>
    <row r="15" spans="1:16" ht="17.45" customHeight="1" x14ac:dyDescent="0.25">
      <c r="A15" s="8"/>
      <c r="B15" s="8" t="s">
        <v>11</v>
      </c>
      <c r="C15" s="9">
        <v>48</v>
      </c>
      <c r="D15" s="10">
        <f>C15*100/7603</f>
        <v>0.63132973826121264</v>
      </c>
      <c r="E15" s="9">
        <v>36</v>
      </c>
      <c r="F15" s="10">
        <f>E15*100/5452</f>
        <v>0.66030814380044023</v>
      </c>
      <c r="G15" s="9">
        <v>28</v>
      </c>
      <c r="H15" s="10">
        <f>G15*100/3508</f>
        <v>0.79817559863169896</v>
      </c>
      <c r="I15" s="9">
        <v>15</v>
      </c>
      <c r="J15" s="10">
        <f>I15*100/1932</f>
        <v>0.77639751552795033</v>
      </c>
      <c r="K15" s="9">
        <v>8</v>
      </c>
      <c r="L15" s="20">
        <f>K15*100/879</f>
        <v>0.91012514220705343</v>
      </c>
      <c r="M15" s="9">
        <v>1</v>
      </c>
      <c r="N15" s="20">
        <f>M15*100/284</f>
        <v>0.352112676056338</v>
      </c>
      <c r="O15" s="9"/>
      <c r="P15" s="20"/>
    </row>
    <row r="16" spans="1:16" ht="17.45" customHeight="1" x14ac:dyDescent="0.25">
      <c r="A16" s="8"/>
      <c r="B16" s="8" t="s">
        <v>12</v>
      </c>
      <c r="C16" s="9">
        <v>5</v>
      </c>
      <c r="D16" s="10">
        <f>C16*100/1660</f>
        <v>0.30120481927710846</v>
      </c>
      <c r="E16" s="9">
        <v>8</v>
      </c>
      <c r="F16" s="10">
        <f>E16*100/2591</f>
        <v>0.30876109610189117</v>
      </c>
      <c r="G16" s="9">
        <v>9</v>
      </c>
      <c r="H16" s="10">
        <f>G16*100/3482</f>
        <v>0.25847214244686961</v>
      </c>
      <c r="I16" s="9">
        <v>18</v>
      </c>
      <c r="J16" s="10">
        <f>I16*100/4317</f>
        <v>0.41695621959694235</v>
      </c>
      <c r="K16" s="9">
        <v>12</v>
      </c>
      <c r="L16" s="20">
        <f>K16*100/4989</f>
        <v>0.24052916416115455</v>
      </c>
      <c r="M16" s="9">
        <v>16</v>
      </c>
      <c r="N16" s="20">
        <f>M16*100/5484</f>
        <v>0.29175784099197666</v>
      </c>
      <c r="O16" s="9">
        <v>17</v>
      </c>
      <c r="P16" s="20">
        <f>O16*100/5879</f>
        <v>0.28916482394965132</v>
      </c>
    </row>
    <row r="17" spans="1:16" ht="17.45" customHeight="1" x14ac:dyDescent="0.25">
      <c r="A17" s="8"/>
      <c r="B17" s="8" t="s">
        <v>13</v>
      </c>
      <c r="C17" s="9">
        <v>11</v>
      </c>
      <c r="D17" s="10">
        <f>C17*100/2190</f>
        <v>0.50228310502283102</v>
      </c>
      <c r="E17" s="9">
        <v>26</v>
      </c>
      <c r="F17" s="10">
        <f>E17*100/4730</f>
        <v>0.54968287526427062</v>
      </c>
      <c r="G17" s="9">
        <v>45</v>
      </c>
      <c r="H17" s="10">
        <f>G17*100/7186</f>
        <v>0.62621764542165326</v>
      </c>
      <c r="I17" s="9">
        <v>68</v>
      </c>
      <c r="J17" s="10">
        <f>I17*100/9355</f>
        <v>0.72688401924104762</v>
      </c>
      <c r="K17" s="9">
        <v>75</v>
      </c>
      <c r="L17" s="20">
        <f>K17*100/11099</f>
        <v>0.67573655284259848</v>
      </c>
      <c r="M17" s="9">
        <v>90</v>
      </c>
      <c r="N17" s="20">
        <f>M17*100/12044</f>
        <v>0.74726004649618072</v>
      </c>
      <c r="O17" s="9">
        <v>94</v>
      </c>
      <c r="P17" s="20">
        <f>O17*100/12592</f>
        <v>0.74650571791613718</v>
      </c>
    </row>
    <row r="18" spans="1:16" ht="17.45" customHeight="1" x14ac:dyDescent="0.25">
      <c r="A18" s="14" t="s">
        <v>20</v>
      </c>
      <c r="B18" s="21"/>
      <c r="C18" s="22">
        <f>SUM(C9:C17)</f>
        <v>126</v>
      </c>
      <c r="D18" s="19">
        <f>C18*100/24166</f>
        <v>0.52139369361913435</v>
      </c>
      <c r="E18" s="22">
        <f>SUM(E9:E17)</f>
        <v>133</v>
      </c>
      <c r="F18" s="19">
        <f>E18*100/23302</f>
        <v>0.57076645781477986</v>
      </c>
      <c r="G18" s="22">
        <f>SUM(G9:G17)</f>
        <v>138</v>
      </c>
      <c r="H18" s="19">
        <f>G18*100/23110</f>
        <v>0.59714409346603203</v>
      </c>
      <c r="I18" s="22">
        <f>SUM(I9:I17)</f>
        <v>149</v>
      </c>
      <c r="J18" s="19">
        <f>I18*100/24765</f>
        <v>0.60165556228548356</v>
      </c>
      <c r="K18" s="22">
        <f>SUM(K9:K17)</f>
        <v>140</v>
      </c>
      <c r="L18" s="23">
        <f>K18*100/25548</f>
        <v>0.54798810082981053</v>
      </c>
      <c r="M18" s="22">
        <f>SUM(M9:M17)</f>
        <v>157</v>
      </c>
      <c r="N18" s="23">
        <f>M18*100/26099</f>
        <v>0.60155561515766887</v>
      </c>
      <c r="O18" s="22">
        <f>SUM(O9:O17)</f>
        <v>172</v>
      </c>
      <c r="P18" s="23">
        <f>O18*100/26659</f>
        <v>0.64518549082861321</v>
      </c>
    </row>
    <row r="19" spans="1:16" ht="17.45" customHeight="1" x14ac:dyDescent="0.25">
      <c r="A19" s="24" t="s">
        <v>21</v>
      </c>
      <c r="B19" s="21"/>
      <c r="C19" s="22">
        <f>C8+C18</f>
        <v>130</v>
      </c>
      <c r="D19" s="19">
        <f>C19*100/25430</f>
        <v>0.51120723554856473</v>
      </c>
      <c r="E19" s="22">
        <f>E8+E18</f>
        <v>137</v>
      </c>
      <c r="F19" s="19">
        <f>E19*100/24456</f>
        <v>0.56018972849198556</v>
      </c>
      <c r="G19" s="22">
        <f>G8+G18</f>
        <v>140</v>
      </c>
      <c r="H19" s="19">
        <f>G19*100/24174</f>
        <v>0.57913460742946965</v>
      </c>
      <c r="I19" s="22">
        <f>I8+I18</f>
        <v>155</v>
      </c>
      <c r="J19" s="19">
        <f>I19*100/25084</f>
        <v>0.61792377611226279</v>
      </c>
      <c r="K19" s="22">
        <f>K8+K18</f>
        <v>146</v>
      </c>
      <c r="L19" s="23">
        <f>K19*100/26753</f>
        <v>0.54573318880125599</v>
      </c>
      <c r="M19" s="22">
        <f>M8+M18</f>
        <v>161</v>
      </c>
      <c r="N19" s="23">
        <f>M19*100/27295</f>
        <v>0.58985162117603962</v>
      </c>
      <c r="O19" s="22">
        <f>O8+O18</f>
        <v>175</v>
      </c>
      <c r="P19" s="23">
        <f>O19*100/28016</f>
        <v>0.62464306110793832</v>
      </c>
    </row>
    <row r="23" spans="1:16" ht="17.45" customHeight="1" x14ac:dyDescent="0.25">
      <c r="A23" s="2"/>
      <c r="B23" s="2"/>
      <c r="C23" s="3"/>
      <c r="D23" s="3"/>
      <c r="E23" s="3"/>
      <c r="F23" s="3"/>
      <c r="G23" s="3"/>
      <c r="H23" s="3"/>
      <c r="I23" s="3"/>
      <c r="J23" s="2"/>
      <c r="K23" s="2"/>
      <c r="L23" s="2"/>
    </row>
    <row r="24" spans="1:16" ht="17.45" customHeight="1" x14ac:dyDescent="0.25">
      <c r="A24" s="2"/>
      <c r="B24" s="2"/>
      <c r="C24" s="4"/>
      <c r="D24" s="4"/>
      <c r="E24" s="1"/>
      <c r="F24" s="1"/>
      <c r="G24" s="1"/>
      <c r="H24" s="1"/>
      <c r="I24" s="1"/>
      <c r="J24" s="2"/>
      <c r="K24" s="2"/>
      <c r="L24" s="1"/>
    </row>
    <row r="25" spans="1:16" ht="17.45" customHeight="1" x14ac:dyDescent="0.25">
      <c r="A25" s="2"/>
      <c r="B25" s="2"/>
      <c r="C25" s="4"/>
      <c r="D25" s="4"/>
      <c r="E25" s="1"/>
      <c r="F25" s="1"/>
      <c r="G25" s="1"/>
      <c r="H25" s="1"/>
      <c r="I25" s="1"/>
      <c r="J25" s="2"/>
      <c r="K25" s="2"/>
      <c r="L25" s="1"/>
    </row>
    <row r="26" spans="1:16" ht="17.45" customHeight="1" x14ac:dyDescent="0.25">
      <c r="A26" s="2"/>
      <c r="B26" s="2"/>
      <c r="C26" s="4"/>
      <c r="D26" s="4"/>
      <c r="E26" s="1"/>
      <c r="F26" s="1"/>
      <c r="G26" s="1"/>
      <c r="H26" s="1"/>
      <c r="I26" s="1"/>
      <c r="J26" s="2"/>
      <c r="K26" s="2"/>
      <c r="L26" s="2"/>
    </row>
    <row r="27" spans="1:16" ht="17.45" customHeight="1" x14ac:dyDescent="0.25">
      <c r="A27" s="2"/>
      <c r="B27" s="2"/>
      <c r="C27" s="4"/>
      <c r="D27" s="4"/>
      <c r="E27" s="1"/>
      <c r="F27" s="1"/>
      <c r="G27" s="1"/>
      <c r="H27" s="1"/>
      <c r="I27" s="1"/>
      <c r="J27" s="2"/>
      <c r="K27" s="2"/>
      <c r="L27" s="2"/>
    </row>
    <row r="28" spans="1:16" ht="17.45" customHeight="1" x14ac:dyDescent="0.25">
      <c r="A28" s="2"/>
      <c r="B28" s="2"/>
      <c r="C28" s="4"/>
      <c r="D28" s="4"/>
      <c r="E28" s="1"/>
      <c r="F28" s="1"/>
      <c r="G28" s="1"/>
      <c r="H28" s="1"/>
      <c r="I28" s="1"/>
      <c r="J28" s="2"/>
      <c r="K28" s="2"/>
      <c r="L28" s="2"/>
    </row>
    <row r="29" spans="1:16" ht="17.45" customHeight="1" x14ac:dyDescent="0.25">
      <c r="A29" s="2"/>
      <c r="B29" s="2"/>
      <c r="C29" s="4"/>
      <c r="D29" s="4"/>
      <c r="E29" s="1"/>
      <c r="F29" s="1"/>
      <c r="G29" s="1"/>
      <c r="H29" s="1"/>
      <c r="I29" s="1"/>
      <c r="J29" s="2"/>
      <c r="K29" s="2"/>
      <c r="L29" s="2"/>
    </row>
    <row r="30" spans="1:16" ht="17.45" customHeight="1" x14ac:dyDescent="0.25">
      <c r="A30" s="2"/>
      <c r="B30" s="2"/>
      <c r="C30" s="4"/>
      <c r="D30" s="4"/>
      <c r="E30" s="1"/>
      <c r="F30" s="1"/>
      <c r="G30" s="1"/>
      <c r="H30" s="1"/>
      <c r="I30" s="1"/>
      <c r="J30" s="2"/>
      <c r="K30" s="2"/>
      <c r="L30" s="2"/>
    </row>
    <row r="31" spans="1:16" ht="17.45" customHeight="1" x14ac:dyDescent="0.25">
      <c r="A31" s="2"/>
      <c r="B31" s="2"/>
      <c r="C31" s="4"/>
      <c r="D31" s="4"/>
      <c r="E31" s="1"/>
      <c r="F31" s="1"/>
      <c r="G31" s="1"/>
      <c r="H31" s="1"/>
      <c r="I31" s="1"/>
      <c r="J31" s="2"/>
      <c r="K31" s="2"/>
      <c r="L31" s="2"/>
    </row>
    <row r="32" spans="1:16" ht="17.45" customHeight="1" x14ac:dyDescent="0.25">
      <c r="A32" s="2"/>
      <c r="B32" s="2"/>
      <c r="C32" s="4"/>
      <c r="D32" s="4"/>
      <c r="E32" s="1"/>
      <c r="F32" s="1"/>
      <c r="G32" s="1"/>
      <c r="H32" s="1"/>
      <c r="I32" s="1"/>
      <c r="J32" s="2"/>
      <c r="K32" s="2"/>
      <c r="L32" s="2"/>
    </row>
    <row r="33" spans="1:12" ht="17.45" customHeight="1" x14ac:dyDescent="0.25">
      <c r="A33" s="2"/>
      <c r="B33" s="2"/>
      <c r="C33" s="4"/>
      <c r="D33" s="4"/>
      <c r="E33" s="1"/>
      <c r="F33" s="1"/>
      <c r="G33" s="1"/>
      <c r="H33" s="1"/>
      <c r="I33" s="1"/>
      <c r="J33" s="2"/>
      <c r="K33" s="2"/>
      <c r="L33" s="2"/>
    </row>
  </sheetData>
  <pageMargins left="0.7" right="0.7" top="0.75" bottom="0.75" header="0.3" footer="0.3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41B5D-8615-49BC-8475-1122D67042ED}">
  <sheetPr>
    <pageSetUpPr fitToPage="1"/>
  </sheetPr>
  <dimension ref="A1:P30"/>
  <sheetViews>
    <sheetView workbookViewId="0">
      <selection sqref="A1:XFD1048576"/>
    </sheetView>
  </sheetViews>
  <sheetFormatPr defaultRowHeight="15" x14ac:dyDescent="0.25"/>
  <cols>
    <col min="1" max="1" width="17.28515625" bestFit="1" customWidth="1"/>
    <col min="2" max="2" width="9" customWidth="1"/>
    <col min="3" max="3" width="10.85546875" customWidth="1"/>
    <col min="4" max="4" width="20.42578125" customWidth="1"/>
    <col min="5" max="5" width="10.5703125" customWidth="1"/>
    <col min="6" max="6" width="20.42578125" customWidth="1"/>
    <col min="7" max="7" width="10.85546875" customWidth="1"/>
    <col min="8" max="8" width="21" customWidth="1"/>
    <col min="9" max="9" width="10.85546875" customWidth="1"/>
    <col min="10" max="10" width="21.7109375" customWidth="1"/>
    <col min="11" max="11" width="10.7109375" customWidth="1"/>
    <col min="12" max="12" width="20.5703125" customWidth="1"/>
    <col min="13" max="13" width="9.7109375" customWidth="1"/>
    <col min="14" max="14" width="18.7109375" customWidth="1"/>
    <col min="15" max="15" width="9.7109375" bestFit="1" customWidth="1"/>
    <col min="16" max="16" width="18.7109375" bestFit="1" customWidth="1"/>
  </cols>
  <sheetData>
    <row r="1" spans="1:16" ht="17.25" x14ac:dyDescent="0.3">
      <c r="A1" s="6" t="s">
        <v>121</v>
      </c>
    </row>
    <row r="2" spans="1:16" x14ac:dyDescent="0.25">
      <c r="A2" s="5" t="s">
        <v>129</v>
      </c>
    </row>
    <row r="4" spans="1:16" x14ac:dyDescent="0.25">
      <c r="A4" s="25" t="s">
        <v>23</v>
      </c>
      <c r="B4" s="25" t="s">
        <v>17</v>
      </c>
      <c r="C4" s="25" t="s">
        <v>0</v>
      </c>
      <c r="D4" s="26" t="s">
        <v>19</v>
      </c>
      <c r="E4" s="25" t="s">
        <v>1</v>
      </c>
      <c r="F4" s="26" t="s">
        <v>19</v>
      </c>
      <c r="G4" s="25" t="s">
        <v>2</v>
      </c>
      <c r="H4" s="26" t="s">
        <v>19</v>
      </c>
      <c r="I4" s="25" t="s">
        <v>3</v>
      </c>
      <c r="J4" s="26" t="s">
        <v>19</v>
      </c>
      <c r="K4" s="25" t="s">
        <v>4</v>
      </c>
      <c r="L4" s="26" t="s">
        <v>19</v>
      </c>
      <c r="M4" s="43" t="s">
        <v>128</v>
      </c>
      <c r="N4" s="26" t="s">
        <v>19</v>
      </c>
      <c r="O4" s="43" t="s">
        <v>130</v>
      </c>
      <c r="P4" s="26" t="s">
        <v>19</v>
      </c>
    </row>
    <row r="5" spans="1:16" x14ac:dyDescent="0.25">
      <c r="A5" s="27" t="s">
        <v>29</v>
      </c>
      <c r="B5" s="27" t="s">
        <v>5</v>
      </c>
      <c r="C5" s="28">
        <v>6</v>
      </c>
      <c r="D5" s="29">
        <f>C5*100/2992</f>
        <v>0.20053475935828877</v>
      </c>
      <c r="E5" s="28">
        <v>5</v>
      </c>
      <c r="F5" s="29">
        <f>E5*100/3040</f>
        <v>0.16447368421052633</v>
      </c>
      <c r="G5" s="28">
        <v>5</v>
      </c>
      <c r="H5" s="29">
        <f>G5*100/3187</f>
        <v>0.15688735487919675</v>
      </c>
      <c r="I5" s="28">
        <v>5</v>
      </c>
      <c r="J5" s="29">
        <f>I5*100/3287</f>
        <v>0.15211439002129601</v>
      </c>
      <c r="K5" s="28">
        <v>3</v>
      </c>
      <c r="L5" s="12">
        <f>K5*100/3323</f>
        <v>9.0279867589527538E-2</v>
      </c>
      <c r="M5" s="28">
        <v>2</v>
      </c>
      <c r="N5" s="12">
        <f>M5*100/3375</f>
        <v>5.9259259259259262E-2</v>
      </c>
      <c r="O5" s="28">
        <v>2</v>
      </c>
      <c r="P5" s="12">
        <f>O5*100/3422</f>
        <v>5.8445353594389245E-2</v>
      </c>
    </row>
    <row r="6" spans="1:16" x14ac:dyDescent="0.25">
      <c r="A6" s="27"/>
      <c r="B6" s="44" t="s">
        <v>6</v>
      </c>
      <c r="C6" s="28"/>
      <c r="D6" s="29"/>
      <c r="E6" s="28"/>
      <c r="F6" s="29"/>
      <c r="G6" s="28"/>
      <c r="H6" s="29"/>
      <c r="I6" s="28"/>
      <c r="J6" s="29"/>
      <c r="K6" s="28"/>
      <c r="L6" s="12"/>
      <c r="M6" s="28"/>
      <c r="N6" s="12"/>
      <c r="O6" s="28">
        <v>1</v>
      </c>
      <c r="P6" s="12">
        <f>O6*100/249</f>
        <v>0.40160642570281124</v>
      </c>
    </row>
    <row r="7" spans="1:16" x14ac:dyDescent="0.25">
      <c r="A7" s="27"/>
      <c r="B7" s="27" t="s">
        <v>9</v>
      </c>
      <c r="C7" s="28">
        <v>1</v>
      </c>
      <c r="D7" s="29">
        <f>C7*100/947</f>
        <v>0.10559662090813093</v>
      </c>
      <c r="E7" s="30"/>
      <c r="F7" s="31"/>
      <c r="G7" s="30"/>
      <c r="H7" s="31"/>
      <c r="I7" s="30"/>
      <c r="J7" s="31"/>
      <c r="K7" s="30"/>
      <c r="L7" s="12"/>
      <c r="M7" s="30"/>
      <c r="N7" s="12"/>
      <c r="O7" s="30"/>
      <c r="P7" s="12"/>
    </row>
    <row r="8" spans="1:16" x14ac:dyDescent="0.25">
      <c r="A8" s="27"/>
      <c r="B8" s="27" t="s">
        <v>10</v>
      </c>
      <c r="C8" s="30"/>
      <c r="D8" s="31"/>
      <c r="E8" s="30"/>
      <c r="F8" s="31"/>
      <c r="G8" s="30"/>
      <c r="H8" s="31"/>
      <c r="I8" s="28">
        <v>3</v>
      </c>
      <c r="J8" s="29">
        <f>I8*100/210</f>
        <v>1.4285714285714286</v>
      </c>
      <c r="K8" s="28">
        <v>3</v>
      </c>
      <c r="L8" s="12">
        <f>K8*100/210</f>
        <v>1.4285714285714286</v>
      </c>
      <c r="M8" s="28">
        <v>4</v>
      </c>
      <c r="N8" s="12">
        <f>M8*100/218</f>
        <v>1.834862385321101</v>
      </c>
      <c r="O8" s="28">
        <v>4</v>
      </c>
      <c r="P8" s="12">
        <f>O8*100/218</f>
        <v>1.834862385321101</v>
      </c>
    </row>
    <row r="9" spans="1:16" x14ac:dyDescent="0.25">
      <c r="A9" s="27"/>
      <c r="B9" s="27" t="s">
        <v>7</v>
      </c>
      <c r="C9" s="28">
        <v>1</v>
      </c>
      <c r="D9" s="29">
        <f>C9*100/218</f>
        <v>0.45871559633027525</v>
      </c>
      <c r="E9" s="28">
        <v>1</v>
      </c>
      <c r="F9" s="29">
        <f>E9*100/171</f>
        <v>0.58479532163742687</v>
      </c>
      <c r="G9" s="28">
        <v>1</v>
      </c>
      <c r="H9" s="29">
        <f>G9*100/139</f>
        <v>0.71942446043165464</v>
      </c>
      <c r="I9" s="28">
        <v>2</v>
      </c>
      <c r="J9" s="29">
        <f>I9*100/123</f>
        <v>1.6260162601626016</v>
      </c>
      <c r="K9" s="28">
        <v>2</v>
      </c>
      <c r="L9" s="12">
        <f>K9*100/105</f>
        <v>1.9047619047619047</v>
      </c>
      <c r="M9" s="28">
        <v>1</v>
      </c>
      <c r="N9" s="12">
        <f>M9*100/93</f>
        <v>1.075268817204301</v>
      </c>
      <c r="O9" s="28">
        <v>1</v>
      </c>
      <c r="P9" s="12">
        <f>O9*100/85</f>
        <v>1.1764705882352942</v>
      </c>
    </row>
    <row r="10" spans="1:16" x14ac:dyDescent="0.25">
      <c r="A10" s="27"/>
      <c r="B10" s="27" t="s">
        <v>12</v>
      </c>
      <c r="C10" s="30"/>
      <c r="D10" s="31"/>
      <c r="E10" s="28">
        <v>3</v>
      </c>
      <c r="F10" s="29">
        <f>E10*100/291</f>
        <v>1.0309278350515463</v>
      </c>
      <c r="G10" s="30"/>
      <c r="H10" s="31"/>
      <c r="I10" s="30"/>
      <c r="J10" s="31"/>
      <c r="K10" s="28">
        <v>2</v>
      </c>
      <c r="L10" s="12">
        <f>K10*100/724</f>
        <v>0.27624309392265195</v>
      </c>
      <c r="M10" s="28">
        <v>2</v>
      </c>
      <c r="N10" s="12">
        <f>M10*100/873</f>
        <v>0.22909507445589919</v>
      </c>
      <c r="O10" s="28">
        <v>4</v>
      </c>
      <c r="P10" s="12">
        <f>O10*100/1011</f>
        <v>0.39564787339268054</v>
      </c>
    </row>
    <row r="11" spans="1:16" x14ac:dyDescent="0.25">
      <c r="A11" s="32" t="s">
        <v>24</v>
      </c>
      <c r="B11" s="32"/>
      <c r="C11" s="33">
        <f>SUM(C5:C10)</f>
        <v>8</v>
      </c>
      <c r="D11" s="34">
        <f>C11*100/4157</f>
        <v>0.19244647582391147</v>
      </c>
      <c r="E11" s="35">
        <f>SUM(E5:E10)</f>
        <v>9</v>
      </c>
      <c r="F11" s="36">
        <f>E11*100/634</f>
        <v>1.4195583596214512</v>
      </c>
      <c r="G11" s="33">
        <f>SUM(G5:G10)</f>
        <v>6</v>
      </c>
      <c r="H11" s="34">
        <f>G11*100/3326</f>
        <v>0.18039687312086591</v>
      </c>
      <c r="I11" s="33">
        <f>SUM(I5:I10)</f>
        <v>10</v>
      </c>
      <c r="J11" s="34">
        <f>I11*100/3620</f>
        <v>0.27624309392265195</v>
      </c>
      <c r="K11" s="35">
        <f>SUM(K5:K10)</f>
        <v>10</v>
      </c>
      <c r="L11" s="19">
        <f>K11*100/4362</f>
        <v>0.22925263640531865</v>
      </c>
      <c r="M11" s="35">
        <f>SUM(M5:M10)</f>
        <v>9</v>
      </c>
      <c r="N11" s="19">
        <f>M11*100/4559</f>
        <v>0.19741171309497696</v>
      </c>
      <c r="O11" s="35">
        <f>SUM(O5:O10)</f>
        <v>12</v>
      </c>
      <c r="P11" s="19">
        <f>O11*100/4985</f>
        <v>0.24072216649949849</v>
      </c>
    </row>
    <row r="12" spans="1:16" x14ac:dyDescent="0.25">
      <c r="A12" s="27" t="s">
        <v>30</v>
      </c>
      <c r="B12" s="27" t="s">
        <v>5</v>
      </c>
      <c r="C12" s="28">
        <v>5</v>
      </c>
      <c r="D12" s="29">
        <f>C12*100/2567</f>
        <v>0.19477989871445267</v>
      </c>
      <c r="E12" s="28">
        <v>9</v>
      </c>
      <c r="F12" s="29">
        <f>E12*100/2470</f>
        <v>0.36437246963562753</v>
      </c>
      <c r="G12" s="28">
        <v>7</v>
      </c>
      <c r="H12" s="29">
        <f>G12*100/2358</f>
        <v>0.29686174724342662</v>
      </c>
      <c r="I12" s="28">
        <v>6</v>
      </c>
      <c r="J12" s="29">
        <f>I12*100/2209</f>
        <v>0.27161611588954276</v>
      </c>
      <c r="K12" s="28">
        <v>12</v>
      </c>
      <c r="L12" s="12">
        <f>K12*100/2120</f>
        <v>0.56603773584905659</v>
      </c>
      <c r="M12" s="28">
        <v>12</v>
      </c>
      <c r="N12" s="12">
        <f>M12*100/2176</f>
        <v>0.55147058823529416</v>
      </c>
      <c r="O12" s="28">
        <v>7</v>
      </c>
      <c r="P12" s="12">
        <f>O12*100/2086</f>
        <v>0.33557046979865773</v>
      </c>
    </row>
    <row r="13" spans="1:16" x14ac:dyDescent="0.25">
      <c r="A13" s="27"/>
      <c r="B13" s="27" t="s">
        <v>6</v>
      </c>
      <c r="C13" s="30"/>
      <c r="D13" s="31"/>
      <c r="E13" s="30"/>
      <c r="F13" s="31"/>
      <c r="G13" s="30"/>
      <c r="H13" s="31"/>
      <c r="I13" s="28">
        <v>1</v>
      </c>
      <c r="J13" s="29">
        <f>I13*100/146</f>
        <v>0.68493150684931503</v>
      </c>
      <c r="K13" s="28">
        <v>1</v>
      </c>
      <c r="L13" s="12">
        <f>K13*100/146</f>
        <v>0.68493150684931503</v>
      </c>
      <c r="M13" s="28"/>
      <c r="N13" s="12"/>
      <c r="O13" s="28">
        <v>1</v>
      </c>
      <c r="P13" s="12">
        <f>O13*100/137</f>
        <v>0.72992700729927007</v>
      </c>
    </row>
    <row r="14" spans="1:16" x14ac:dyDescent="0.25">
      <c r="A14" s="27"/>
      <c r="B14" s="27" t="s">
        <v>7</v>
      </c>
      <c r="C14" s="30"/>
      <c r="D14" s="31"/>
      <c r="E14" s="30"/>
      <c r="F14" s="31"/>
      <c r="G14" s="30"/>
      <c r="H14" s="31"/>
      <c r="I14" s="28">
        <v>6</v>
      </c>
      <c r="J14" s="29">
        <f>I14*100/53</f>
        <v>11.320754716981131</v>
      </c>
      <c r="K14" s="28">
        <v>8</v>
      </c>
      <c r="L14" s="12">
        <f>K14*100/45</f>
        <v>17.777777777777779</v>
      </c>
      <c r="M14" s="28">
        <v>6</v>
      </c>
      <c r="N14" s="12">
        <f>M14*100/45</f>
        <v>13.333333333333334</v>
      </c>
      <c r="O14" s="28">
        <v>4</v>
      </c>
      <c r="P14" s="12">
        <f>O14*100/54</f>
        <v>7.4074074074074074</v>
      </c>
    </row>
    <row r="15" spans="1:16" x14ac:dyDescent="0.25">
      <c r="A15" s="27"/>
      <c r="B15" s="27" t="s">
        <v>12</v>
      </c>
      <c r="C15" s="28">
        <v>1</v>
      </c>
      <c r="D15" s="29">
        <f>C15*100/80</f>
        <v>1.25</v>
      </c>
      <c r="E15" s="28">
        <v>1</v>
      </c>
      <c r="F15" s="29">
        <f>E15*100/156</f>
        <v>0.64102564102564108</v>
      </c>
      <c r="G15" s="30"/>
      <c r="H15" s="31"/>
      <c r="I15" s="28">
        <v>3</v>
      </c>
      <c r="J15" s="29">
        <f>I15*100/288</f>
        <v>1.0416666666666667</v>
      </c>
      <c r="K15" s="28">
        <v>6</v>
      </c>
      <c r="L15" s="12">
        <f>K15*100/332</f>
        <v>1.8072289156626506</v>
      </c>
      <c r="M15" s="28">
        <v>6</v>
      </c>
      <c r="N15" s="12">
        <f>M15*100/411</f>
        <v>1.4598540145985401</v>
      </c>
      <c r="O15" s="28">
        <v>6</v>
      </c>
      <c r="P15" s="12">
        <f>O15*100/463</f>
        <v>1.2958963282937366</v>
      </c>
    </row>
    <row r="16" spans="1:16" x14ac:dyDescent="0.25">
      <c r="A16" s="32" t="s">
        <v>25</v>
      </c>
      <c r="B16" s="27"/>
      <c r="C16" s="35">
        <f>SUM(C12:C15)</f>
        <v>6</v>
      </c>
      <c r="D16" s="36">
        <f>C16*100/2647</f>
        <v>0.22667170381564034</v>
      </c>
      <c r="E16" s="35">
        <f>SUM(E12:E15)</f>
        <v>10</v>
      </c>
      <c r="F16" s="36">
        <f>E16*100/2626</f>
        <v>0.38080731150038083</v>
      </c>
      <c r="G16" s="33">
        <f>SUM(G12:G15)</f>
        <v>7</v>
      </c>
      <c r="H16" s="34">
        <f>G16*100/2358</f>
        <v>0.29686174724342662</v>
      </c>
      <c r="I16" s="35">
        <f>SUM(I12:I15)</f>
        <v>16</v>
      </c>
      <c r="J16" s="36">
        <f>I16*100/2696</f>
        <v>0.59347181008902072</v>
      </c>
      <c r="K16" s="35">
        <f>SUM(K12:K15)</f>
        <v>27</v>
      </c>
      <c r="L16" s="19">
        <f>K16*100/2643</f>
        <v>1.0215664018161181</v>
      </c>
      <c r="M16" s="35">
        <f>SUM(M12:M15)</f>
        <v>24</v>
      </c>
      <c r="N16" s="19">
        <f>M16*100/2632</f>
        <v>0.91185410334346506</v>
      </c>
      <c r="O16" s="35">
        <f>SUM(O12:O15)</f>
        <v>18</v>
      </c>
      <c r="P16" s="19">
        <f>O16*100/2740</f>
        <v>0.65693430656934304</v>
      </c>
    </row>
    <row r="17" spans="1:16" x14ac:dyDescent="0.25">
      <c r="A17" s="27" t="s">
        <v>31</v>
      </c>
      <c r="B17" s="27" t="s">
        <v>8</v>
      </c>
      <c r="C17" s="28">
        <v>41</v>
      </c>
      <c r="D17" s="29">
        <f>C17*100/6894</f>
        <v>0.59472004641717435</v>
      </c>
      <c r="E17" s="28">
        <v>30</v>
      </c>
      <c r="F17" s="29">
        <f>E17*100/4934</f>
        <v>0.6080259424402108</v>
      </c>
      <c r="G17" s="28">
        <v>16</v>
      </c>
      <c r="H17" s="29">
        <f>G17*100/3333</f>
        <v>0.48004800480048004</v>
      </c>
      <c r="I17" s="28">
        <v>13</v>
      </c>
      <c r="J17" s="29">
        <f>I17*100/1925</f>
        <v>0.67532467532467533</v>
      </c>
      <c r="K17" s="28">
        <v>2</v>
      </c>
      <c r="L17" s="12">
        <f>K17*100/805</f>
        <v>0.2484472049689441</v>
      </c>
      <c r="M17" s="28"/>
      <c r="N17" s="12"/>
      <c r="O17" s="28"/>
      <c r="P17" s="12"/>
    </row>
    <row r="18" spans="1:16" x14ac:dyDescent="0.25">
      <c r="A18" s="27"/>
      <c r="B18" s="27" t="s">
        <v>6</v>
      </c>
      <c r="C18" s="28">
        <v>10</v>
      </c>
      <c r="D18" s="29">
        <f>C18*100/1407</f>
        <v>0.71073205401563611</v>
      </c>
      <c r="E18" s="28">
        <v>8</v>
      </c>
      <c r="F18" s="29">
        <f>E18*100/1199</f>
        <v>0.66722268557130937</v>
      </c>
      <c r="G18" s="28">
        <v>7</v>
      </c>
      <c r="H18" s="29">
        <f>G18*100/1035</f>
        <v>0.67632850241545894</v>
      </c>
      <c r="I18" s="28">
        <v>3</v>
      </c>
      <c r="J18" s="29">
        <f>I18*100/944</f>
        <v>0.31779661016949151</v>
      </c>
      <c r="K18" s="28">
        <v>11</v>
      </c>
      <c r="L18" s="12">
        <f>K18*100/883</f>
        <v>1.245753114382786</v>
      </c>
      <c r="M18" s="28">
        <v>6</v>
      </c>
      <c r="N18" s="12">
        <f>M18*100/858</f>
        <v>0.69930069930069927</v>
      </c>
      <c r="O18" s="28">
        <v>10</v>
      </c>
      <c r="P18" s="12">
        <f>O18*100/829</f>
        <v>1.2062726176115801</v>
      </c>
    </row>
    <row r="19" spans="1:16" x14ac:dyDescent="0.25">
      <c r="A19" s="27"/>
      <c r="B19" s="27" t="s">
        <v>9</v>
      </c>
      <c r="C19" s="28">
        <v>1</v>
      </c>
      <c r="D19" s="29">
        <f>C19*100/213</f>
        <v>0.46948356807511737</v>
      </c>
      <c r="E19" s="28">
        <v>1</v>
      </c>
      <c r="F19" s="29">
        <f>E19*100/163</f>
        <v>0.61349693251533743</v>
      </c>
      <c r="G19" s="28">
        <v>1</v>
      </c>
      <c r="H19" s="29">
        <f>G19*100/140</f>
        <v>0.7142857142857143</v>
      </c>
      <c r="I19" s="30"/>
      <c r="J19" s="31"/>
      <c r="K19" s="30"/>
      <c r="L19" s="12"/>
      <c r="M19" s="30"/>
      <c r="N19" s="12"/>
      <c r="O19" s="30"/>
      <c r="P19" s="12"/>
    </row>
    <row r="20" spans="1:16" x14ac:dyDescent="0.25">
      <c r="A20" s="27"/>
      <c r="B20" s="27" t="s">
        <v>7</v>
      </c>
      <c r="C20" s="30"/>
      <c r="D20" s="31"/>
      <c r="E20" s="30"/>
      <c r="F20" s="31"/>
      <c r="G20" s="30"/>
      <c r="H20" s="31"/>
      <c r="I20" s="28">
        <v>9</v>
      </c>
      <c r="J20" s="29">
        <f>I20*100/171</f>
        <v>5.2631578947368425</v>
      </c>
      <c r="K20" s="28">
        <v>4</v>
      </c>
      <c r="L20" s="12">
        <f>K20*100/144</f>
        <v>2.7777777777777777</v>
      </c>
      <c r="M20" s="28">
        <v>5</v>
      </c>
      <c r="N20" s="12">
        <f>M20*100/152</f>
        <v>3.2894736842105261</v>
      </c>
      <c r="O20" s="28">
        <v>3</v>
      </c>
      <c r="P20" s="12">
        <f>O20*100/156</f>
        <v>1.9230769230769231</v>
      </c>
    </row>
    <row r="21" spans="1:16" x14ac:dyDescent="0.25">
      <c r="A21" s="27"/>
      <c r="B21" s="27" t="s">
        <v>12</v>
      </c>
      <c r="C21" s="28">
        <v>3</v>
      </c>
      <c r="D21" s="29">
        <f>C21*100/337</f>
        <v>0.89020771513353114</v>
      </c>
      <c r="E21" s="28">
        <v>5</v>
      </c>
      <c r="F21" s="29">
        <f>E21*100/573</f>
        <v>0.87260034904013961</v>
      </c>
      <c r="G21" s="28">
        <v>7</v>
      </c>
      <c r="H21" s="29">
        <f>G21*100/886</f>
        <v>0.79006772009029347</v>
      </c>
      <c r="I21" s="28">
        <v>15</v>
      </c>
      <c r="J21" s="29">
        <f>I21*100/1170</f>
        <v>1.2820512820512822</v>
      </c>
      <c r="K21" s="28">
        <v>22</v>
      </c>
      <c r="L21" s="12">
        <f>K21*100/1380</f>
        <v>1.5942028985507246</v>
      </c>
      <c r="M21" s="28">
        <v>25</v>
      </c>
      <c r="N21" s="12">
        <f>M21*100/1537</f>
        <v>1.6265452179570592</v>
      </c>
      <c r="O21" s="28">
        <v>26</v>
      </c>
      <c r="P21" s="12">
        <f>O21*100/1682</f>
        <v>1.5457788347205708</v>
      </c>
    </row>
    <row r="22" spans="1:16" x14ac:dyDescent="0.25">
      <c r="A22" s="27"/>
      <c r="B22" s="27" t="s">
        <v>13</v>
      </c>
      <c r="C22" s="28">
        <v>12</v>
      </c>
      <c r="D22" s="29">
        <f>C22*100/1493</f>
        <v>0.80375083724045548</v>
      </c>
      <c r="E22" s="28">
        <v>28</v>
      </c>
      <c r="F22" s="29">
        <f>E22*100/2859</f>
        <v>0.9793634137810423</v>
      </c>
      <c r="G22" s="28">
        <v>31</v>
      </c>
      <c r="H22" s="29">
        <f>G22*100/4021</f>
        <v>0.77095249937826416</v>
      </c>
      <c r="I22" s="28">
        <v>37</v>
      </c>
      <c r="J22" s="29">
        <f>I22*100/4924</f>
        <v>0.75142160844841588</v>
      </c>
      <c r="K22" s="28">
        <v>50</v>
      </c>
      <c r="L22" s="12">
        <f>K22*100/5885</f>
        <v>0.84961767204757854</v>
      </c>
      <c r="M22" s="28">
        <v>60</v>
      </c>
      <c r="N22" s="12">
        <f>M22*100/6561</f>
        <v>0.91449474165523548</v>
      </c>
      <c r="O22" s="28">
        <v>74</v>
      </c>
      <c r="P22" s="12">
        <f>O22*100/6754</f>
        <v>1.0956470239857863</v>
      </c>
    </row>
    <row r="23" spans="1:16" x14ac:dyDescent="0.25">
      <c r="A23" s="32" t="s">
        <v>26</v>
      </c>
      <c r="B23" s="32"/>
      <c r="C23" s="35">
        <f>SUM(C17:C22)</f>
        <v>67</v>
      </c>
      <c r="D23" s="36">
        <f>C23*100/10344</f>
        <v>0.64771848414539834</v>
      </c>
      <c r="E23" s="35">
        <f>SUM(E17:E22)</f>
        <v>72</v>
      </c>
      <c r="F23" s="36">
        <f>E23*100/9728</f>
        <v>0.74013157894736847</v>
      </c>
      <c r="G23" s="35">
        <f>SUM(G17:G22)</f>
        <v>62</v>
      </c>
      <c r="H23" s="36">
        <f>G23*100/9415</f>
        <v>0.65852363250132762</v>
      </c>
      <c r="I23" s="35">
        <f>SUM(I17:I22)</f>
        <v>77</v>
      </c>
      <c r="J23" s="36">
        <f>I23*100/9134</f>
        <v>0.84300416028027148</v>
      </c>
      <c r="K23" s="35">
        <f>SUM(K17:K22)</f>
        <v>89</v>
      </c>
      <c r="L23" s="19">
        <f>K23*100/9097</f>
        <v>0.97834450917885019</v>
      </c>
      <c r="M23" s="35">
        <f>SUM(M17:M22)</f>
        <v>96</v>
      </c>
      <c r="N23" s="19">
        <f>M23*100/9108</f>
        <v>1.0540184453227932</v>
      </c>
      <c r="O23" s="35">
        <f>SUM(O17:O22)</f>
        <v>113</v>
      </c>
      <c r="P23" s="19">
        <f>O23*100/9421</f>
        <v>1.1994480416091711</v>
      </c>
    </row>
    <row r="24" spans="1:16" x14ac:dyDescent="0.25">
      <c r="A24" s="27" t="s">
        <v>32</v>
      </c>
      <c r="B24" s="27" t="s">
        <v>6</v>
      </c>
      <c r="C24" s="28">
        <v>30</v>
      </c>
      <c r="D24" s="29">
        <f>C24*100/556</f>
        <v>5.3956834532374103</v>
      </c>
      <c r="E24" s="28">
        <v>27</v>
      </c>
      <c r="F24" s="29">
        <f>E24*100/501</f>
        <v>5.3892215568862278</v>
      </c>
      <c r="G24" s="28">
        <v>23</v>
      </c>
      <c r="H24" s="29">
        <f>G24*100/450</f>
        <v>5.1111111111111107</v>
      </c>
      <c r="I24" s="28">
        <v>28</v>
      </c>
      <c r="J24" s="29">
        <f>I24*100/433</f>
        <v>6.4665127020785222</v>
      </c>
      <c r="K24" s="28">
        <v>24</v>
      </c>
      <c r="L24" s="12">
        <f>K24*100/434</f>
        <v>5.5299539170506913</v>
      </c>
      <c r="M24" s="28">
        <v>38</v>
      </c>
      <c r="N24" s="12">
        <f>M24*100/423</f>
        <v>8.9834515366430256</v>
      </c>
      <c r="O24" s="28">
        <v>32</v>
      </c>
      <c r="P24" s="12">
        <f>O24*100/453</f>
        <v>7.0640176600441498</v>
      </c>
    </row>
    <row r="25" spans="1:16" x14ac:dyDescent="0.25">
      <c r="A25" s="27"/>
      <c r="B25" s="27" t="s">
        <v>9</v>
      </c>
      <c r="C25" s="28">
        <v>29</v>
      </c>
      <c r="D25" s="29">
        <f>C25*100/551</f>
        <v>5.2631578947368425</v>
      </c>
      <c r="E25" s="28">
        <v>15</v>
      </c>
      <c r="F25" s="29">
        <f>E25*100/470</f>
        <v>3.1914893617021276</v>
      </c>
      <c r="G25" s="28">
        <v>13</v>
      </c>
      <c r="H25" s="29">
        <f>G25*100/368</f>
        <v>3.5326086956521738</v>
      </c>
      <c r="I25" s="28">
        <v>9</v>
      </c>
      <c r="J25" s="29">
        <f>I25*100/315</f>
        <v>2.8571428571428572</v>
      </c>
      <c r="K25" s="28">
        <v>2</v>
      </c>
      <c r="L25" s="12">
        <f>K25*100/271</f>
        <v>0.73800738007380073</v>
      </c>
      <c r="M25" s="28">
        <v>2</v>
      </c>
      <c r="N25" s="12">
        <f>M25*100/243</f>
        <v>0.82304526748971196</v>
      </c>
      <c r="O25" s="28"/>
      <c r="P25" s="12"/>
    </row>
    <row r="26" spans="1:16" x14ac:dyDescent="0.25">
      <c r="A26" s="27"/>
      <c r="B26" s="27" t="s">
        <v>22</v>
      </c>
      <c r="C26" s="28">
        <v>22</v>
      </c>
      <c r="D26" s="29">
        <f>C26*100/224</f>
        <v>9.8214285714285712</v>
      </c>
      <c r="E26" s="28">
        <v>10</v>
      </c>
      <c r="F26" s="29">
        <f>E26*100/208</f>
        <v>4.8076923076923075</v>
      </c>
      <c r="G26" s="28">
        <v>3</v>
      </c>
      <c r="H26" s="29">
        <f>G26*100/193</f>
        <v>1.5544041450777202</v>
      </c>
      <c r="I26" s="28">
        <v>3</v>
      </c>
      <c r="J26" s="29">
        <f>I26*100/187</f>
        <v>1.6042780748663101</v>
      </c>
      <c r="K26" s="28">
        <v>1</v>
      </c>
      <c r="L26" s="12">
        <f>K26*100/273</f>
        <v>0.36630036630036628</v>
      </c>
      <c r="M26" s="28">
        <v>1</v>
      </c>
      <c r="N26" s="12">
        <f>M26*100/401</f>
        <v>0.24937655860349128</v>
      </c>
      <c r="O26" s="28">
        <v>1</v>
      </c>
      <c r="P26" s="12">
        <f>O26*100/651</f>
        <v>0.15360983102918588</v>
      </c>
    </row>
    <row r="27" spans="1:16" x14ac:dyDescent="0.25">
      <c r="A27" s="27"/>
      <c r="B27" s="27" t="s">
        <v>7</v>
      </c>
      <c r="C27" s="28">
        <v>1</v>
      </c>
      <c r="D27" s="29">
        <f>C27*100/207</f>
        <v>0.48309178743961351</v>
      </c>
      <c r="E27" s="28">
        <v>1</v>
      </c>
      <c r="F27" s="29">
        <f>E27*100/140</f>
        <v>0.7142857142857143</v>
      </c>
      <c r="G27" s="28">
        <v>1</v>
      </c>
      <c r="H27" s="29">
        <f>G27*100/110</f>
        <v>0.90909090909090906</v>
      </c>
      <c r="I27" s="28">
        <v>1</v>
      </c>
      <c r="J27" s="29">
        <f>I27*100/76</f>
        <v>1.3157894736842106</v>
      </c>
      <c r="K27" s="30"/>
      <c r="L27" s="12"/>
      <c r="M27" s="30"/>
      <c r="N27" s="12"/>
      <c r="O27" s="30"/>
      <c r="P27" s="12"/>
    </row>
    <row r="28" spans="1:16" x14ac:dyDescent="0.25">
      <c r="A28" s="27"/>
      <c r="B28" s="27" t="s">
        <v>12</v>
      </c>
      <c r="C28" s="28">
        <v>29</v>
      </c>
      <c r="D28" s="29">
        <f>C28*100/525</f>
        <v>5.5238095238095237</v>
      </c>
      <c r="E28" s="28">
        <v>48</v>
      </c>
      <c r="F28" s="29">
        <f>E28*100/1121</f>
        <v>4.2818911685994649</v>
      </c>
      <c r="G28" s="28">
        <v>76</v>
      </c>
      <c r="H28" s="29">
        <f>G28*100/1707</f>
        <v>4.4522554188635031</v>
      </c>
      <c r="I28" s="28">
        <v>107</v>
      </c>
      <c r="J28" s="29">
        <f>I28*100/2353</f>
        <v>4.5473863153421163</v>
      </c>
      <c r="K28" s="28">
        <v>132</v>
      </c>
      <c r="L28" s="12">
        <f>K28*100/2923</f>
        <v>4.5159083133766682</v>
      </c>
      <c r="M28" s="28">
        <v>159</v>
      </c>
      <c r="N28" s="12">
        <f>M28*100/3427</f>
        <v>4.6396264954770938</v>
      </c>
      <c r="O28" s="28">
        <v>185</v>
      </c>
      <c r="P28" s="12">
        <f>O28*100/3918</f>
        <v>4.7217968351199593</v>
      </c>
    </row>
    <row r="29" spans="1:16" x14ac:dyDescent="0.25">
      <c r="A29" s="24" t="s">
        <v>27</v>
      </c>
      <c r="B29" s="21"/>
      <c r="C29" s="22">
        <f>SUM(C24:C28)</f>
        <v>111</v>
      </c>
      <c r="D29" s="19">
        <f>C29*100/2063</f>
        <v>5.380513814832768</v>
      </c>
      <c r="E29" s="22">
        <f>SUM(E24:E28)</f>
        <v>101</v>
      </c>
      <c r="F29" s="19">
        <f>E29*100/2440</f>
        <v>4.139344262295082</v>
      </c>
      <c r="G29" s="22">
        <f>SUM(G24:G28)</f>
        <v>116</v>
      </c>
      <c r="H29" s="19">
        <f>G29*100/2828</f>
        <v>4.1018387553041018</v>
      </c>
      <c r="I29" s="22">
        <f>SUM(I24:I28)</f>
        <v>148</v>
      </c>
      <c r="J29" s="19">
        <f>I29*100/3364</f>
        <v>4.3995243757431632</v>
      </c>
      <c r="K29" s="22">
        <f>SUM(K24:K28)</f>
        <v>159</v>
      </c>
      <c r="L29" s="19">
        <f>K29*100/3901</f>
        <v>4.075877980005127</v>
      </c>
      <c r="M29" s="22">
        <f>SUM(M24:M28)</f>
        <v>200</v>
      </c>
      <c r="N29" s="19">
        <f>M29*100/4494</f>
        <v>4.4503782821539835</v>
      </c>
      <c r="O29" s="22">
        <f>SUM(O24:O28)</f>
        <v>218</v>
      </c>
      <c r="P29" s="19">
        <f>O29*100/5022</f>
        <v>4.3409000398247706</v>
      </c>
    </row>
    <row r="30" spans="1:16" x14ac:dyDescent="0.25">
      <c r="A30" s="24" t="s">
        <v>28</v>
      </c>
      <c r="B30" s="21"/>
      <c r="C30" s="22">
        <f>SUM(C29,C23,C16,C11)</f>
        <v>192</v>
      </c>
      <c r="D30" s="19">
        <f>C30*100/19211</f>
        <v>0.99942741137889746</v>
      </c>
      <c r="E30" s="22">
        <f>SUM(E29,E23,E16,E11)</f>
        <v>192</v>
      </c>
      <c r="F30" s="19">
        <f>E30*100/15428</f>
        <v>1.244490536686544</v>
      </c>
      <c r="G30" s="22">
        <f>SUM(G29,G23,G16,G11)</f>
        <v>191</v>
      </c>
      <c r="H30" s="19">
        <f>G30*100/17927</f>
        <v>1.065432029899035</v>
      </c>
      <c r="I30" s="22">
        <f>SUM(I29,I23,I16,I11)</f>
        <v>251</v>
      </c>
      <c r="J30" s="19">
        <f>I30*100/18814</f>
        <v>1.3341128946529179</v>
      </c>
      <c r="K30" s="22">
        <f>SUM(K29,K23,K16,K11)</f>
        <v>285</v>
      </c>
      <c r="L30" s="19">
        <f>K30*100/20003</f>
        <v>1.4247862820576913</v>
      </c>
      <c r="M30" s="22">
        <f>SUM(M29,M23,M16,M11)</f>
        <v>329</v>
      </c>
      <c r="N30" s="19">
        <f>M30*100/20793</f>
        <v>1.582263261674602</v>
      </c>
      <c r="O30" s="22">
        <f>SUM(O29,O23,O16,O11)</f>
        <v>361</v>
      </c>
      <c r="P30" s="19">
        <f>O30*100/22168</f>
        <v>1.6284734752796823</v>
      </c>
    </row>
  </sheetData>
  <pageMargins left="0.7" right="0.7" top="0.75" bottom="0.75" header="0.3" footer="0.3"/>
  <pageSetup paperSize="9" scale="5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E40D3-50E2-41B2-A6A0-6DC3756140EF}">
  <sheetPr>
    <pageSetUpPr fitToPage="1"/>
  </sheetPr>
  <dimension ref="A1:K22"/>
  <sheetViews>
    <sheetView topLeftCell="A4" workbookViewId="0">
      <selection activeCell="F20" sqref="F20:F22"/>
    </sheetView>
  </sheetViews>
  <sheetFormatPr defaultRowHeight="16.149999999999999" customHeight="1" x14ac:dyDescent="0.25"/>
  <cols>
    <col min="1" max="1" width="17.42578125" customWidth="1"/>
    <col min="2" max="2" width="28.140625" bestFit="1" customWidth="1"/>
    <col min="3" max="3" width="39.5703125" customWidth="1"/>
    <col min="4" max="4" width="27.28515625" customWidth="1"/>
    <col min="5" max="5" width="9" customWidth="1"/>
    <col min="6" max="6" width="14" customWidth="1"/>
    <col min="7" max="7" width="24.42578125" customWidth="1"/>
  </cols>
  <sheetData>
    <row r="1" spans="1:7" ht="16.149999999999999" customHeight="1" x14ac:dyDescent="0.3">
      <c r="A1" s="6" t="s">
        <v>122</v>
      </c>
    </row>
    <row r="2" spans="1:7" ht="15" x14ac:dyDescent="0.25">
      <c r="A2" s="5" t="s">
        <v>129</v>
      </c>
    </row>
    <row r="4" spans="1:7" ht="16.149999999999999" customHeight="1" x14ac:dyDescent="0.25">
      <c r="A4" s="38" t="s">
        <v>127</v>
      </c>
      <c r="B4" s="37" t="s">
        <v>33</v>
      </c>
      <c r="C4" s="38" t="s">
        <v>124</v>
      </c>
      <c r="D4" s="37" t="s">
        <v>34</v>
      </c>
      <c r="E4" s="37" t="s">
        <v>35</v>
      </c>
      <c r="F4" s="37" t="s">
        <v>36</v>
      </c>
      <c r="G4" s="38" t="s">
        <v>126</v>
      </c>
    </row>
    <row r="5" spans="1:7" ht="16.149999999999999" customHeight="1" x14ac:dyDescent="0.25">
      <c r="A5" s="39">
        <v>42248</v>
      </c>
      <c r="B5" s="40" t="s">
        <v>37</v>
      </c>
      <c r="C5" s="40" t="s">
        <v>38</v>
      </c>
      <c r="D5" s="40" t="s">
        <v>39</v>
      </c>
      <c r="E5" s="40" t="s">
        <v>40</v>
      </c>
      <c r="F5" s="40">
        <v>9000</v>
      </c>
      <c r="G5" s="40" t="s">
        <v>41</v>
      </c>
    </row>
    <row r="6" spans="1:7" ht="16.149999999999999" customHeight="1" x14ac:dyDescent="0.25">
      <c r="A6" s="39">
        <v>42248</v>
      </c>
      <c r="B6" s="40" t="s">
        <v>37</v>
      </c>
      <c r="C6" s="40" t="s">
        <v>42</v>
      </c>
      <c r="D6" s="40" t="s">
        <v>43</v>
      </c>
      <c r="E6" s="40" t="s">
        <v>44</v>
      </c>
      <c r="F6" s="40">
        <v>8850</v>
      </c>
      <c r="G6" s="40" t="s">
        <v>45</v>
      </c>
    </row>
    <row r="7" spans="1:7" ht="16.149999999999999" customHeight="1" x14ac:dyDescent="0.25">
      <c r="A7" s="39">
        <v>42248</v>
      </c>
      <c r="B7" s="40" t="s">
        <v>37</v>
      </c>
      <c r="C7" s="40" t="s">
        <v>46</v>
      </c>
      <c r="D7" s="40" t="s">
        <v>47</v>
      </c>
      <c r="E7" s="40" t="s">
        <v>48</v>
      </c>
      <c r="F7" s="40">
        <v>8700</v>
      </c>
      <c r="G7" s="40" t="s">
        <v>49</v>
      </c>
    </row>
    <row r="8" spans="1:7" ht="16.149999999999999" customHeight="1" x14ac:dyDescent="0.25">
      <c r="A8" s="39">
        <v>42614</v>
      </c>
      <c r="B8" s="40" t="s">
        <v>50</v>
      </c>
      <c r="C8" s="40" t="s">
        <v>51</v>
      </c>
      <c r="D8" s="40" t="s">
        <v>52</v>
      </c>
      <c r="E8" s="40" t="s">
        <v>53</v>
      </c>
      <c r="F8" s="40">
        <v>9000</v>
      </c>
      <c r="G8" s="40" t="s">
        <v>41</v>
      </c>
    </row>
    <row r="9" spans="1:7" ht="16.149999999999999" customHeight="1" x14ac:dyDescent="0.25">
      <c r="A9" s="39">
        <v>42979</v>
      </c>
      <c r="B9" s="40" t="s">
        <v>37</v>
      </c>
      <c r="C9" s="40" t="s">
        <v>54</v>
      </c>
      <c r="D9" s="40" t="s">
        <v>55</v>
      </c>
      <c r="E9" s="40" t="s">
        <v>56</v>
      </c>
      <c r="F9" s="40">
        <v>8210</v>
      </c>
      <c r="G9" s="40" t="s">
        <v>57</v>
      </c>
    </row>
    <row r="10" spans="1:7" ht="16.149999999999999" customHeight="1" x14ac:dyDescent="0.25">
      <c r="A10" s="39">
        <v>42979</v>
      </c>
      <c r="B10" s="40" t="s">
        <v>37</v>
      </c>
      <c r="C10" s="40" t="s">
        <v>58</v>
      </c>
      <c r="D10" s="40" t="s">
        <v>59</v>
      </c>
      <c r="E10" s="40" t="s">
        <v>60</v>
      </c>
      <c r="F10" s="40">
        <v>8200</v>
      </c>
      <c r="G10" s="40" t="s">
        <v>61</v>
      </c>
    </row>
    <row r="11" spans="1:7" ht="16.149999999999999" customHeight="1" x14ac:dyDescent="0.25">
      <c r="A11" s="39">
        <v>43344</v>
      </c>
      <c r="B11" s="40" t="s">
        <v>37</v>
      </c>
      <c r="C11" s="40" t="s">
        <v>62</v>
      </c>
      <c r="D11" s="40" t="s">
        <v>63</v>
      </c>
      <c r="E11" s="40" t="s">
        <v>64</v>
      </c>
      <c r="F11" s="40">
        <v>8670</v>
      </c>
      <c r="G11" s="40" t="s">
        <v>65</v>
      </c>
    </row>
    <row r="12" spans="1:7" ht="16.149999999999999" customHeight="1" x14ac:dyDescent="0.25">
      <c r="A12" s="39">
        <v>43344</v>
      </c>
      <c r="B12" s="40" t="s">
        <v>66</v>
      </c>
      <c r="C12" s="40" t="s">
        <v>67</v>
      </c>
      <c r="D12" s="40" t="s">
        <v>68</v>
      </c>
      <c r="E12" s="40" t="s">
        <v>69</v>
      </c>
      <c r="F12" s="40">
        <v>1082</v>
      </c>
      <c r="G12" s="40" t="s">
        <v>70</v>
      </c>
    </row>
    <row r="13" spans="1:7" ht="16.149999999999999" customHeight="1" x14ac:dyDescent="0.25">
      <c r="A13" s="39">
        <v>43709</v>
      </c>
      <c r="B13" s="40" t="s">
        <v>37</v>
      </c>
      <c r="C13" s="40" t="s">
        <v>71</v>
      </c>
      <c r="D13" s="40" t="s">
        <v>72</v>
      </c>
      <c r="E13" s="40" t="s">
        <v>73</v>
      </c>
      <c r="F13" s="40">
        <v>8000</v>
      </c>
      <c r="G13" s="40" t="s">
        <v>61</v>
      </c>
    </row>
    <row r="14" spans="1:7" ht="16.149999999999999" customHeight="1" x14ac:dyDescent="0.25">
      <c r="A14" s="39">
        <v>43709</v>
      </c>
      <c r="B14" s="40" t="s">
        <v>37</v>
      </c>
      <c r="C14" s="40" t="s">
        <v>74</v>
      </c>
      <c r="D14" s="40" t="s">
        <v>75</v>
      </c>
      <c r="E14" s="40" t="s">
        <v>76</v>
      </c>
      <c r="F14" s="40">
        <v>9000</v>
      </c>
      <c r="G14" s="40" t="s">
        <v>41</v>
      </c>
    </row>
    <row r="15" spans="1:7" ht="16.149999999999999" customHeight="1" x14ac:dyDescent="0.25">
      <c r="A15" s="39">
        <v>43709</v>
      </c>
      <c r="B15" s="40" t="s">
        <v>37</v>
      </c>
      <c r="C15" s="40" t="s">
        <v>77</v>
      </c>
      <c r="D15" s="40" t="s">
        <v>78</v>
      </c>
      <c r="E15" s="40" t="s">
        <v>79</v>
      </c>
      <c r="F15" s="40">
        <v>9031</v>
      </c>
      <c r="G15" s="40" t="s">
        <v>41</v>
      </c>
    </row>
    <row r="16" spans="1:7" ht="16.149999999999999" customHeight="1" x14ac:dyDescent="0.25">
      <c r="A16" s="39">
        <v>43709</v>
      </c>
      <c r="B16" s="40" t="s">
        <v>37</v>
      </c>
      <c r="C16" s="40" t="s">
        <v>80</v>
      </c>
      <c r="D16" s="40" t="s">
        <v>81</v>
      </c>
      <c r="E16" s="40" t="s">
        <v>82</v>
      </c>
      <c r="F16" s="40">
        <v>8670</v>
      </c>
      <c r="G16" s="40" t="s">
        <v>65</v>
      </c>
    </row>
    <row r="17" spans="1:11" ht="16.149999999999999" customHeight="1" x14ac:dyDescent="0.25">
      <c r="A17" s="39">
        <v>43709</v>
      </c>
      <c r="B17" s="40" t="s">
        <v>37</v>
      </c>
      <c r="C17" s="40" t="s">
        <v>71</v>
      </c>
      <c r="D17" s="40" t="s">
        <v>72</v>
      </c>
      <c r="E17" s="40" t="s">
        <v>73</v>
      </c>
      <c r="F17" s="40">
        <v>8000</v>
      </c>
      <c r="G17" s="40" t="s">
        <v>61</v>
      </c>
    </row>
    <row r="18" spans="1:11" ht="16.149999999999999" customHeight="1" x14ac:dyDescent="0.25">
      <c r="A18" s="39">
        <v>44075</v>
      </c>
      <c r="B18" s="40" t="s">
        <v>37</v>
      </c>
      <c r="C18" s="40" t="s">
        <v>83</v>
      </c>
      <c r="D18" s="40" t="s">
        <v>84</v>
      </c>
      <c r="E18" s="40" t="s">
        <v>85</v>
      </c>
      <c r="F18" s="40">
        <v>8800</v>
      </c>
      <c r="G18" s="40" t="s">
        <v>86</v>
      </c>
    </row>
    <row r="19" spans="1:11" ht="16.149999999999999" customHeight="1" x14ac:dyDescent="0.25">
      <c r="A19" s="39">
        <v>44075</v>
      </c>
      <c r="B19" s="40" t="s">
        <v>37</v>
      </c>
      <c r="C19" s="40" t="s">
        <v>87</v>
      </c>
      <c r="D19" s="40" t="s">
        <v>88</v>
      </c>
      <c r="E19" s="40" t="s">
        <v>89</v>
      </c>
      <c r="F19" s="40">
        <v>8500</v>
      </c>
      <c r="G19" s="40" t="s">
        <v>90</v>
      </c>
    </row>
    <row r="20" spans="1:11" ht="16.149999999999999" customHeight="1" x14ac:dyDescent="0.25">
      <c r="A20" s="47">
        <v>44440</v>
      </c>
      <c r="B20" s="48" t="s">
        <v>97</v>
      </c>
      <c r="C20" s="48" t="s">
        <v>131</v>
      </c>
      <c r="D20" s="48" t="s">
        <v>132</v>
      </c>
      <c r="E20" s="48" t="s">
        <v>133</v>
      </c>
      <c r="F20" s="54">
        <v>3500</v>
      </c>
      <c r="G20" s="48" t="s">
        <v>101</v>
      </c>
    </row>
    <row r="21" spans="1:11" ht="16.149999999999999" customHeight="1" x14ac:dyDescent="0.25">
      <c r="A21" s="47">
        <v>44440</v>
      </c>
      <c r="B21" s="48" t="s">
        <v>37</v>
      </c>
      <c r="C21" s="48" t="s">
        <v>134</v>
      </c>
      <c r="D21" s="48" t="s">
        <v>135</v>
      </c>
      <c r="E21" s="48" t="s">
        <v>136</v>
      </c>
      <c r="F21" s="54">
        <v>3090</v>
      </c>
      <c r="G21" s="48" t="s">
        <v>137</v>
      </c>
    </row>
    <row r="22" spans="1:11" ht="16.149999999999999" customHeight="1" x14ac:dyDescent="0.25">
      <c r="A22" s="47">
        <v>44805</v>
      </c>
      <c r="B22" s="48" t="s">
        <v>50</v>
      </c>
      <c r="C22" s="48" t="s">
        <v>138</v>
      </c>
      <c r="D22" s="48" t="s">
        <v>139</v>
      </c>
      <c r="E22" s="48" t="s">
        <v>140</v>
      </c>
      <c r="F22" s="54">
        <v>2610</v>
      </c>
      <c r="G22" s="48" t="s">
        <v>141</v>
      </c>
      <c r="H22" s="46"/>
      <c r="I22" s="45" t="s">
        <v>142</v>
      </c>
      <c r="J22" s="45" t="s">
        <v>142</v>
      </c>
      <c r="K22" s="45" t="s">
        <v>142</v>
      </c>
    </row>
  </sheetData>
  <pageMargins left="0.7" right="0.7" top="0.75" bottom="0.75" header="0.3" footer="0.3"/>
  <pageSetup paperSize="9" scale="6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E49F3-A425-45ED-8DBF-7802D72D2BF6}">
  <sheetPr>
    <pageSetUpPr fitToPage="1"/>
  </sheetPr>
  <dimension ref="A1:G15"/>
  <sheetViews>
    <sheetView workbookViewId="0">
      <selection activeCell="A3" sqref="A3"/>
    </sheetView>
  </sheetViews>
  <sheetFormatPr defaultColWidth="8.7109375" defaultRowHeight="16.149999999999999" customHeight="1" x14ac:dyDescent="0.25"/>
  <cols>
    <col min="1" max="1" width="17.28515625" customWidth="1"/>
    <col min="2" max="2" width="28.28515625" customWidth="1"/>
    <col min="3" max="3" width="37.7109375" customWidth="1"/>
    <col min="4" max="4" width="17" bestFit="1" customWidth="1"/>
    <col min="5" max="5" width="7.5703125" customWidth="1"/>
    <col min="6" max="6" width="14.42578125" customWidth="1"/>
    <col min="7" max="7" width="23.7109375" customWidth="1"/>
  </cols>
  <sheetData>
    <row r="1" spans="1:7" ht="16.149999999999999" customHeight="1" x14ac:dyDescent="0.3">
      <c r="A1" s="6" t="s">
        <v>123</v>
      </c>
    </row>
    <row r="2" spans="1:7" ht="16.149999999999999" customHeight="1" x14ac:dyDescent="0.25">
      <c r="A2" s="5" t="s">
        <v>129</v>
      </c>
    </row>
    <row r="4" spans="1:7" ht="16.149999999999999" customHeight="1" x14ac:dyDescent="0.25">
      <c r="A4" s="49" t="s">
        <v>125</v>
      </c>
      <c r="B4" s="50" t="s">
        <v>33</v>
      </c>
      <c r="C4" s="49" t="s">
        <v>124</v>
      </c>
      <c r="D4" s="50" t="s">
        <v>34</v>
      </c>
      <c r="E4" s="50" t="s">
        <v>35</v>
      </c>
      <c r="F4" s="50" t="s">
        <v>36</v>
      </c>
      <c r="G4" s="49" t="s">
        <v>126</v>
      </c>
    </row>
    <row r="5" spans="1:7" ht="16.149999999999999" customHeight="1" x14ac:dyDescent="0.25">
      <c r="A5" s="41">
        <v>42613</v>
      </c>
      <c r="B5" s="42" t="s">
        <v>37</v>
      </c>
      <c r="C5" s="42" t="s">
        <v>91</v>
      </c>
      <c r="D5" s="42" t="s">
        <v>92</v>
      </c>
      <c r="E5" s="42" t="s">
        <v>93</v>
      </c>
      <c r="F5" s="42">
        <v>8000</v>
      </c>
      <c r="G5" s="42" t="s">
        <v>61</v>
      </c>
    </row>
    <row r="6" spans="1:7" ht="16.149999999999999" customHeight="1" x14ac:dyDescent="0.25">
      <c r="A6" s="41">
        <v>42978</v>
      </c>
      <c r="B6" s="42" t="s">
        <v>37</v>
      </c>
      <c r="C6" s="42" t="s">
        <v>94</v>
      </c>
      <c r="D6" s="42" t="s">
        <v>95</v>
      </c>
      <c r="E6" s="42" t="s">
        <v>73</v>
      </c>
      <c r="F6" s="42">
        <v>8460</v>
      </c>
      <c r="G6" s="42" t="s">
        <v>96</v>
      </c>
    </row>
    <row r="7" spans="1:7" ht="16.149999999999999" customHeight="1" x14ac:dyDescent="0.25">
      <c r="A7" s="41">
        <v>43343</v>
      </c>
      <c r="B7" s="42" t="s">
        <v>97</v>
      </c>
      <c r="C7" s="42" t="s">
        <v>98</v>
      </c>
      <c r="D7" s="42" t="s">
        <v>99</v>
      </c>
      <c r="E7" s="42" t="s">
        <v>100</v>
      </c>
      <c r="F7" s="42">
        <v>3500</v>
      </c>
      <c r="G7" s="42" t="s">
        <v>101</v>
      </c>
    </row>
    <row r="8" spans="1:7" ht="16.149999999999999" customHeight="1" x14ac:dyDescent="0.25">
      <c r="A8" s="41">
        <v>43708</v>
      </c>
      <c r="B8" s="42" t="s">
        <v>37</v>
      </c>
      <c r="C8" s="42" t="s">
        <v>102</v>
      </c>
      <c r="D8" s="42" t="s">
        <v>75</v>
      </c>
      <c r="E8" s="42" t="s">
        <v>76</v>
      </c>
      <c r="F8" s="42">
        <v>9000</v>
      </c>
      <c r="G8" s="42" t="s">
        <v>41</v>
      </c>
    </row>
    <row r="9" spans="1:7" ht="16.149999999999999" customHeight="1" x14ac:dyDescent="0.25">
      <c r="A9" s="41">
        <v>43708</v>
      </c>
      <c r="B9" s="42" t="s">
        <v>37</v>
      </c>
      <c r="C9" s="42" t="s">
        <v>103</v>
      </c>
      <c r="D9" s="42" t="s">
        <v>104</v>
      </c>
      <c r="E9" s="42" t="s">
        <v>76</v>
      </c>
      <c r="F9" s="42">
        <v>9030</v>
      </c>
      <c r="G9" s="42" t="s">
        <v>41</v>
      </c>
    </row>
    <row r="10" spans="1:7" ht="16.149999999999999" customHeight="1" x14ac:dyDescent="0.25">
      <c r="A10" s="41">
        <v>43708</v>
      </c>
      <c r="B10" s="42" t="s">
        <v>97</v>
      </c>
      <c r="C10" s="42" t="s">
        <v>105</v>
      </c>
      <c r="D10" s="42" t="s">
        <v>106</v>
      </c>
      <c r="E10" s="42" t="s">
        <v>107</v>
      </c>
      <c r="F10" s="42">
        <v>3140</v>
      </c>
      <c r="G10" s="42" t="s">
        <v>108</v>
      </c>
    </row>
    <row r="11" spans="1:7" ht="16.149999999999999" customHeight="1" x14ac:dyDescent="0.25">
      <c r="A11" s="41">
        <v>44074</v>
      </c>
      <c r="B11" s="42" t="s">
        <v>37</v>
      </c>
      <c r="C11" s="42" t="s">
        <v>109</v>
      </c>
      <c r="D11" s="42" t="s">
        <v>110</v>
      </c>
      <c r="E11" s="42" t="s">
        <v>111</v>
      </c>
      <c r="F11" s="42">
        <v>8420</v>
      </c>
      <c r="G11" s="42" t="s">
        <v>112</v>
      </c>
    </row>
    <row r="12" spans="1:7" ht="16.149999999999999" customHeight="1" x14ac:dyDescent="0.25">
      <c r="A12" s="41">
        <v>44074</v>
      </c>
      <c r="B12" s="42" t="s">
        <v>97</v>
      </c>
      <c r="C12" s="42" t="s">
        <v>113</v>
      </c>
      <c r="D12" s="42" t="s">
        <v>114</v>
      </c>
      <c r="E12" s="42" t="s">
        <v>115</v>
      </c>
      <c r="F12" s="42">
        <v>2930</v>
      </c>
      <c r="G12" s="42" t="s">
        <v>116</v>
      </c>
    </row>
    <row r="13" spans="1:7" ht="16.149999999999999" customHeight="1" x14ac:dyDescent="0.25">
      <c r="A13" s="41">
        <v>44074</v>
      </c>
      <c r="B13" s="42" t="s">
        <v>97</v>
      </c>
      <c r="C13" s="42" t="s">
        <v>117</v>
      </c>
      <c r="D13" s="42" t="s">
        <v>118</v>
      </c>
      <c r="E13" s="42" t="s">
        <v>76</v>
      </c>
      <c r="F13" s="42">
        <v>3290</v>
      </c>
      <c r="G13" s="42" t="s">
        <v>119</v>
      </c>
    </row>
    <row r="14" spans="1:7" ht="16.149999999999999" customHeight="1" x14ac:dyDescent="0.25">
      <c r="A14" s="51">
        <v>44439</v>
      </c>
      <c r="B14" s="52" t="s">
        <v>97</v>
      </c>
      <c r="C14" s="52" t="s">
        <v>143</v>
      </c>
      <c r="D14" s="52" t="s">
        <v>144</v>
      </c>
      <c r="E14" s="52" t="s">
        <v>69</v>
      </c>
      <c r="F14" s="53">
        <v>3500</v>
      </c>
      <c r="G14" s="52" t="s">
        <v>101</v>
      </c>
    </row>
    <row r="15" spans="1:7" ht="16.149999999999999" customHeight="1" x14ac:dyDescent="0.25">
      <c r="A15" s="51">
        <v>44439</v>
      </c>
      <c r="B15" s="52" t="s">
        <v>97</v>
      </c>
      <c r="C15" s="52" t="s">
        <v>145</v>
      </c>
      <c r="D15" s="52" t="s">
        <v>99</v>
      </c>
      <c r="E15" s="52" t="s">
        <v>100</v>
      </c>
      <c r="F15" s="53">
        <v>3500</v>
      </c>
      <c r="G15" s="52" t="s">
        <v>101</v>
      </c>
    </row>
  </sheetData>
  <pageMargins left="0.7" right="0.7" top="0.75" bottom="0.75" header="0.3" footer="0.3"/>
  <pageSetup paperSize="9" scale="8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e131338-60f6-4e30-bc4d-f35220754ff1">
      <Terms xmlns="http://schemas.microsoft.com/office/infopath/2007/PartnerControls"/>
    </lcf76f155ced4ddcb4097134ff3c332f>
    <Locatie xmlns="0e131338-60f6-4e30-bc4d-f35220754ff1" xsi:nil="true"/>
    <TaxCatchAll xmlns="9a9ec0f0-7796-43d0-ac1f-4c8c46ee0bd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9869BA86B4834E82E7C4663272497B" ma:contentTypeVersion="24" ma:contentTypeDescription="Een nieuw document maken." ma:contentTypeScope="" ma:versionID="c874092db6c99858427d2759b7f98a28">
  <xsd:schema xmlns:xsd="http://www.w3.org/2001/XMLSchema" xmlns:xs="http://www.w3.org/2001/XMLSchema" xmlns:p="http://schemas.microsoft.com/office/2006/metadata/properties" xmlns:ns2="0e131338-60f6-4e30-bc4d-f35220754ff1" xmlns:ns3="ceeae0c4-f3ff-4153-af2f-582bafa5e89e" xmlns:ns4="9a9ec0f0-7796-43d0-ac1f-4c8c46ee0bd1" targetNamespace="http://schemas.microsoft.com/office/2006/metadata/properties" ma:root="true" ma:fieldsID="08da4a8fc029639205c98a486a7eee7f" ns2:_="" ns3:_="" ns4:_="">
    <xsd:import namespace="0e131338-60f6-4e30-bc4d-f35220754ff1"/>
    <xsd:import namespace="ceeae0c4-f3ff-4153-af2f-582bafa5e89e"/>
    <xsd:import namespace="9a9ec0f0-7796-43d0-ac1f-4c8c46ee0b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Locatie" minOccurs="0"/>
                <xsd:element ref="ns2:c204a42c-e2fc-4e6e-a9ce-eac220aa4969CountryOrRegion" minOccurs="0"/>
                <xsd:element ref="ns2:c204a42c-e2fc-4e6e-a9ce-eac220aa4969State" minOccurs="0"/>
                <xsd:element ref="ns2:c204a42c-e2fc-4e6e-a9ce-eac220aa4969City" minOccurs="0"/>
                <xsd:element ref="ns2:c204a42c-e2fc-4e6e-a9ce-eac220aa4969PostalCode" minOccurs="0"/>
                <xsd:element ref="ns2:c204a42c-e2fc-4e6e-a9ce-eac220aa4969Street" minOccurs="0"/>
                <xsd:element ref="ns2:c204a42c-e2fc-4e6e-a9ce-eac220aa4969GeoLoc" minOccurs="0"/>
                <xsd:element ref="ns2:c204a42c-e2fc-4e6e-a9ce-eac220aa4969Disp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131338-60f6-4e30-bc4d-f35220754f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49ca8161-7180-459b-a0ef-1a71cf6ffe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Locatie" ma:index="24" nillable="true" ma:displayName="Locatie" ma:format="Dropdown" ma:internalName="Locatie">
      <xsd:simpleType>
        <xsd:restriction base="dms:Unknown"/>
      </xsd:simpleType>
    </xsd:element>
    <xsd:element name="c204a42c-e2fc-4e6e-a9ce-eac220aa4969CountryOrRegion" ma:index="25" nillable="true" ma:displayName="Locatie: land" ma:internalName="CountryOrRegion" ma:readOnly="true">
      <xsd:simpleType>
        <xsd:restriction base="dms:Text"/>
      </xsd:simpleType>
    </xsd:element>
    <xsd:element name="c204a42c-e2fc-4e6e-a9ce-eac220aa4969State" ma:index="26" nillable="true" ma:displayName="Locatie: provincie" ma:internalName="State" ma:readOnly="true">
      <xsd:simpleType>
        <xsd:restriction base="dms:Text"/>
      </xsd:simpleType>
    </xsd:element>
    <xsd:element name="c204a42c-e2fc-4e6e-a9ce-eac220aa4969City" ma:index="27" nillable="true" ma:displayName="Locatie: stad" ma:internalName="City" ma:readOnly="true">
      <xsd:simpleType>
        <xsd:restriction base="dms:Text"/>
      </xsd:simpleType>
    </xsd:element>
    <xsd:element name="c204a42c-e2fc-4e6e-a9ce-eac220aa4969PostalCode" ma:index="28" nillable="true" ma:displayName="Locatie: postcode" ma:internalName="PostalCode" ma:readOnly="true">
      <xsd:simpleType>
        <xsd:restriction base="dms:Text"/>
      </xsd:simpleType>
    </xsd:element>
    <xsd:element name="c204a42c-e2fc-4e6e-a9ce-eac220aa4969Street" ma:index="29" nillable="true" ma:displayName="Locatie: straat" ma:internalName="Street" ma:readOnly="true">
      <xsd:simpleType>
        <xsd:restriction base="dms:Text"/>
      </xsd:simpleType>
    </xsd:element>
    <xsd:element name="c204a42c-e2fc-4e6e-a9ce-eac220aa4969GeoLoc" ma:index="30" nillable="true" ma:displayName="Locatie: coördinaten" ma:internalName="GeoLoc" ma:readOnly="true">
      <xsd:simpleType>
        <xsd:restriction base="dms:Unknown"/>
      </xsd:simpleType>
    </xsd:element>
    <xsd:element name="c204a42c-e2fc-4e6e-a9ce-eac220aa4969DispName" ma:index="31" nillable="true" ma:displayName="Locatie: naam" ma:internalName="DispNa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ec0f0-7796-43d0-ac1f-4c8c46ee0bd1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f71d6063-7892-46c5-9e0f-0940b7f3805d}" ma:internalName="TaxCatchAll" ma:showField="CatchAllData" ma:web="ceeae0c4-f3ff-4153-af2f-582bafa5e8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96D8DD9-AE33-4271-9C16-1D5B10C5614A}">
  <ds:schemaRefs>
    <ds:schemaRef ds:uri="http://schemas.microsoft.com/office/2006/metadata/properties"/>
    <ds:schemaRef ds:uri="http://schemas.microsoft.com/office/infopath/2007/PartnerControls"/>
    <ds:schemaRef ds:uri="0e131338-60f6-4e30-bc4d-f35220754ff1"/>
    <ds:schemaRef ds:uri="9a9ec0f0-7796-43d0-ac1f-4c8c46ee0bd1"/>
  </ds:schemaRefs>
</ds:datastoreItem>
</file>

<file path=customXml/itemProps2.xml><?xml version="1.0" encoding="utf-8"?>
<ds:datastoreItem xmlns:ds="http://schemas.openxmlformats.org/officeDocument/2006/customXml" ds:itemID="{6669F64E-DBD7-4FA2-B300-4952697FF79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752523F-7AED-4C62-B7D0-9AE24FFD3D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131338-60f6-4e30-bc4d-f35220754ff1"/>
    <ds:schemaRef ds:uri="ceeae0c4-f3ff-4153-af2f-582bafa5e89e"/>
    <ds:schemaRef ds:uri="9a9ec0f0-7796-43d0-ac1f-4c8c46ee0b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Vraag 3 - Bubao</vt:lpstr>
      <vt:lpstr>Vraag 3 - BuSo</vt:lpstr>
      <vt:lpstr>Vraag 6 - nieuwe internaten</vt:lpstr>
      <vt:lpstr>Vraag 6 - gesloten internaten</vt:lpstr>
    </vt:vector>
  </TitlesOfParts>
  <Company>Vlaamse overheid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Criel, Stany</dc:creator>
  <cp:lastModifiedBy>Rolle Sinja</cp:lastModifiedBy>
  <cp:lastPrinted>2023-02-09T15:09:19Z</cp:lastPrinted>
  <dcterms:created xsi:type="dcterms:W3CDTF">2020-11-23T08:28:03Z</dcterms:created>
  <dcterms:modified xsi:type="dcterms:W3CDTF">2023-02-09T15:09:20Z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0x010100680AA2B8611ADC4CB95A262002ECCF11</vt:lpwstr>
  </property>
  <property fmtid="{D5CDD505-2E9C-101B-9397-08002B2CF9AE}" pid="3" name="MediaServiceImageTags">
    <vt:lpwstr/>
  </property>
</Properties>
</file>