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8985" activeTab="9"/>
  </bookViews>
  <sheets>
    <sheet name="H21003" sheetId="1" r:id="rId1"/>
    <sheet name="H21017" sheetId="2" r:id="rId2"/>
    <sheet name="H21022" sheetId="3" r:id="rId3"/>
    <sheet name="H21002" sheetId="4" r:id="rId4"/>
    <sheet name="H21025" sheetId="5" r:id="rId5"/>
    <sheet name="H21005" sheetId="6" r:id="rId6"/>
    <sheet name="H21020" sheetId="7" r:id="rId7"/>
    <sheet name="H21009" sheetId="8" r:id="rId8"/>
    <sheet name="P21002" sheetId="9" r:id="rId9"/>
    <sheet name="H21023" sheetId="10" r:id="rId10"/>
    <sheet name="H21019" sheetId="11" r:id="rId11"/>
    <sheet name="H21021" sheetId="12" r:id="rId12"/>
    <sheet name="H21015" sheetId="13" r:id="rId13"/>
    <sheet name="H21026" sheetId="14" r:id="rId14"/>
    <sheet name="H21024" sheetId="15" r:id="rId15"/>
    <sheet name="Vl_Br_H23001" sheetId="16" r:id="rId16"/>
    <sheet name="H23004" sheetId="17" r:id="rId17"/>
    <sheet name="H24001" sheetId="18" r:id="rId18"/>
    <sheet name="H24005" sheetId="19" r:id="rId19"/>
    <sheet name="H24004" sheetId="20" r:id="rId20"/>
    <sheet name="H24014" sheetId="21" r:id="rId21"/>
    <sheet name="H24012" sheetId="22" r:id="rId22"/>
    <sheet name="H24006" sheetId="23" r:id="rId23"/>
    <sheet name="H24008" sheetId="24" r:id="rId24"/>
    <sheet name="H23008" sheetId="25" r:id="rId25"/>
    <sheet name="H23009" sheetId="26" r:id="rId26"/>
    <sheet name="H23002" sheetId="27" r:id="rId27"/>
    <sheet name="ANT_H11002" sheetId="28" r:id="rId28"/>
    <sheet name="H11009" sheetId="29" r:id="rId29"/>
    <sheet name="H11008" sheetId="30" r:id="rId30"/>
    <sheet name="H11007" sheetId="31" r:id="rId31"/>
    <sheet name="H12006" sheetId="32" r:id="rId32"/>
    <sheet name="H13008" sheetId="33" r:id="rId33"/>
    <sheet name="H13002" sheetId="34" r:id="rId34"/>
    <sheet name="OVL_H41004" sheetId="35" r:id="rId35"/>
    <sheet name="H41002" sheetId="36" r:id="rId36"/>
    <sheet name="H41001" sheetId="37" r:id="rId37"/>
    <sheet name="H41003" sheetId="38" r:id="rId38"/>
    <sheet name="H42002" sheetId="39" r:id="rId39"/>
    <sheet name="H42001" sheetId="40" r:id="rId40"/>
    <sheet name="H42003" sheetId="41" r:id="rId41"/>
    <sheet name="H44010" sheetId="42" r:id="rId42"/>
    <sheet name="H44011" sheetId="43" r:id="rId43"/>
    <sheet name="H44005" sheetId="44" r:id="rId44"/>
    <sheet name="H44001" sheetId="45" r:id="rId45"/>
    <sheet name="H44004" sheetId="46" r:id="rId46"/>
    <sheet name="H44015" sheetId="47" r:id="rId47"/>
    <sheet name="H44016" sheetId="48" r:id="rId48"/>
    <sheet name="P44022" sheetId="49" r:id="rId49"/>
    <sheet name="H44002" sheetId="50" r:id="rId50"/>
    <sheet name="H45004" sheetId="51" r:id="rId51"/>
    <sheet name="H45002" sheetId="52" r:id="rId52"/>
    <sheet name="H46001" sheetId="53" r:id="rId53"/>
    <sheet name="H44018" sheetId="54" r:id="rId54"/>
    <sheet name="WVL_31009" sheetId="55" r:id="rId55"/>
    <sheet name="H31008" sheetId="56" r:id="rId56"/>
    <sheet name="H31004" sheetId="57" r:id="rId57"/>
    <sheet name="P31050" sheetId="58" r:id="rId58"/>
    <sheet name="P31033+P31017" sheetId="59" r:id="rId59"/>
    <sheet name="P31032" sheetId="60" r:id="rId60"/>
    <sheet name="P31035" sheetId="61" r:id="rId61"/>
    <sheet name="H31005" sheetId="62" r:id="rId62"/>
    <sheet name="H33002" sheetId="63" r:id="rId63"/>
    <sheet name="H33001" sheetId="64" r:id="rId64"/>
    <sheet name="H33003" sheetId="65" r:id="rId65"/>
    <sheet name="H34001" sheetId="66" r:id="rId66"/>
    <sheet name="H35002" sheetId="67" r:id="rId67"/>
    <sheet name="H35001" sheetId="68" r:id="rId68"/>
    <sheet name="H36001" sheetId="69" r:id="rId69"/>
    <sheet name="H38003" sheetId="70" r:id="rId70"/>
  </sheets>
  <definedNames/>
  <calcPr fullCalcOnLoad="1"/>
</workbook>
</file>

<file path=xl/sharedStrings.xml><?xml version="1.0" encoding="utf-8"?>
<sst xmlns="http://schemas.openxmlformats.org/spreadsheetml/2006/main" count="434" uniqueCount="109">
  <si>
    <t>huur</t>
  </si>
  <si>
    <t>lasten</t>
  </si>
  <si>
    <t>belastingen</t>
  </si>
  <si>
    <t>H21002 - Boudewijn</t>
  </si>
  <si>
    <t>werken</t>
  </si>
  <si>
    <t>H21003 - Anderlecht Kliniekstraat</t>
  </si>
  <si>
    <t>H21022 - Arenberg</t>
  </si>
  <si>
    <t>H21025 - Parkings Grote Markt (bij Arenberg)</t>
  </si>
  <si>
    <t>H21005 - Hertogstraat</t>
  </si>
  <si>
    <r>
      <t xml:space="preserve">lasten / </t>
    </r>
    <r>
      <rPr>
        <i/>
        <sz val="10"/>
        <rFont val="Arial"/>
        <family val="2"/>
      </rPr>
      <t>werken</t>
    </r>
  </si>
  <si>
    <t>totaal</t>
  </si>
  <si>
    <t>huur a</t>
  </si>
  <si>
    <t>huur b</t>
  </si>
  <si>
    <t>bij a staat huur kb en huur anh, met zelfde bedrag -&gt; totaal lijkt 150 %</t>
  </si>
  <si>
    <t>H21003 - Anderlecht - Materiaalstraat</t>
  </si>
  <si>
    <t>H21020 - Koning Albert II laan 15: Conscience</t>
  </si>
  <si>
    <t>H21009 - Koning Albert II laan 19: Phoenix</t>
  </si>
  <si>
    <t>P21002 - Koning Albert II laan 20: Ferraris</t>
  </si>
  <si>
    <t>H21023 - Koning Albert II laan 35: Ellips</t>
  </si>
  <si>
    <t>H21019 - Koolstraat</t>
  </si>
  <si>
    <t>H21021 - Leuvenseplein 10-12</t>
  </si>
  <si>
    <t>H21015 - Martelaarsplein 10-12</t>
  </si>
  <si>
    <t>H21026 - Rozenstraat</t>
  </si>
  <si>
    <t>H21024 - Wetstraat</t>
  </si>
  <si>
    <t>H23001 - Asse: Doorneveld</t>
  </si>
  <si>
    <t>H23024 - Grimbergen: Westvaartdijk</t>
  </si>
  <si>
    <t>H24001 - Leuven: Blijde Inkomstraat</t>
  </si>
  <si>
    <t>H24005 - Leuven: Brouwerstraat</t>
  </si>
  <si>
    <t>1ste verdieping</t>
  </si>
  <si>
    <t>gelijkvloers</t>
  </si>
  <si>
    <t>garage</t>
  </si>
  <si>
    <t>H24004 - Leuven: Brusselsestraat</t>
  </si>
  <si>
    <t xml:space="preserve">huur </t>
  </si>
  <si>
    <t>huur parkings</t>
  </si>
  <si>
    <t>H24014 - Leuven: Phillipsite: kantoren + parkings</t>
  </si>
  <si>
    <t>H24012 - Leuven: Provincieplein</t>
  </si>
  <si>
    <t>H24006 - Leuven: Stijn streuvelstraat</t>
  </si>
  <si>
    <t xml:space="preserve">H24008 - Leuven: Tiensestraat </t>
  </si>
  <si>
    <t>H23008 - Machelen: Nieuwbrugstraat</t>
  </si>
  <si>
    <t>H23009 - Ternat: Zierebeekstraat</t>
  </si>
  <si>
    <t>H23002 - Vilvoorde: Luchthavenlaan</t>
  </si>
  <si>
    <t>a</t>
  </si>
  <si>
    <t>b ingang 1-4-2008 500 m² extra</t>
  </si>
  <si>
    <t>H11002 - Antwerpen: Frankrijklei</t>
  </si>
  <si>
    <t>1002009a</t>
  </si>
  <si>
    <t>1002009b</t>
  </si>
  <si>
    <t>1002009c</t>
  </si>
  <si>
    <t>lasten (bij alg)</t>
  </si>
  <si>
    <t xml:space="preserve">lasten </t>
  </si>
  <si>
    <t>(bij alg bet voor 2005)</t>
  </si>
  <si>
    <t>1002008a</t>
  </si>
  <si>
    <t>1002008b</t>
  </si>
  <si>
    <t>1002008c</t>
  </si>
  <si>
    <t>1002008d</t>
  </si>
  <si>
    <t>H11009 - Antwerpen: Anna Bijns</t>
  </si>
  <si>
    <t>H11008 - Antwerpen: Noorderlaan</t>
  </si>
  <si>
    <t>H11007 - Antwerpen: Verlatstraat</t>
  </si>
  <si>
    <t>H12006 - Mechelen: Zwartzustervest</t>
  </si>
  <si>
    <t>1073004a</t>
  </si>
  <si>
    <t>1073004b</t>
  </si>
  <si>
    <t>BJB</t>
  </si>
  <si>
    <t>Bos</t>
  </si>
  <si>
    <t>Totaal</t>
  </si>
  <si>
    <t>H41004 - Aalst: Bauwensplein</t>
  </si>
  <si>
    <t>H41002 - Aalst: Keizerlijkplein</t>
  </si>
  <si>
    <t>H41001 - Aalst: Zeebergkaai 5</t>
  </si>
  <si>
    <t>H41003 - Aalst: Zeebergkaai 6</t>
  </si>
  <si>
    <t>H42002 - Dendermonde: Franz Courtenstraat</t>
  </si>
  <si>
    <t>H42001 - Dendermonde: Noordlaan 111</t>
  </si>
  <si>
    <t>H42003 - Dendermonde: Noordlaan 119</t>
  </si>
  <si>
    <t>H44010 - Gent Abeelstraat (Granit Center)</t>
  </si>
  <si>
    <t>verschil berekening Harlinde Jens</t>
  </si>
  <si>
    <t>b</t>
  </si>
  <si>
    <t>H44011: Gent: Bollebergen</t>
  </si>
  <si>
    <t>H44005: Gent: Elf-Julistraat</t>
  </si>
  <si>
    <t>H44001: Gent: Gebroeders Van Eyckstraat</t>
  </si>
  <si>
    <t>H44004: Gent: Gordunakaai</t>
  </si>
  <si>
    <t>c</t>
  </si>
  <si>
    <t>d</t>
  </si>
  <si>
    <t>e</t>
  </si>
  <si>
    <t>H44015: Gent: Koepoortkaai</t>
  </si>
  <si>
    <t>H44016: Gent: Lousbergkaai</t>
  </si>
  <si>
    <t>P44022: Gent: Nederkouter</t>
  </si>
  <si>
    <t>H44002: Gent: Vliegtuiglaan</t>
  </si>
  <si>
    <t>H45002: Oudenaarde: Tussenbruggen</t>
  </si>
  <si>
    <t>casinostraat 13 slchts vanaf 2007 ingehuurd</t>
  </si>
  <si>
    <t>H46001: Sint-Niklaas: Casinostraat 24</t>
  </si>
  <si>
    <t>H44018: Wachtbeke: Meerstraat</t>
  </si>
  <si>
    <t>H31009: Brugge: Baron Ruzettelaan</t>
  </si>
  <si>
    <t>H31008: Brugge: Gistelsesteenweg</t>
  </si>
  <si>
    <t>H13002 - Turnhout: Parklaan</t>
  </si>
  <si>
    <t>H13008 - Turnhout: Graatakker</t>
  </si>
  <si>
    <t>1 van de 4 verdiepingen werd door de eigenaar opgezegd in 2005</t>
  </si>
  <si>
    <t>P31050: Brugge: Markt + Philipstraat</t>
  </si>
  <si>
    <t>P31033 + P31017: Brugge: Roode poort + koetshuis</t>
  </si>
  <si>
    <t>P31032: Brugge: Spanjaardstraat</t>
  </si>
  <si>
    <t>P31035: Brugge: Werkhuizenstraat</t>
  </si>
  <si>
    <t>H31005: Brugge: Zandstraat</t>
  </si>
  <si>
    <t>H33002: Ieper: Brugse Steenweg</t>
  </si>
  <si>
    <t>H45004: Oudenaarde: Doornikse Heirweg</t>
  </si>
  <si>
    <t>H33001: Ieper: Stationstraat</t>
  </si>
  <si>
    <t>H33003: Ieper: Veemarkt</t>
  </si>
  <si>
    <t>H34001: Kortrijk: Prseident Rooseveltplein</t>
  </si>
  <si>
    <t>H35002: Oostende: Maritiem Plein</t>
  </si>
  <si>
    <t>H35001: Oostende: Torhoutsesteenweg</t>
  </si>
  <si>
    <t>H36001: Roeselare: Zuidforeest</t>
  </si>
  <si>
    <t>H38003: Veurne: Statieplaats</t>
  </si>
  <si>
    <t>verzekering</t>
  </si>
  <si>
    <t>H31004: Brugge: Koningin Astridlaan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</si>
</sst>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_-* #,##0\-;_-* &quot;-&quot;??_-;_-@_-"/>
    <numFmt numFmtId="173" formatCode="_-* #,##0.00_-;_-* #,##0.00\-;_-* &quot;-&quot;??_-;_-@_-"/>
    <numFmt numFmtId="174" formatCode="_-* #,##0_-;_-* #,##0\-;_-* &quot;-&quot;_-;_-@_-"/>
    <numFmt numFmtId="175" formatCode="_-&quot;F&quot;\ * #,##0.00_-;_-&quot;F&quot;\ * #,##0.00\-;_-&quot;F&quot;\ * &quot;-&quot;??_-;_-@_-"/>
    <numFmt numFmtId="176" formatCode="_-&quot;F&quot;\ * #,##0_-;_-&quot;F&quot;\ * #,##0\-;_-&quot;F&quot;\ * &quot;-&quot;_-;_-@_-"/>
    <numFmt numFmtId="177" formatCode="[$-813]dddd\ d\ mmmm\ yyyy"/>
    <numFmt numFmtId="178" formatCode="#,##0.00_ ;[Red]\-#,##0.00\ "/>
    <numFmt numFmtId="179" formatCode="#,##0.00;[Red]\-#,##0.00"/>
    <numFmt numFmtId="180" formatCode="#,##0.00;[Red]#,##0.00"/>
  </numFmts>
  <fonts count="28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1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8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1.25"/>
      <name val="Arial"/>
      <family val="0"/>
    </font>
    <font>
      <sz val="11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sz val="10"/>
      <color indexed="8"/>
      <name val="MS Sans Serif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2" fillId="0" borderId="0" xfId="17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" xfId="17" applyNumberFormat="1" applyFont="1" applyBorder="1" applyAlignment="1">
      <alignment/>
    </xf>
    <xf numFmtId="4" fontId="0" fillId="0" borderId="0" xfId="17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8" fontId="13" fillId="0" borderId="0" xfId="0" applyNumberFormat="1" applyFont="1" applyFill="1" applyAlignment="1">
      <alignment/>
    </xf>
    <xf numFmtId="43" fontId="14" fillId="0" borderId="0" xfId="17" applyFont="1" applyAlignment="1">
      <alignment/>
    </xf>
    <xf numFmtId="4" fontId="14" fillId="0" borderId="0" xfId="17" applyNumberFormat="1" applyFont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7" fillId="0" borderId="0" xfId="17" applyNumberFormat="1" applyFont="1" applyBorder="1" applyAlignment="1">
      <alignment/>
    </xf>
    <xf numFmtId="4" fontId="3" fillId="0" borderId="0" xfId="17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3" fontId="15" fillId="0" borderId="0" xfId="17" applyFont="1" applyAlignment="1">
      <alignment/>
    </xf>
    <xf numFmtId="180" fontId="15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4" fontId="14" fillId="0" borderId="0" xfId="17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0" xfId="0" applyNumberFormat="1" applyFont="1" applyFill="1" applyAlignment="1">
      <alignment/>
    </xf>
    <xf numFmtId="4" fontId="14" fillId="0" borderId="0" xfId="17" applyNumberFormat="1" applyFont="1" applyAlignment="1">
      <alignment/>
    </xf>
    <xf numFmtId="1" fontId="14" fillId="2" borderId="0" xfId="0" applyNumberFormat="1" applyFont="1" applyFill="1" applyBorder="1" applyAlignment="1">
      <alignment/>
    </xf>
    <xf numFmtId="178" fontId="14" fillId="0" borderId="0" xfId="17" applyNumberFormat="1" applyFont="1" applyAlignment="1">
      <alignment/>
    </xf>
    <xf numFmtId="17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9" fontId="13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/>
    </xf>
    <xf numFmtId="2" fontId="24" fillId="0" borderId="0" xfId="17" applyNumberFormat="1" applyFont="1" applyAlignment="1">
      <alignment/>
    </xf>
    <xf numFmtId="2" fontId="14" fillId="0" borderId="0" xfId="0" applyNumberFormat="1" applyFont="1" applyAlignment="1">
      <alignment/>
    </xf>
    <xf numFmtId="4" fontId="24" fillId="0" borderId="0" xfId="17" applyNumberFormat="1" applyFont="1" applyAlignment="1">
      <alignment/>
    </xf>
    <xf numFmtId="2" fontId="15" fillId="0" borderId="0" xfId="0" applyNumberFormat="1" applyFont="1" applyAlignment="1">
      <alignment/>
    </xf>
    <xf numFmtId="178" fontId="13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'H21003'!$B$5:$B$15</c:f>
              <c:numCache>
                <c:ptCount val="11"/>
                <c:pt idx="0">
                  <c:v>39776.20172583472</c:v>
                </c:pt>
                <c:pt idx="1">
                  <c:v>40892.367110478706</c:v>
                </c:pt>
                <c:pt idx="2">
                  <c:v>42252.78198508176</c:v>
                </c:pt>
                <c:pt idx="3">
                  <c:v>41237.65800113535</c:v>
                </c:pt>
                <c:pt idx="4">
                  <c:v>44510.35</c:v>
                </c:pt>
                <c:pt idx="5">
                  <c:v>45332.56</c:v>
                </c:pt>
                <c:pt idx="6">
                  <c:v>46059.29</c:v>
                </c:pt>
                <c:pt idx="7">
                  <c:v>46965.97</c:v>
                </c:pt>
                <c:pt idx="8">
                  <c:v>48193.42</c:v>
                </c:pt>
                <c:pt idx="9">
                  <c:v>51977.28</c:v>
                </c:pt>
                <c:pt idx="10">
                  <c:v>52918.97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'H21003'!$C$5:$C$15</c:f>
              <c:numCache>
                <c:ptCount val="11"/>
                <c:pt idx="0">
                  <c:v>349519.9541892766</c:v>
                </c:pt>
                <c:pt idx="1">
                  <c:v>356510.35327306215</c:v>
                </c:pt>
                <c:pt idx="2">
                  <c:v>374991.6583828914</c:v>
                </c:pt>
                <c:pt idx="3">
                  <c:v>393842.59752751</c:v>
                </c:pt>
                <c:pt idx="4">
                  <c:v>401719.46852012526</c:v>
                </c:pt>
                <c:pt idx="5">
                  <c:v>409753.87</c:v>
                </c:pt>
                <c:pt idx="6">
                  <c:v>356841.58</c:v>
                </c:pt>
                <c:pt idx="7">
                  <c:v>363978.41</c:v>
                </c:pt>
                <c:pt idx="8">
                  <c:v>379854.91</c:v>
                </c:pt>
                <c:pt idx="9">
                  <c:v>396048.94</c:v>
                </c:pt>
                <c:pt idx="10">
                  <c:v>403969.92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'H21003'!$D$6:$D$15</c:f>
              <c:numCache>
                <c:ptCount val="10"/>
                <c:pt idx="0">
                  <c:v>2905.188163579979</c:v>
                </c:pt>
                <c:pt idx="1">
                  <c:v>1219.7105099417697</c:v>
                </c:pt>
                <c:pt idx="2">
                  <c:v>1655.4825371406473</c:v>
                </c:pt>
                <c:pt idx="3">
                  <c:v>3092.8</c:v>
                </c:pt>
                <c:pt idx="4">
                  <c:v>3132.89</c:v>
                </c:pt>
                <c:pt idx="5">
                  <c:v>3207.35</c:v>
                </c:pt>
                <c:pt idx="6">
                  <c:v>3379.17</c:v>
                </c:pt>
                <c:pt idx="7">
                  <c:v>2633</c:v>
                </c:pt>
                <c:pt idx="8">
                  <c:v>2969.09</c:v>
                </c:pt>
                <c:pt idx="9">
                  <c:v>3046.99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'H21003'!$E$5:$E$15</c:f>
              <c:numCache>
                <c:ptCount val="11"/>
                <c:pt idx="0">
                  <c:v>392084.21438823594</c:v>
                </c:pt>
                <c:pt idx="1">
                  <c:v>400307.9085471208</c:v>
                </c:pt>
                <c:pt idx="2">
                  <c:v>418464.150877915</c:v>
                </c:pt>
                <c:pt idx="3">
                  <c:v>436735.738065786</c:v>
                </c:pt>
                <c:pt idx="4">
                  <c:v>449322.6185201252</c:v>
                </c:pt>
                <c:pt idx="5">
                  <c:v>458219.32</c:v>
                </c:pt>
                <c:pt idx="6">
                  <c:v>406108.22</c:v>
                </c:pt>
                <c:pt idx="7">
                  <c:v>414323.55</c:v>
                </c:pt>
                <c:pt idx="8">
                  <c:v>430681.32999999996</c:v>
                </c:pt>
                <c:pt idx="9">
                  <c:v>450995.31</c:v>
                </c:pt>
                <c:pt idx="10">
                  <c:v>459935.88</c:v>
                </c:pt>
              </c:numCache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940614"/>
        <c:crosses val="autoZero"/>
        <c:auto val="1"/>
        <c:lblOffset val="100"/>
        <c:noMultiLvlLbl val="0"/>
      </c:catAx>
      <c:valAx>
        <c:axId val="6494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8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werken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'H21023'!$A$14:$A$15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'H21023'!$B$14:$B$15</c:f>
              <c:numCache>
                <c:ptCount val="2"/>
                <c:pt idx="0">
                  <c:v>318168</c:v>
                </c:pt>
                <c:pt idx="1">
                  <c:v>1277602.83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'H21023'!$A$14:$A$15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'H21023'!$C$14:$C$15</c:f>
              <c:numCache>
                <c:ptCount val="2"/>
                <c:pt idx="0">
                  <c:v>4266144.63</c:v>
                </c:pt>
                <c:pt idx="1">
                  <c:v>5838560.8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'H21023'!$A$14:$A$15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'H21023'!$D$14:$D$15</c:f>
              <c:numCache>
                <c:ptCount val="2"/>
                <c:pt idx="0">
                  <c:v>982520</c:v>
                </c:pt>
                <c:pt idx="1">
                  <c:v>982520</c:v>
                </c:pt>
              </c:numCache>
            </c:numRef>
          </c:val>
          <c:smooth val="0"/>
        </c:ser>
        <c:ser>
          <c:idx val="3"/>
          <c:order val="3"/>
          <c:tx>
            <c:v>belasting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'H21023'!$A$14:$A$15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'H21023'!$E$14:$E$15</c:f>
              <c:numCache>
                <c:ptCount val="2"/>
                <c:pt idx="0">
                  <c:v>927040.575</c:v>
                </c:pt>
                <c:pt idx="1">
                  <c:v>954855.4349999999</c:v>
                </c:pt>
              </c:numCache>
            </c:numRef>
          </c:val>
          <c:smooth val="0"/>
        </c:ser>
        <c:ser>
          <c:idx val="4"/>
          <c:order val="4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'H21023'!$A$14:$A$15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'H21023'!$F$14:$F$15</c:f>
              <c:numCache>
                <c:ptCount val="2"/>
                <c:pt idx="0">
                  <c:v>6493873.205</c:v>
                </c:pt>
                <c:pt idx="1">
                  <c:v>9053539.065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'H21019'!$A$12:$A$15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'H21019'!$B$12:$B$15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'H21019'!$A$12:$A$15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'H21019'!$C$12:$C$15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'H21019'!$A$12:$A$15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'H21019'!$D$12:$D$15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'H21019'!$A$12:$A$15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'H21019'!$E$12:$E$15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'H21021'!$A$12:$A$15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'H21021'!$B$12:$B$15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'H21021'!$A$12:$A$15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'H21021'!$C$12:$C$15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'H21021'!$A$12:$A$15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'H21021'!$D$12:$D$15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'H21021'!$A$12:$A$15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'H21021'!$E$12:$E$15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'H21015'!$A$7:$A$15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'H21015'!$B$7:$B$15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'H21015'!$A$7:$A$15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'H21015'!$C$7:$C$15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'H21015'!$A$7:$A$15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'H21015'!$D$7:$D$15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'H21015'!$A$7:$A$15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'H21015'!$E$7:$E$15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72629"/>
        <c:axId val="5153662"/>
      </c:lineChart>
      <c:cat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'H21026'!$A$14:$A$15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'H21026'!$B$14:$B$15</c:f>
              <c:numCache>
                <c:ptCount val="2"/>
                <c:pt idx="1">
                  <c:v>11129.51</c:v>
                </c:pt>
              </c:numCache>
            </c:numRef>
          </c:val>
          <c:smooth val="0"/>
        </c:ser>
        <c:ser>
          <c:idx val="2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'H21026'!$A$14:$A$15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'H21026'!$C$14:$C$15</c:f>
              <c:numCache>
                <c:ptCount val="2"/>
                <c:pt idx="0">
                  <c:v>24833.333333333336</c:v>
                </c:pt>
                <c:pt idx="1">
                  <c:v>299263.87</c:v>
                </c:pt>
              </c:numCache>
            </c:numRef>
          </c:val>
          <c:smooth val="0"/>
        </c:ser>
        <c:ser>
          <c:idx val="3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'H21026'!$A$14:$A$15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'H21026'!$D$14:$D$15</c:f>
              <c:numCache>
                <c:ptCount val="2"/>
              </c:numCache>
            </c:numRef>
          </c:val>
          <c:smooth val="0"/>
        </c:ser>
        <c:ser>
          <c:idx val="4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'H21026'!$A$14:$A$15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'H21026'!$E$14:$E$15</c:f>
              <c:numCache>
                <c:ptCount val="2"/>
                <c:pt idx="0">
                  <c:v>24833.333333333336</c:v>
                </c:pt>
                <c:pt idx="1">
                  <c:v>310393.38</c:v>
                </c:pt>
              </c:numCache>
            </c:numRef>
          </c:val>
          <c:smooth val="0"/>
        </c:ser>
        <c:marker val="1"/>
        <c:axId val="46382959"/>
        <c:axId val="14793448"/>
      </c:line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2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'H21024'!$A$14:$A$15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'H21024'!$C$14:$C$15</c:f>
              <c:numCache>
                <c:ptCount val="2"/>
                <c:pt idx="0">
                  <c:v>182448.97799999994</c:v>
                </c:pt>
                <c:pt idx="1">
                  <c:v>195951.42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'H21024'!$A$14:$A$15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'H21024'!$D$14:$D$15</c:f>
              <c:numCache>
                <c:ptCount val="2"/>
                <c:pt idx="0">
                  <c:v>10213.83</c:v>
                </c:pt>
                <c:pt idx="1">
                  <c:v>49209.45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'H21024'!$A$14:$A$15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'H21024'!$E$14:$E$15</c:f>
              <c:numCache>
                <c:ptCount val="2"/>
                <c:pt idx="0">
                  <c:v>192662.80799999993</c:v>
                </c:pt>
                <c:pt idx="1">
                  <c:v>245160.87</c:v>
                </c:pt>
              </c:numCache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Vl_Br_H23001!$A$5:$A$15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Vl_Br_H23001!$B$5:$B$15</c:f>
              <c:numCache>
                <c:ptCount val="11"/>
                <c:pt idx="0">
                  <c:v>5109.20949233885</c:v>
                </c:pt>
                <c:pt idx="1">
                  <c:v>5158.317199596429</c:v>
                </c:pt>
                <c:pt idx="2">
                  <c:v>5216.125969573549</c:v>
                </c:pt>
                <c:pt idx="3">
                  <c:v>8011.447722974028</c:v>
                </c:pt>
                <c:pt idx="4">
                  <c:v>8222.9</c:v>
                </c:pt>
                <c:pt idx="5">
                  <c:v>8326.55</c:v>
                </c:pt>
                <c:pt idx="6">
                  <c:v>7862.9</c:v>
                </c:pt>
                <c:pt idx="7">
                  <c:v>8027.63</c:v>
                </c:pt>
                <c:pt idx="8">
                  <c:v>8251.34</c:v>
                </c:pt>
                <c:pt idx="9">
                  <c:v>8399.41</c:v>
                </c:pt>
                <c:pt idx="10">
                  <c:v>8552.22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Vl_Br_H23001!$A$5:$A$15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Vl_Br_H23001!$C$5:$C$15</c:f>
              <c:numCache>
                <c:ptCount val="11"/>
                <c:pt idx="0">
                  <c:v>183134.58883140513</c:v>
                </c:pt>
                <c:pt idx="1">
                  <c:v>184775.72005875077</c:v>
                </c:pt>
                <c:pt idx="2">
                  <c:v>187283.9342289396</c:v>
                </c:pt>
                <c:pt idx="3">
                  <c:v>192036.15</c:v>
                </c:pt>
                <c:pt idx="4">
                  <c:v>197313.18</c:v>
                </c:pt>
                <c:pt idx="5">
                  <c:v>199002.69</c:v>
                </c:pt>
                <c:pt idx="6">
                  <c:v>202374.28</c:v>
                </c:pt>
                <c:pt idx="7">
                  <c:v>205917.07</c:v>
                </c:pt>
                <c:pt idx="8">
                  <c:v>211022.86</c:v>
                </c:pt>
                <c:pt idx="9">
                  <c:v>214721.95</c:v>
                </c:pt>
                <c:pt idx="10">
                  <c:v>220795.29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Vl_Br_H23001!$A$5:$A$15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Vl_Br_H23001!$D$5:$D$15</c:f>
              <c:numCache>
                <c:ptCount val="11"/>
                <c:pt idx="0">
                  <c:v>19579.002426877607</c:v>
                </c:pt>
                <c:pt idx="1">
                  <c:v>19768.343501099407</c:v>
                </c:pt>
                <c:pt idx="2">
                  <c:v>19971.789716880805</c:v>
                </c:pt>
                <c:pt idx="3">
                  <c:v>15133.365095377</c:v>
                </c:pt>
                <c:pt idx="4">
                  <c:v>60697.89</c:v>
                </c:pt>
                <c:pt idx="5">
                  <c:v>22553.98</c:v>
                </c:pt>
                <c:pt idx="6">
                  <c:v>20567.739999999998</c:v>
                </c:pt>
                <c:pt idx="7">
                  <c:v>23221.100000000002</c:v>
                </c:pt>
                <c:pt idx="8">
                  <c:v>26094.45</c:v>
                </c:pt>
                <c:pt idx="9">
                  <c:v>22039.829999999998</c:v>
                </c:pt>
                <c:pt idx="10">
                  <c:v>28692.460000000003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Vl_Br_H23001!$A$5:$A$15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Vl_Br_H23001!$E$5:$E$15</c:f>
              <c:numCache>
                <c:ptCount val="11"/>
                <c:pt idx="0">
                  <c:v>207822.8007506216</c:v>
                </c:pt>
                <c:pt idx="1">
                  <c:v>209702.38075944662</c:v>
                </c:pt>
                <c:pt idx="2">
                  <c:v>212471.84991539392</c:v>
                </c:pt>
                <c:pt idx="3">
                  <c:v>215180.96281835102</c:v>
                </c:pt>
                <c:pt idx="4">
                  <c:v>266233.97</c:v>
                </c:pt>
                <c:pt idx="5">
                  <c:v>229883.22</c:v>
                </c:pt>
                <c:pt idx="6">
                  <c:v>230804.91999999998</c:v>
                </c:pt>
                <c:pt idx="7">
                  <c:v>237165.80000000002</c:v>
                </c:pt>
                <c:pt idx="8">
                  <c:v>245368.65</c:v>
                </c:pt>
                <c:pt idx="9">
                  <c:v>245161.19</c:v>
                </c:pt>
                <c:pt idx="10">
                  <c:v>258039.97</c:v>
                </c:pt>
              </c:numCache>
            </c:numRef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'H23004'!$B$5:$B$15</c:f>
              <c:numCache>
                <c:ptCount val="11"/>
                <c:pt idx="0">
                  <c:v>2360.194249366012</c:v>
                </c:pt>
                <c:pt idx="1">
                  <c:v>2340.0900845069027</c:v>
                </c:pt>
                <c:pt idx="2">
                  <c:v>2440.387804630155</c:v>
                </c:pt>
                <c:pt idx="3">
                  <c:v>2608.72</c:v>
                </c:pt>
                <c:pt idx="4">
                  <c:v>2671.13</c:v>
                </c:pt>
                <c:pt idx="5">
                  <c:v>2713.86</c:v>
                </c:pt>
                <c:pt idx="6">
                  <c:v>3092</c:v>
                </c:pt>
                <c:pt idx="7">
                  <c:v>3151.31</c:v>
                </c:pt>
                <c:pt idx="8">
                  <c:v>2603.165</c:v>
                </c:pt>
                <c:pt idx="9">
                  <c:v>2603.165</c:v>
                </c:pt>
                <c:pt idx="10">
                  <c:v>2509.89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'H23004'!$C$5:$C$15</c:f>
              <c:numCache>
                <c:ptCount val="11"/>
                <c:pt idx="0">
                  <c:v>47055.66944885832</c:v>
                </c:pt>
                <c:pt idx="1">
                  <c:v>47377.140578856175</c:v>
                </c:pt>
                <c:pt idx="2">
                  <c:v>48136.99226810181</c:v>
                </c:pt>
                <c:pt idx="3">
                  <c:v>24355.53880897077</c:v>
                </c:pt>
                <c:pt idx="4">
                  <c:v>25292.23</c:v>
                </c:pt>
                <c:pt idx="5">
                  <c:v>25669.79</c:v>
                </c:pt>
                <c:pt idx="6">
                  <c:v>26089.38</c:v>
                </c:pt>
                <c:pt idx="7">
                  <c:v>26634.5</c:v>
                </c:pt>
                <c:pt idx="8">
                  <c:v>27163.12</c:v>
                </c:pt>
                <c:pt idx="9">
                  <c:v>27549.7</c:v>
                </c:pt>
                <c:pt idx="10">
                  <c:v>28487.54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'H23004'!$D$5:$D$15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'H23004'!$E$5:$E$15</c:f>
              <c:numCache>
                <c:ptCount val="11"/>
                <c:pt idx="0">
                  <c:v>49415.86369822433</c:v>
                </c:pt>
                <c:pt idx="1">
                  <c:v>49717.23066336308</c:v>
                </c:pt>
                <c:pt idx="2">
                  <c:v>50577.38007273196</c:v>
                </c:pt>
                <c:pt idx="3">
                  <c:v>26964.25880897077</c:v>
                </c:pt>
                <c:pt idx="4">
                  <c:v>27963.36</c:v>
                </c:pt>
                <c:pt idx="5">
                  <c:v>28383.65</c:v>
                </c:pt>
                <c:pt idx="6">
                  <c:v>29181.38</c:v>
                </c:pt>
                <c:pt idx="7">
                  <c:v>29785.81</c:v>
                </c:pt>
                <c:pt idx="8">
                  <c:v>29766.285</c:v>
                </c:pt>
                <c:pt idx="9">
                  <c:v>30152.865</c:v>
                </c:pt>
                <c:pt idx="10">
                  <c:v>30997.43</c:v>
                </c:pt>
              </c:numCache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'H24001'!$C$5:$C$15</c:f>
              <c:numCache>
                <c:ptCount val="11"/>
                <c:pt idx="0">
                  <c:v>77559.83529954214</c:v>
                </c:pt>
                <c:pt idx="1">
                  <c:v>78315.21644823116</c:v>
                </c:pt>
                <c:pt idx="2">
                  <c:v>79333.89933420757</c:v>
                </c:pt>
                <c:pt idx="3">
                  <c:v>81566.61</c:v>
                </c:pt>
                <c:pt idx="4">
                  <c:v>83167.21</c:v>
                </c:pt>
                <c:pt idx="5">
                  <c:v>84173.34</c:v>
                </c:pt>
                <c:pt idx="6">
                  <c:v>85648.59</c:v>
                </c:pt>
                <c:pt idx="7">
                  <c:v>87438.3</c:v>
                </c:pt>
                <c:pt idx="8">
                  <c:v>89112.06</c:v>
                </c:pt>
                <c:pt idx="9">
                  <c:v>90378.35</c:v>
                </c:pt>
                <c:pt idx="10">
                  <c:v>94061.22</c:v>
                </c:pt>
              </c:numCache>
            </c:numRef>
          </c:val>
          <c:smooth val="0"/>
        </c:ser>
        <c:marker val="1"/>
        <c:axId val="37482263"/>
        <c:axId val="1796048"/>
      </c:lineChart>
      <c:catAx>
        <c:axId val="3748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8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1ste verdieping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'H24005'!$A$12:$A$16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'H24005'!$B$12:$B$16</c:f>
              <c:numCache>
                <c:ptCount val="5"/>
                <c:pt idx="0">
                  <c:v>15090</c:v>
                </c:pt>
                <c:pt idx="1">
                  <c:v>15470.42</c:v>
                </c:pt>
                <c:pt idx="2">
                  <c:v>15675.98</c:v>
                </c:pt>
                <c:pt idx="3">
                  <c:v>15980.32</c:v>
                </c:pt>
                <c:pt idx="4">
                  <c:v>16601</c:v>
                </c:pt>
              </c:numCache>
            </c:numRef>
          </c:val>
          <c:smooth val="0"/>
        </c:ser>
        <c:ser>
          <c:idx val="0"/>
          <c:order val="1"/>
          <c:tx>
            <c:v>gelijkvloers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'H24005'!$A$12:$A$16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'H24005'!$C$12:$C$16</c:f>
              <c:numCache>
                <c:ptCount val="5"/>
                <c:pt idx="0">
                  <c:v>13200</c:v>
                </c:pt>
                <c:pt idx="1">
                  <c:v>13523.58</c:v>
                </c:pt>
                <c:pt idx="2">
                  <c:v>13792.69</c:v>
                </c:pt>
                <c:pt idx="3">
                  <c:v>14075.33</c:v>
                </c:pt>
                <c:pt idx="4">
                  <c:v>14485.11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'H24005'!$A$12:$A$16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'H24005'!$D$12:$D$16</c:f>
              <c:numCache>
                <c:ptCount val="5"/>
                <c:pt idx="0">
                  <c:v>306.36</c:v>
                </c:pt>
                <c:pt idx="1">
                  <c:v>168.99</c:v>
                </c:pt>
              </c:numCache>
            </c:numRef>
          </c:val>
          <c:smooth val="0"/>
        </c:ser>
        <c:ser>
          <c:idx val="3"/>
          <c:order val="3"/>
          <c:tx>
            <c:v>garage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'H24005'!$A$12:$A$16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'H24005'!$E$12:$E$16</c:f>
              <c:numCache>
                <c:ptCount val="5"/>
                <c:pt idx="0">
                  <c:v>720</c:v>
                </c:pt>
                <c:pt idx="1">
                  <c:v>734.98</c:v>
                </c:pt>
                <c:pt idx="2">
                  <c:v>747.54</c:v>
                </c:pt>
                <c:pt idx="3">
                  <c:v>762.82</c:v>
                </c:pt>
                <c:pt idx="4">
                  <c:v>787.65</c:v>
                </c:pt>
              </c:numCache>
            </c:numRef>
          </c:val>
          <c:smooth val="0"/>
        </c:ser>
        <c:ser>
          <c:idx val="4"/>
          <c:order val="4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'H24005'!$A$12:$A$16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'H24005'!$F$12:$F$16</c:f>
              <c:numCache>
                <c:ptCount val="5"/>
                <c:pt idx="0">
                  <c:v>29316.36</c:v>
                </c:pt>
                <c:pt idx="1">
                  <c:v>29897.97</c:v>
                </c:pt>
                <c:pt idx="2">
                  <c:v>30216.21</c:v>
                </c:pt>
                <c:pt idx="3">
                  <c:v>30818.47</c:v>
                </c:pt>
                <c:pt idx="4">
                  <c:v>31873.760000000002</c:v>
                </c:pt>
              </c:numCache>
            </c:numRef>
          </c:val>
          <c:smooth val="0"/>
        </c:ser>
        <c:marker val="1"/>
        <c:axId val="16164433"/>
        <c:axId val="11262170"/>
      </c:lineChart>
      <c:catAx>
        <c:axId val="1616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6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'H21017'!$A$5:$A$15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'H21017'!$E$6:$E$15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94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'H24004'!$B$5:$B$15</c:f>
              <c:numCache>
                <c:ptCount val="11"/>
                <c:pt idx="0">
                  <c:v>2659.7239953495173</c:v>
                </c:pt>
                <c:pt idx="1">
                  <c:v>2685.2570284011613</c:v>
                </c:pt>
                <c:pt idx="2">
                  <c:v>2715.252144898723</c:v>
                </c:pt>
                <c:pt idx="3">
                  <c:v>2875.52</c:v>
                </c:pt>
                <c:pt idx="4">
                  <c:v>3412.08</c:v>
                </c:pt>
                <c:pt idx="5">
                  <c:v>3467.86</c:v>
                </c:pt>
                <c:pt idx="6">
                  <c:v>3330.8</c:v>
                </c:pt>
                <c:pt idx="7">
                  <c:v>3400.63</c:v>
                </c:pt>
                <c:pt idx="8">
                  <c:v>3495.35</c:v>
                </c:pt>
                <c:pt idx="9">
                  <c:v>3557.91</c:v>
                </c:pt>
                <c:pt idx="10">
                  <c:v>3622.65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'H24004'!$C$5:$C$15</c:f>
              <c:numCache>
                <c:ptCount val="11"/>
                <c:pt idx="0">
                  <c:v>34046.39079422606</c:v>
                </c:pt>
                <c:pt idx="1">
                  <c:v>34636.30438246004</c:v>
                </c:pt>
                <c:pt idx="2">
                  <c:v>34967.41</c:v>
                </c:pt>
                <c:pt idx="3">
                  <c:v>35659.32</c:v>
                </c:pt>
                <c:pt idx="4">
                  <c:v>36597.93</c:v>
                </c:pt>
                <c:pt idx="5">
                  <c:v>37157.22</c:v>
                </c:pt>
                <c:pt idx="6">
                  <c:v>37664.56</c:v>
                </c:pt>
                <c:pt idx="7">
                  <c:v>38404.69</c:v>
                </c:pt>
                <c:pt idx="8">
                  <c:v>39189.35</c:v>
                </c:pt>
                <c:pt idx="9">
                  <c:v>39851.58</c:v>
                </c:pt>
                <c:pt idx="10">
                  <c:v>40822.66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'H24004'!$D$5:$D$15</c:f>
              <c:numCache>
                <c:ptCount val="11"/>
                <c:pt idx="0">
                  <c:v>5257.648134973066</c:v>
                </c:pt>
                <c:pt idx="1">
                  <c:v>4718.57887600118</c:v>
                </c:pt>
                <c:pt idx="2">
                  <c:v>4430.675336329539</c:v>
                </c:pt>
                <c:pt idx="3">
                  <c:v>4751.598293500975</c:v>
                </c:pt>
                <c:pt idx="4">
                  <c:v>5304.07</c:v>
                </c:pt>
                <c:pt idx="5">
                  <c:v>6233.03</c:v>
                </c:pt>
                <c:pt idx="6">
                  <c:v>5968.14</c:v>
                </c:pt>
                <c:pt idx="7">
                  <c:v>6799.19</c:v>
                </c:pt>
                <c:pt idx="8">
                  <c:v>6703.87</c:v>
                </c:pt>
                <c:pt idx="9">
                  <c:v>7636.77</c:v>
                </c:pt>
                <c:pt idx="10">
                  <c:v>8298.58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'H24004'!$E$5:$E$15</c:f>
              <c:numCache>
                <c:ptCount val="11"/>
                <c:pt idx="0">
                  <c:v>41963.762924548646</c:v>
                </c:pt>
                <c:pt idx="1">
                  <c:v>42040.14028686238</c:v>
                </c:pt>
                <c:pt idx="2">
                  <c:v>42113.33748122827</c:v>
                </c:pt>
                <c:pt idx="3">
                  <c:v>43286.43829350097</c:v>
                </c:pt>
                <c:pt idx="4">
                  <c:v>45314.08</c:v>
                </c:pt>
                <c:pt idx="5">
                  <c:v>46858.11</c:v>
                </c:pt>
                <c:pt idx="6">
                  <c:v>46963.5</c:v>
                </c:pt>
                <c:pt idx="7">
                  <c:v>48604.51</c:v>
                </c:pt>
                <c:pt idx="8">
                  <c:v>49388.57</c:v>
                </c:pt>
                <c:pt idx="9">
                  <c:v>51046.26000000001</c:v>
                </c:pt>
                <c:pt idx="10">
                  <c:v>52743.89000000001</c:v>
                </c:pt>
              </c:numCache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0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'H24014'!$A$14:$A$15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'H24014'!$B$14:$B$15</c:f>
              <c:numCache>
                <c:ptCount val="2"/>
                <c:pt idx="0">
                  <c:v>12250.94</c:v>
                </c:pt>
                <c:pt idx="1">
                  <c:v>12473.49</c:v>
                </c:pt>
              </c:numCache>
            </c:numRef>
          </c:val>
          <c:smooth val="0"/>
        </c:ser>
        <c:ser>
          <c:idx val="0"/>
          <c:order val="1"/>
          <c:tx>
            <c:v>huur kantoor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'H24014'!$A$14:$A$15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'H24014'!$C$14:$C$15</c:f>
              <c:numCache>
                <c:ptCount val="2"/>
                <c:pt idx="0">
                  <c:v>181080</c:v>
                </c:pt>
                <c:pt idx="1">
                  <c:v>184312.13</c:v>
                </c:pt>
              </c:numCache>
            </c:numRef>
          </c:val>
          <c:smooth val="0"/>
        </c:ser>
        <c:ser>
          <c:idx val="2"/>
          <c:order val="2"/>
          <c:tx>
            <c:v>huur parkings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'H24014'!$A$14:$A$15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'H24014'!$D$14:$D$15</c:f>
              <c:numCache>
                <c:ptCount val="2"/>
                <c:pt idx="0">
                  <c:v>10166.374395950315</c:v>
                </c:pt>
                <c:pt idx="1">
                  <c:v>10490.68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'H24014'!$A$14:$A$15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cat>
          <c:val>
            <c:numRef>
              <c:f>'H24014'!$E$14:$E$15</c:f>
              <c:numCache>
                <c:ptCount val="2"/>
                <c:pt idx="0">
                  <c:v>203497.31439595032</c:v>
                </c:pt>
                <c:pt idx="1">
                  <c:v>207276.3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'H24012'!$A$10:$A$15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'H24012'!$C$10:$C$15</c:f>
              <c:numCache>
                <c:ptCount val="6"/>
                <c:pt idx="0">
                  <c:v>18000</c:v>
                </c:pt>
                <c:pt idx="1">
                  <c:v>18198</c:v>
                </c:pt>
                <c:pt idx="2">
                  <c:v>18656.77</c:v>
                </c:pt>
                <c:pt idx="3">
                  <c:v>18904.67</c:v>
                </c:pt>
                <c:pt idx="4">
                  <c:v>24000</c:v>
                </c:pt>
                <c:pt idx="5">
                  <c:v>24436.61</c:v>
                </c:pt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'H24006'!$A$5:$A$15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'H24006'!$C$8:$C$15</c:f>
              <c:numCache>
                <c:ptCount val="8"/>
                <c:pt idx="0">
                  <c:v>8115.67</c:v>
                </c:pt>
                <c:pt idx="1">
                  <c:v>8281.94</c:v>
                </c:pt>
                <c:pt idx="2">
                  <c:v>8406.96</c:v>
                </c:pt>
                <c:pt idx="3">
                  <c:v>8537.61</c:v>
                </c:pt>
                <c:pt idx="4">
                  <c:v>8694.82</c:v>
                </c:pt>
                <c:pt idx="5">
                  <c:v>8869.85</c:v>
                </c:pt>
                <c:pt idx="6">
                  <c:v>9006.12</c:v>
                </c:pt>
                <c:pt idx="7">
                  <c:v>9297.1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'H24006'!$A$5:$A$15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'H24006'!$D$8:$D$15</c:f>
              <c:numCache>
                <c:ptCount val="8"/>
                <c:pt idx="0">
                  <c:v>446.2083445918309</c:v>
                </c:pt>
                <c:pt idx="1">
                  <c:v>0</c:v>
                </c:pt>
                <c:pt idx="2">
                  <c:v>223.1</c:v>
                </c:pt>
                <c:pt idx="3">
                  <c:v>663.22</c:v>
                </c:pt>
                <c:pt idx="4">
                  <c:v>663.22</c:v>
                </c:pt>
                <c:pt idx="5">
                  <c:v>341.3</c:v>
                </c:pt>
                <c:pt idx="6">
                  <c:v>446.2</c:v>
                </c:pt>
                <c:pt idx="7">
                  <c:v>473.1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'H24006'!$A$5:$A$15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'H24006'!$E$8:$E$15</c:f>
              <c:numCache>
                <c:ptCount val="8"/>
                <c:pt idx="0">
                  <c:v>8561.87834459183</c:v>
                </c:pt>
                <c:pt idx="1">
                  <c:v>8281.94</c:v>
                </c:pt>
                <c:pt idx="2">
                  <c:v>8630.06</c:v>
                </c:pt>
                <c:pt idx="3">
                  <c:v>9200.83</c:v>
                </c:pt>
                <c:pt idx="4">
                  <c:v>9358.039999999999</c:v>
                </c:pt>
                <c:pt idx="5">
                  <c:v>9211.15</c:v>
                </c:pt>
                <c:pt idx="6">
                  <c:v>9452.320000000002</c:v>
                </c:pt>
                <c:pt idx="7">
                  <c:v>9770.2</c:v>
                </c:pt>
              </c:numCache>
            </c:numRef>
          </c:val>
          <c:smooth val="0"/>
        </c:ser>
        <c:marker val="1"/>
        <c:axId val="3169401"/>
        <c:axId val="28524610"/>
      </c:lineChart>
      <c:catAx>
        <c:axId val="3169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'H24008'!$A$5:$A$15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'H24008'!$C$5:$C$15</c:f>
              <c:numCache>
                <c:ptCount val="11"/>
                <c:pt idx="0">
                  <c:v>3713.9407881526727</c:v>
                </c:pt>
                <c:pt idx="1">
                  <c:v>4168.627091291748</c:v>
                </c:pt>
                <c:pt idx="2">
                  <c:v>4703.7796325722165</c:v>
                </c:pt>
                <c:pt idx="3">
                  <c:v>4908.291790510139</c:v>
                </c:pt>
                <c:pt idx="4">
                  <c:v>5091.15</c:v>
                </c:pt>
                <c:pt idx="5">
                  <c:v>5640</c:v>
                </c:pt>
                <c:pt idx="6">
                  <c:v>5640</c:v>
                </c:pt>
                <c:pt idx="7">
                  <c:v>5640</c:v>
                </c:pt>
                <c:pt idx="8">
                  <c:v>5640</c:v>
                </c:pt>
                <c:pt idx="9">
                  <c:v>5640</c:v>
                </c:pt>
                <c:pt idx="10">
                  <c:v>5938.1</c:v>
                </c:pt>
              </c:numCache>
            </c:numRef>
          </c:val>
          <c:smooth val="0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'H23008'!$A$5:$A$15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'H23008'!$C$5:$C$15</c:f>
              <c:numCache>
                <c:ptCount val="11"/>
                <c:pt idx="0">
                  <c:v>149275.58075255516</c:v>
                </c:pt>
                <c:pt idx="1">
                  <c:v>151279.35369200222</c:v>
                </c:pt>
                <c:pt idx="2">
                  <c:v>153440.99261401244</c:v>
                </c:pt>
                <c:pt idx="3">
                  <c:v>156877.8</c:v>
                </c:pt>
                <c:pt idx="4">
                  <c:v>161541.14</c:v>
                </c:pt>
                <c:pt idx="5">
                  <c:v>163727.08</c:v>
                </c:pt>
                <c:pt idx="6">
                  <c:v>165524.4</c:v>
                </c:pt>
                <c:pt idx="7">
                  <c:v>169701.98</c:v>
                </c:pt>
                <c:pt idx="8">
                  <c:v>171960.8</c:v>
                </c:pt>
                <c:pt idx="9">
                  <c:v>175288.28</c:v>
                </c:pt>
                <c:pt idx="10">
                  <c:v>182101.14</c:v>
                </c:pt>
              </c:numCache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1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'H23009'!$A$5:$A$15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'H23009'!$C$5:$C$15</c:f>
              <c:numCache>
                <c:ptCount val="11"/>
                <c:pt idx="0">
                  <c:v>402.77739905155937</c:v>
                </c:pt>
                <c:pt idx="1">
                  <c:v>408.181477891616</c:v>
                </c:pt>
                <c:pt idx="2">
                  <c:v>414</c:v>
                </c:pt>
                <c:pt idx="3">
                  <c:v>423.28</c:v>
                </c:pt>
                <c:pt idx="4">
                  <c:v>435.86</c:v>
                </c:pt>
                <c:pt idx="5">
                  <c:v>441.76</c:v>
                </c:pt>
                <c:pt idx="6">
                  <c:v>446.6</c:v>
                </c:pt>
                <c:pt idx="7">
                  <c:v>457.88</c:v>
                </c:pt>
                <c:pt idx="8">
                  <c:v>463.96</c:v>
                </c:pt>
                <c:pt idx="9">
                  <c:v>472.94</c:v>
                </c:pt>
                <c:pt idx="10">
                  <c:v>491.32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34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'H23002'!$B$5:$B$15</c:f>
              <c:numCache>
                <c:ptCount val="11"/>
                <c:pt idx="0">
                  <c:v>26223.143835259878</c:v>
                </c:pt>
                <c:pt idx="1">
                  <c:v>27611.669835572226</c:v>
                </c:pt>
                <c:pt idx="2">
                  <c:v>27920.520378087203</c:v>
                </c:pt>
                <c:pt idx="3">
                  <c:v>29536.29</c:v>
                </c:pt>
                <c:pt idx="4">
                  <c:v>30266.54</c:v>
                </c:pt>
                <c:pt idx="5">
                  <c:v>30762.79</c:v>
                </c:pt>
                <c:pt idx="6">
                  <c:v>34177.89</c:v>
                </c:pt>
                <c:pt idx="7">
                  <c:v>36541.14</c:v>
                </c:pt>
                <c:pt idx="8">
                  <c:v>37559.42</c:v>
                </c:pt>
                <c:pt idx="9">
                  <c:v>38232.87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'H23002'!$C$5:$C$15</c:f>
              <c:numCache>
                <c:ptCount val="11"/>
                <c:pt idx="0">
                  <c:v>381801.0456148875</c:v>
                </c:pt>
                <c:pt idx="1">
                  <c:v>386378.7975735686</c:v>
                </c:pt>
                <c:pt idx="2">
                  <c:v>392575.74</c:v>
                </c:pt>
                <c:pt idx="3">
                  <c:v>403454.07</c:v>
                </c:pt>
                <c:pt idx="4">
                  <c:v>411596.63</c:v>
                </c:pt>
                <c:pt idx="5">
                  <c:v>417739.16</c:v>
                </c:pt>
                <c:pt idx="6">
                  <c:v>483334.48</c:v>
                </c:pt>
                <c:pt idx="7">
                  <c:v>497893.49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'H23002'!$D$5:$D$15</c:f>
              <c:numCache>
                <c:ptCount val="11"/>
                <c:pt idx="8">
                  <c:v>377194.79</c:v>
                </c:pt>
                <c:pt idx="9">
                  <c:v>445114.6</c:v>
                </c:pt>
                <c:pt idx="10">
                  <c:v>451083.81</c:v>
                </c:pt>
              </c:numCache>
            </c:numRef>
          </c:val>
          <c:smooth val="0"/>
        </c:ser>
        <c:ser>
          <c:idx val="3"/>
          <c:order val="3"/>
          <c:tx>
            <c:v>addendum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'H23002'!$E$5:$E$15</c:f>
              <c:numCache>
                <c:ptCount val="11"/>
                <c:pt idx="8">
                  <c:v>56093.52</c:v>
                </c:pt>
                <c:pt idx="9">
                  <c:v>66734.74</c:v>
                </c:pt>
                <c:pt idx="10">
                  <c:v>69326.76</c:v>
                </c:pt>
              </c:numCache>
            </c:numRef>
          </c:val>
          <c:smooth val="0"/>
        </c:ser>
        <c:ser>
          <c:idx val="4"/>
          <c:order val="4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'H23002'!$F$5:$F$15</c:f>
              <c:numCache>
                <c:ptCount val="11"/>
                <c:pt idx="0">
                  <c:v>106452.64366049494</c:v>
                </c:pt>
                <c:pt idx="1">
                  <c:v>83100.77615462606</c:v>
                </c:pt>
                <c:pt idx="2">
                  <c:v>82129.9755329091</c:v>
                </c:pt>
                <c:pt idx="3">
                  <c:v>63753.52717855027</c:v>
                </c:pt>
                <c:pt idx="4">
                  <c:v>54994.96</c:v>
                </c:pt>
                <c:pt idx="5">
                  <c:v>77214.07</c:v>
                </c:pt>
                <c:pt idx="6">
                  <c:v>93439.34</c:v>
                </c:pt>
                <c:pt idx="7">
                  <c:v>95868.25</c:v>
                </c:pt>
                <c:pt idx="8">
                  <c:v>97239.4</c:v>
                </c:pt>
                <c:pt idx="9">
                  <c:v>94822.05</c:v>
                </c:pt>
                <c:pt idx="10">
                  <c:v>47172.67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'H23002'!$A$5:$A$15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'H23002'!$G$5:$G$15</c:f>
              <c:numCache>
                <c:ptCount val="11"/>
                <c:pt idx="0">
                  <c:v>514476.8331106423</c:v>
                </c:pt>
                <c:pt idx="1">
                  <c:v>497091.2435637669</c:v>
                </c:pt>
                <c:pt idx="2">
                  <c:v>502626.23591099627</c:v>
                </c:pt>
                <c:pt idx="3">
                  <c:v>496743.88717855024</c:v>
                </c:pt>
                <c:pt idx="4">
                  <c:v>496858.13</c:v>
                </c:pt>
                <c:pt idx="5">
                  <c:v>525716.02</c:v>
                </c:pt>
                <c:pt idx="6">
                  <c:v>610951.71</c:v>
                </c:pt>
                <c:pt idx="7">
                  <c:v>630302.88</c:v>
                </c:pt>
                <c:pt idx="8">
                  <c:v>568087.13</c:v>
                </c:pt>
                <c:pt idx="9">
                  <c:v>644904.26</c:v>
                </c:pt>
                <c:pt idx="10">
                  <c:v>567583.24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ANT_H11002!$A$6:$A$16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ANT_H11002!$L$6:$L$16</c:f>
              <c:numCache>
                <c:ptCount val="11"/>
                <c:pt idx="0">
                  <c:v>30038.274760224984</c:v>
                </c:pt>
                <c:pt idx="1">
                  <c:v>36674.75625869176</c:v>
                </c:pt>
                <c:pt idx="2">
                  <c:v>33525.789602849785</c:v>
                </c:pt>
                <c:pt idx="3">
                  <c:v>113540.41247636954</c:v>
                </c:pt>
                <c:pt idx="4">
                  <c:v>113366.52198185914</c:v>
                </c:pt>
                <c:pt idx="5">
                  <c:v>458434.7466666666</c:v>
                </c:pt>
                <c:pt idx="6">
                  <c:v>521354.69</c:v>
                </c:pt>
                <c:pt idx="7">
                  <c:v>731242.9500000001</c:v>
                </c:pt>
                <c:pt idx="8">
                  <c:v>463896.81</c:v>
                </c:pt>
                <c:pt idx="9">
                  <c:v>440135.81</c:v>
                </c:pt>
                <c:pt idx="10">
                  <c:v>451728.58</c:v>
                </c:pt>
              </c:numCache>
            </c:numRef>
          </c:val>
          <c:smooth val="0"/>
        </c:ser>
        <c:marker val="1"/>
        <c:axId val="39036667"/>
        <c:axId val="15785684"/>
      </c:line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'H11009'!$E$5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'H11009'!$B$6:$D$15</c:f>
              <c:multiLvlStrCache/>
            </c:multiLvlStrRef>
          </c:cat>
          <c:val>
            <c:numRef>
              <c:f>'H11009'!$E$6:$E$15</c:f>
              <c:numCache>
                <c:ptCount val="10"/>
              </c:numCache>
            </c:numRef>
          </c:val>
          <c:smooth val="0"/>
        </c:ser>
        <c:marker val="1"/>
        <c:axId val="7853429"/>
        <c:axId val="3571998"/>
      </c:lineChart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'H21022'!$A$12:$A$15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'H21022'!$B$12:$B$15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'H21022'!$A$12:$A$15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'H21022'!$C$12:$C$15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'H21022'!$A$12:$A$15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'H21022'!$D$12:$D$15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werken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'H21022'!$A$12:$A$15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'H21022'!$E$12:$E$15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'H21022'!$A$12:$A$15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'H21022'!$F$12:$F$15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8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'H11008'!$A$12:$A$15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'H11008'!$C$12:$C$15</c:f>
              <c:numCache>
                <c:ptCount val="4"/>
                <c:pt idx="0">
                  <c:v>60650</c:v>
                </c:pt>
                <c:pt idx="1">
                  <c:v>61156.37</c:v>
                </c:pt>
                <c:pt idx="2">
                  <c:v>62062.64</c:v>
                </c:pt>
                <c:pt idx="3">
                  <c:v>64069.94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'H11008'!$A$12:$A$15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'H11008'!$D$12:$D$15</c:f>
              <c:numCache>
                <c:ptCount val="4"/>
                <c:pt idx="0">
                  <c:v>15494.11</c:v>
                </c:pt>
                <c:pt idx="1">
                  <c:v>32104.91</c:v>
                </c:pt>
                <c:pt idx="2">
                  <c:v>41549.16</c:v>
                </c:pt>
                <c:pt idx="3">
                  <c:v>29354.6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'H11008'!$A$12:$A$15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'H11008'!$E$12:$E$15</c:f>
              <c:numCache>
                <c:ptCount val="4"/>
                <c:pt idx="0">
                  <c:v>76144.11</c:v>
                </c:pt>
                <c:pt idx="1">
                  <c:v>93261.28</c:v>
                </c:pt>
                <c:pt idx="2">
                  <c:v>103611.8</c:v>
                </c:pt>
                <c:pt idx="3">
                  <c:v>93424.54000000001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'H11007'!$A$11:$A$15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'H11007'!$B$11:$B$15</c:f>
              <c:numCache>
                <c:ptCount val="5"/>
                <c:pt idx="0">
                  <c:v>0</c:v>
                </c:pt>
                <c:pt idx="1">
                  <c:v>7858.71</c:v>
                </c:pt>
                <c:pt idx="2">
                  <c:v>8077.65</c:v>
                </c:pt>
                <c:pt idx="3">
                  <c:v>8222.52</c:v>
                </c:pt>
                <c:pt idx="4">
                  <c:v>8371.89</c:v>
                </c:pt>
              </c:numCache>
            </c:numRef>
          </c:val>
          <c:smooth val="0"/>
        </c:ser>
        <c:ser>
          <c:idx val="2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'H11007'!$A$11:$A$15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'H11007'!$C$11:$C$15</c:f>
              <c:numCache>
                <c:ptCount val="5"/>
                <c:pt idx="0">
                  <c:v>67485</c:v>
                </c:pt>
                <c:pt idx="1">
                  <c:v>69192.112</c:v>
                </c:pt>
                <c:pt idx="2">
                  <c:v>70616.57</c:v>
                </c:pt>
                <c:pt idx="3">
                  <c:v>71626.82</c:v>
                </c:pt>
                <c:pt idx="4">
                  <c:v>74540.77</c:v>
                </c:pt>
              </c:numCache>
            </c:numRef>
          </c:val>
          <c:smooth val="0"/>
        </c:ser>
        <c:ser>
          <c:idx val="3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'H11007'!$A$11:$A$15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'H11007'!$D$11:$D$15</c:f>
              <c:numCache>
                <c:ptCount val="5"/>
                <c:pt idx="0">
                  <c:v>17138.736666666664</c:v>
                </c:pt>
                <c:pt idx="1">
                  <c:v>8905.19</c:v>
                </c:pt>
                <c:pt idx="2">
                  <c:v>9782.28</c:v>
                </c:pt>
                <c:pt idx="3">
                  <c:v>10843.25</c:v>
                </c:pt>
                <c:pt idx="4">
                  <c:v>10000</c:v>
                </c:pt>
              </c:numCache>
            </c:numRef>
          </c:val>
          <c:smooth val="0"/>
        </c:ser>
        <c:ser>
          <c:idx val="4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'H11007'!$A$11:$A$15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'H11007'!$E$11:$E$15</c:f>
              <c:numCache>
                <c:ptCount val="5"/>
                <c:pt idx="0">
                  <c:v>84623.73666666666</c:v>
                </c:pt>
                <c:pt idx="1">
                  <c:v>85956.012</c:v>
                </c:pt>
                <c:pt idx="2">
                  <c:v>88476.5</c:v>
                </c:pt>
                <c:pt idx="3">
                  <c:v>90692.59000000001</c:v>
                </c:pt>
                <c:pt idx="4">
                  <c:v>92912.66</c:v>
                </c:pt>
              </c:numCache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4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 eig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'H12006'!$A$10:$A$16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'H12006'!$B$10:$B$16</c:f>
              <c:numCache>
                <c:ptCount val="7"/>
                <c:pt idx="0">
                  <c:v>1942.07</c:v>
                </c:pt>
                <c:pt idx="1">
                  <c:v>5847.35</c:v>
                </c:pt>
                <c:pt idx="2">
                  <c:v>5638.36</c:v>
                </c:pt>
                <c:pt idx="3">
                  <c:v>5755.86</c:v>
                </c:pt>
                <c:pt idx="4">
                  <c:v>5916.73</c:v>
                </c:pt>
                <c:pt idx="5">
                  <c:v>6023.02</c:v>
                </c:pt>
                <c:pt idx="6">
                  <c:v>6050.01</c:v>
                </c:pt>
              </c:numCache>
            </c:numRef>
          </c:val>
          <c:smooth val="0"/>
        </c:ser>
        <c:ser>
          <c:idx val="2"/>
          <c:order val="1"/>
          <c:tx>
            <c:v>belasting eig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'H12006'!$A$10:$A$16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'H12006'!$C$10:$C$16</c:f>
              <c:numCache>
                <c:ptCount val="7"/>
                <c:pt idx="0">
                  <c:v>2501.28</c:v>
                </c:pt>
                <c:pt idx="1">
                  <c:v>6039.45</c:v>
                </c:pt>
                <c:pt idx="2">
                  <c:v>5823.51</c:v>
                </c:pt>
                <c:pt idx="3">
                  <c:v>5945.65</c:v>
                </c:pt>
                <c:pt idx="4">
                  <c:v>6111.16</c:v>
                </c:pt>
                <c:pt idx="5">
                  <c:v>6220.75</c:v>
                </c:pt>
                <c:pt idx="6">
                  <c:v>6248.78</c:v>
                </c:pt>
              </c:numCache>
            </c:numRef>
          </c:val>
          <c:smooth val="0"/>
        </c:ser>
        <c:ser>
          <c:idx val="3"/>
          <c:order val="2"/>
          <c:tx>
            <c:v>huur eig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'H12006'!$A$10:$A$16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'H12006'!$D$10:$D$16</c:f>
              <c:numCache>
                <c:ptCount val="7"/>
                <c:pt idx="0">
                  <c:v>61602.09</c:v>
                </c:pt>
                <c:pt idx="1">
                  <c:v>62204.53</c:v>
                </c:pt>
                <c:pt idx="2">
                  <c:v>63230.76</c:v>
                </c:pt>
                <c:pt idx="3">
                  <c:v>64551.94</c:v>
                </c:pt>
                <c:pt idx="4">
                  <c:v>65833.11</c:v>
                </c:pt>
                <c:pt idx="5">
                  <c:v>66770.02</c:v>
                </c:pt>
                <c:pt idx="6">
                  <c:v>69043</c:v>
                </c:pt>
              </c:numCache>
            </c:numRef>
          </c:val>
          <c:smooth val="0"/>
        </c:ser>
        <c:ser>
          <c:idx val="4"/>
          <c:order val="3"/>
          <c:tx>
            <c:v>huur eig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'H12006'!$A$10:$A$16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'H12006'!$E$10:$E$16</c:f>
              <c:numCache>
                <c:ptCount val="7"/>
                <c:pt idx="0">
                  <c:v>64271.64</c:v>
                </c:pt>
                <c:pt idx="1">
                  <c:v>64900.18</c:v>
                </c:pt>
                <c:pt idx="2">
                  <c:v>65970.89</c:v>
                </c:pt>
                <c:pt idx="3">
                  <c:v>67349.32</c:v>
                </c:pt>
                <c:pt idx="4">
                  <c:v>68686.01</c:v>
                </c:pt>
                <c:pt idx="5">
                  <c:v>69663.52</c:v>
                </c:pt>
                <c:pt idx="6">
                  <c:v>72035</c:v>
                </c:pt>
              </c:numCache>
            </c:numRef>
          </c:val>
          <c:smooth val="0"/>
        </c:ser>
        <c:ser>
          <c:idx val="1"/>
          <c:order val="4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'H12006'!$A$10:$A$16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'H12006'!$F$10:$F$16</c:f>
              <c:numCache>
                <c:ptCount val="7"/>
                <c:pt idx="0">
                  <c:v>25752.46</c:v>
                </c:pt>
                <c:pt idx="1">
                  <c:v>29889.82</c:v>
                </c:pt>
                <c:pt idx="2">
                  <c:v>29600.62</c:v>
                </c:pt>
                <c:pt idx="3">
                  <c:v>33917.4</c:v>
                </c:pt>
                <c:pt idx="4">
                  <c:v>37657.98</c:v>
                </c:pt>
                <c:pt idx="5">
                  <c:v>42069.5</c:v>
                </c:pt>
                <c:pt idx="6">
                  <c:v>38800</c:v>
                </c:pt>
              </c:numCache>
            </c:numRef>
          </c:val>
          <c:smooth val="0"/>
        </c:ser>
        <c:ser>
          <c:idx val="5"/>
          <c:order val="5"/>
          <c:tx>
            <c:v>werken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'H12006'!$A$10:$A$16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'H12006'!$G$10:$G$16</c:f>
              <c:numCache>
                <c:ptCount val="7"/>
                <c:pt idx="0">
                  <c:v>11195.86</c:v>
                </c:pt>
                <c:pt idx="1">
                  <c:v>22391.72</c:v>
                </c:pt>
                <c:pt idx="2">
                  <c:v>22391.72</c:v>
                </c:pt>
                <c:pt idx="3">
                  <c:v>22391.72</c:v>
                </c:pt>
                <c:pt idx="4">
                  <c:v>22391.72</c:v>
                </c:pt>
                <c:pt idx="5">
                  <c:v>22391.72</c:v>
                </c:pt>
              </c:numCache>
            </c:numRef>
          </c:val>
          <c:smooth val="0"/>
        </c:ser>
        <c:ser>
          <c:idx val="6"/>
          <c:order val="6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'H12006'!$A$10:$A$16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'H12006'!$H$10:$H$16</c:f>
              <c:numCache>
                <c:ptCount val="7"/>
                <c:pt idx="0">
                  <c:v>167265.40000000002</c:v>
                </c:pt>
                <c:pt idx="1">
                  <c:v>191273.05000000002</c:v>
                </c:pt>
                <c:pt idx="2">
                  <c:v>192655.86000000002</c:v>
                </c:pt>
                <c:pt idx="3">
                  <c:v>199911.89</c:v>
                </c:pt>
                <c:pt idx="4">
                  <c:v>206596.71000000002</c:v>
                </c:pt>
                <c:pt idx="5">
                  <c:v>213138.53</c:v>
                </c:pt>
                <c:pt idx="6">
                  <c:v>192176.79</c:v>
                </c:pt>
              </c:numCache>
            </c:numRef>
          </c:val>
          <c:smooth val="0"/>
        </c:ser>
        <c:marker val="1"/>
        <c:axId val="66866595"/>
        <c:axId val="64928444"/>
      </c:line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'H13008'!$A$13:$A$15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'H13008'!$B$13:$B$15</c:f>
              <c:numCache>
                <c:ptCount val="3"/>
                <c:pt idx="0">
                  <c:v>0</c:v>
                </c:pt>
                <c:pt idx="1">
                  <c:v>5471.57</c:v>
                </c:pt>
                <c:pt idx="2">
                  <c:v>5570.93</c:v>
                </c:pt>
              </c:numCache>
            </c:numRef>
          </c:val>
          <c:smooth val="0"/>
        </c:ser>
        <c:ser>
          <c:idx val="2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'H13008'!$A$13:$A$15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'H13008'!$C$13:$C$15</c:f>
              <c:numCache>
                <c:ptCount val="3"/>
                <c:pt idx="0">
                  <c:v>55345</c:v>
                </c:pt>
                <c:pt idx="1">
                  <c:v>56695.12</c:v>
                </c:pt>
                <c:pt idx="2">
                  <c:v>57469.12</c:v>
                </c:pt>
              </c:numCache>
            </c:numRef>
          </c:val>
          <c:smooth val="0"/>
        </c:ser>
        <c:ser>
          <c:idx val="3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'H13008'!$A$13:$A$15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'H13008'!$D$13:$D$15</c:f>
              <c:numCache>
                <c:ptCount val="3"/>
                <c:pt idx="0">
                  <c:v>3492.82</c:v>
                </c:pt>
                <c:pt idx="1">
                  <c:v>3702.52</c:v>
                </c:pt>
                <c:pt idx="2">
                  <c:v>2500</c:v>
                </c:pt>
              </c:numCache>
            </c:numRef>
          </c:val>
          <c:smooth val="0"/>
        </c:ser>
        <c:ser>
          <c:idx val="4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'H13008'!$A$13:$A$15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'H13008'!$E$13:$E$15</c:f>
              <c:numCache>
                <c:ptCount val="3"/>
                <c:pt idx="0">
                  <c:v>58837.82</c:v>
                </c:pt>
                <c:pt idx="1">
                  <c:v>65869.21</c:v>
                </c:pt>
                <c:pt idx="2">
                  <c:v>65540.05</c:v>
                </c:pt>
              </c:numCache>
            </c:numRef>
          </c:val>
          <c:smooth val="0"/>
        </c:ser>
        <c:marker val="1"/>
        <c:axId val="47485085"/>
        <c:axId val="24712582"/>
      </c:lineChart>
      <c:catAx>
        <c:axId val="474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8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 BJB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'H13002'!$B$6:$B$16</c:f>
              <c:numCache>
                <c:ptCount val="11"/>
                <c:pt idx="0">
                  <c:v>2020.6049097791517</c:v>
                </c:pt>
                <c:pt idx="1">
                  <c:v>2081.785031693187</c:v>
                </c:pt>
                <c:pt idx="2">
                  <c:v>2069.1920406347067</c:v>
                </c:pt>
                <c:pt idx="3">
                  <c:v>2214.8294864389845</c:v>
                </c:pt>
                <c:pt idx="4">
                  <c:v>2258.05</c:v>
                </c:pt>
                <c:pt idx="5">
                  <c:v>2603.39</c:v>
                </c:pt>
                <c:pt idx="6">
                  <c:v>2492.85</c:v>
                </c:pt>
                <c:pt idx="7">
                  <c:v>2563.74</c:v>
                </c:pt>
                <c:pt idx="8">
                  <c:v>3841.88</c:v>
                </c:pt>
              </c:numCache>
            </c:numRef>
          </c:val>
          <c:smooth val="0"/>
        </c:ser>
        <c:ser>
          <c:idx val="2"/>
          <c:order val="1"/>
          <c:tx>
            <c:v>Belastingen Bos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'H13002'!$C$6:$C$16</c:f>
              <c:numCache>
                <c:ptCount val="11"/>
                <c:pt idx="0">
                  <c:v>1006.5716573417386</c:v>
                </c:pt>
                <c:pt idx="1">
                  <c:v>1035.4264636253436</c:v>
                </c:pt>
                <c:pt idx="2">
                  <c:v>1029.7497019080365</c:v>
                </c:pt>
                <c:pt idx="3">
                  <c:v>1101.118247690252</c:v>
                </c:pt>
                <c:pt idx="4">
                  <c:v>1119.36</c:v>
                </c:pt>
                <c:pt idx="5">
                  <c:v>1306.17</c:v>
                </c:pt>
                <c:pt idx="6">
                  <c:v>1250.78</c:v>
                </c:pt>
                <c:pt idx="7">
                  <c:v>1272.03</c:v>
                </c:pt>
                <c:pt idx="8">
                  <c:v>1319.77</c:v>
                </c:pt>
                <c:pt idx="9">
                  <c:v>1517.92</c:v>
                </c:pt>
                <c:pt idx="10">
                  <c:v>1545.46</c:v>
                </c:pt>
              </c:numCache>
            </c:numRef>
          </c:val>
          <c:smooth val="0"/>
        </c:ser>
        <c:ser>
          <c:idx val="3"/>
          <c:order val="2"/>
          <c:tx>
            <c:v>huur BJB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'H13002'!$D$6:$D$16</c:f>
              <c:numCache>
                <c:ptCount val="11"/>
                <c:pt idx="0">
                  <c:v>33588.48187526494</c:v>
                </c:pt>
                <c:pt idx="1">
                  <c:v>33993.65997310355</c:v>
                </c:pt>
                <c:pt idx="2">
                  <c:v>34194.196260699704</c:v>
                </c:pt>
                <c:pt idx="3">
                  <c:v>35376.98</c:v>
                </c:pt>
                <c:pt idx="4">
                  <c:v>36394.71</c:v>
                </c:pt>
                <c:pt idx="5">
                  <c:v>36629.34</c:v>
                </c:pt>
                <c:pt idx="6">
                  <c:v>37305.98</c:v>
                </c:pt>
                <c:pt idx="7">
                  <c:v>37794.38</c:v>
                </c:pt>
                <c:pt idx="8">
                  <c:v>19607.96</c:v>
                </c:pt>
              </c:numCache>
            </c:numRef>
          </c:val>
          <c:smooth val="0"/>
        </c:ser>
        <c:ser>
          <c:idx val="4"/>
          <c:order val="3"/>
          <c:tx>
            <c:v>huur Bos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'H13002'!$E$6:$E$16</c:f>
              <c:numCache>
                <c:ptCount val="11"/>
                <c:pt idx="0">
                  <c:v>16699.44645375918</c:v>
                </c:pt>
                <c:pt idx="1">
                  <c:v>16906.21422118052</c:v>
                </c:pt>
                <c:pt idx="2">
                  <c:v>17040.048623100207</c:v>
                </c:pt>
                <c:pt idx="3">
                  <c:v>16281.650434421008</c:v>
                </c:pt>
                <c:pt idx="4">
                  <c:v>19135.665</c:v>
                </c:pt>
                <c:pt idx="5">
                  <c:v>18169</c:v>
                </c:pt>
                <c:pt idx="6">
                  <c:v>18481.39</c:v>
                </c:pt>
                <c:pt idx="7">
                  <c:v>18902.85</c:v>
                </c:pt>
                <c:pt idx="8">
                  <c:v>19203.87</c:v>
                </c:pt>
                <c:pt idx="9">
                  <c:v>19583.35</c:v>
                </c:pt>
                <c:pt idx="10">
                  <c:v>19925.12</c:v>
                </c:pt>
              </c:numCache>
            </c:numRef>
          </c:val>
          <c:smooth val="0"/>
        </c:ser>
        <c:ser>
          <c:idx val="1"/>
          <c:order val="4"/>
          <c:tx>
            <c:v>lasten BJB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'H13002'!$F$6:$F$16</c:f>
              <c:numCache>
                <c:ptCount val="11"/>
                <c:pt idx="0">
                  <c:v>2674.9446577705944</c:v>
                </c:pt>
                <c:pt idx="1">
                  <c:v>2650.3784094655666</c:v>
                </c:pt>
                <c:pt idx="2">
                  <c:v>2629.704089499478</c:v>
                </c:pt>
                <c:pt idx="3">
                  <c:v>2394.813665527183</c:v>
                </c:pt>
                <c:pt idx="4">
                  <c:v>2238.14</c:v>
                </c:pt>
                <c:pt idx="5">
                  <c:v>1544.55</c:v>
                </c:pt>
                <c:pt idx="6">
                  <c:v>1413.44</c:v>
                </c:pt>
                <c:pt idx="7">
                  <c:v>2410.31</c:v>
                </c:pt>
                <c:pt idx="8">
                  <c:v>1422.29</c:v>
                </c:pt>
              </c:numCache>
            </c:numRef>
          </c:val>
          <c:smooth val="0"/>
        </c:ser>
        <c:ser>
          <c:idx val="5"/>
          <c:order val="5"/>
          <c:tx>
            <c:v>lasten Bos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'H13002'!$G$6:$G$16</c:f>
              <c:numCache>
                <c:ptCount val="11"/>
                <c:pt idx="0">
                  <c:v>1337.7574064387863</c:v>
                </c:pt>
                <c:pt idx="1">
                  <c:v>1595.3683573831368</c:v>
                </c:pt>
                <c:pt idx="2">
                  <c:v>1379.8745162977598</c:v>
                </c:pt>
                <c:pt idx="3">
                  <c:v>1349.6810849803792</c:v>
                </c:pt>
                <c:pt idx="4">
                  <c:v>1238.8</c:v>
                </c:pt>
                <c:pt idx="5">
                  <c:v>767.03</c:v>
                </c:pt>
                <c:pt idx="6">
                  <c:v>986.35</c:v>
                </c:pt>
                <c:pt idx="7">
                  <c:v>1199.78</c:v>
                </c:pt>
                <c:pt idx="8">
                  <c:v>1173.99</c:v>
                </c:pt>
                <c:pt idx="9">
                  <c:v>1326.15</c:v>
                </c:pt>
                <c:pt idx="10">
                  <c:v>800</c:v>
                </c:pt>
              </c:numCache>
            </c:numRef>
          </c:val>
          <c:smooth val="0"/>
        </c:ser>
        <c:ser>
          <c:idx val="6"/>
          <c:order val="6"/>
          <c:tx>
            <c:v>Totaal BJB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'H13002'!$H$6:$H$16</c:f>
              <c:numCache>
                <c:ptCount val="11"/>
                <c:pt idx="0">
                  <c:v>38284.03144281469</c:v>
                </c:pt>
                <c:pt idx="1">
                  <c:v>38725.823414262304</c:v>
                </c:pt>
                <c:pt idx="2">
                  <c:v>38893.09239083389</c:v>
                </c:pt>
                <c:pt idx="3">
                  <c:v>39986.62315196617</c:v>
                </c:pt>
                <c:pt idx="4">
                  <c:v>40890.9</c:v>
                </c:pt>
                <c:pt idx="5">
                  <c:v>40777.28</c:v>
                </c:pt>
                <c:pt idx="6">
                  <c:v>41212.270000000004</c:v>
                </c:pt>
                <c:pt idx="7">
                  <c:v>42768.42999999999</c:v>
                </c:pt>
                <c:pt idx="8">
                  <c:v>24872.13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Totaal Bos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'H13002'!$I$6:$I$16</c:f>
              <c:numCache>
                <c:ptCount val="11"/>
                <c:pt idx="0">
                  <c:v>19043.775517539703</c:v>
                </c:pt>
                <c:pt idx="1">
                  <c:v>19537.009042188998</c:v>
                </c:pt>
                <c:pt idx="2">
                  <c:v>19449.672841306005</c:v>
                </c:pt>
                <c:pt idx="3">
                  <c:v>18732.44976709164</c:v>
                </c:pt>
                <c:pt idx="4">
                  <c:v>21493.825</c:v>
                </c:pt>
                <c:pt idx="5">
                  <c:v>20242.199999999997</c:v>
                </c:pt>
                <c:pt idx="6">
                  <c:v>20718.519999999997</c:v>
                </c:pt>
                <c:pt idx="7">
                  <c:v>21374.659999999996</c:v>
                </c:pt>
                <c:pt idx="8">
                  <c:v>21697.63</c:v>
                </c:pt>
                <c:pt idx="9">
                  <c:v>22427.42</c:v>
                </c:pt>
                <c:pt idx="10">
                  <c:v>22270.579999999998</c:v>
                </c:pt>
              </c:numCache>
            </c:numRef>
          </c:val>
          <c:smooth val="0"/>
        </c:ser>
        <c:ser>
          <c:idx val="8"/>
          <c:order val="8"/>
          <c:tx>
            <c:v>Totaal gebouw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'H13002'!$A$6:$A$16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'H13002'!$J$6:$J$16</c:f>
              <c:numCache>
                <c:ptCount val="11"/>
                <c:pt idx="0">
                  <c:v>57327.80696035439</c:v>
                </c:pt>
                <c:pt idx="1">
                  <c:v>58262.8324564513</c:v>
                </c:pt>
                <c:pt idx="2">
                  <c:v>58342.76523213989</c:v>
                </c:pt>
                <c:pt idx="3">
                  <c:v>58719.072919057806</c:v>
                </c:pt>
                <c:pt idx="4">
                  <c:v>62384.725000000006</c:v>
                </c:pt>
                <c:pt idx="5">
                  <c:v>61019.479999999996</c:v>
                </c:pt>
                <c:pt idx="6">
                  <c:v>61930.79</c:v>
                </c:pt>
                <c:pt idx="7">
                  <c:v>64143.08999999999</c:v>
                </c:pt>
                <c:pt idx="8">
                  <c:v>46569.76</c:v>
                </c:pt>
                <c:pt idx="9">
                  <c:v>22427.42</c:v>
                </c:pt>
                <c:pt idx="10">
                  <c:v>22270.579999999998</c:v>
                </c:pt>
              </c:numCache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OVL_H41004!$A$11:$A$15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OVL_H41004!$C$11:$C$15</c:f>
              <c:numCache>
                <c:ptCount val="5"/>
                <c:pt idx="0">
                  <c:v>218574.93</c:v>
                </c:pt>
                <c:pt idx="1">
                  <c:v>222668.28</c:v>
                </c:pt>
                <c:pt idx="2">
                  <c:v>227589.98</c:v>
                </c:pt>
                <c:pt idx="3">
                  <c:v>307117.142</c:v>
                </c:pt>
                <c:pt idx="4">
                  <c:v>315161.77</c:v>
                </c:pt>
              </c:numCache>
            </c:numRef>
          </c:val>
          <c:smooth val="0"/>
        </c:ser>
        <c:ser>
          <c:idx val="2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OVL_H41004!$A$11:$A$15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OVL_H41004!$D$11:$D$15</c:f>
              <c:numCache>
                <c:ptCount val="5"/>
                <c:pt idx="0">
                  <c:v>41697.31</c:v>
                </c:pt>
                <c:pt idx="1">
                  <c:v>48177.61</c:v>
                </c:pt>
                <c:pt idx="2">
                  <c:v>46324.68</c:v>
                </c:pt>
                <c:pt idx="3">
                  <c:v>62206.19</c:v>
                </c:pt>
                <c:pt idx="4">
                  <c:v>80000</c:v>
                </c:pt>
              </c:numCache>
            </c:numRef>
          </c:val>
          <c:smooth val="0"/>
        </c:ser>
        <c:ser>
          <c:idx val="3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OVL_H41004!$A$11:$A$15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OVL_H41004!$E$11:$E$15</c:f>
              <c:numCache>
                <c:ptCount val="5"/>
                <c:pt idx="0">
                  <c:v>260272.24</c:v>
                </c:pt>
                <c:pt idx="1">
                  <c:v>270845.89</c:v>
                </c:pt>
                <c:pt idx="2">
                  <c:v>273914.66000000003</c:v>
                </c:pt>
                <c:pt idx="3">
                  <c:v>369323.332</c:v>
                </c:pt>
                <c:pt idx="4">
                  <c:v>395161.77</c:v>
                </c:pt>
              </c:numCache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9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'H41002'!$A$8:$A$15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'H41002'!$B$8:$B$15</c:f>
              <c:numCache>
                <c:ptCount val="8"/>
                <c:pt idx="0">
                  <c:v>2621.91</c:v>
                </c:pt>
                <c:pt idx="1">
                  <c:v>2806.87</c:v>
                </c:pt>
                <c:pt idx="2">
                  <c:v>2852.6</c:v>
                </c:pt>
                <c:pt idx="3">
                  <c:v>2721.99</c:v>
                </c:pt>
                <c:pt idx="4">
                  <c:v>3311.6</c:v>
                </c:pt>
                <c:pt idx="5">
                  <c:v>3403.86</c:v>
                </c:pt>
                <c:pt idx="6">
                  <c:v>3465.07</c:v>
                </c:pt>
                <c:pt idx="7">
                  <c:v>3528.25</c:v>
                </c:pt>
              </c:numCache>
            </c:numRef>
          </c:val>
          <c:smooth val="0"/>
        </c:ser>
        <c:ser>
          <c:idx val="2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'H41002'!$A$8:$A$15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'H41002'!$C$8:$C$15</c:f>
              <c:numCache>
                <c:ptCount val="8"/>
                <c:pt idx="0">
                  <c:v>41646.11608095211</c:v>
                </c:pt>
                <c:pt idx="1">
                  <c:v>43220.35</c:v>
                </c:pt>
                <c:pt idx="2">
                  <c:v>43456.34</c:v>
                </c:pt>
                <c:pt idx="3">
                  <c:v>44179.89</c:v>
                </c:pt>
                <c:pt idx="4">
                  <c:v>44984.29</c:v>
                </c:pt>
                <c:pt idx="5">
                  <c:v>45902.77</c:v>
                </c:pt>
                <c:pt idx="6">
                  <c:v>46843.39</c:v>
                </c:pt>
                <c:pt idx="7">
                  <c:v>48207.09</c:v>
                </c:pt>
              </c:numCache>
            </c:numRef>
          </c:val>
          <c:smooth val="0"/>
        </c:ser>
        <c:ser>
          <c:idx val="3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'H41002'!$A$8:$A$15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'H41002'!$D$8:$D$15</c:f>
              <c:numCache>
                <c:ptCount val="8"/>
                <c:pt idx="0">
                  <c:v>3964.9576238661966</c:v>
                </c:pt>
                <c:pt idx="1">
                  <c:v>4322.99</c:v>
                </c:pt>
                <c:pt idx="2">
                  <c:v>4281.87</c:v>
                </c:pt>
                <c:pt idx="3">
                  <c:v>4288.87</c:v>
                </c:pt>
                <c:pt idx="4">
                  <c:v>6255.61</c:v>
                </c:pt>
                <c:pt idx="5">
                  <c:v>4227.73</c:v>
                </c:pt>
                <c:pt idx="6">
                  <c:v>5725.5</c:v>
                </c:pt>
                <c:pt idx="7">
                  <c:v>8470.88</c:v>
                </c:pt>
              </c:numCache>
            </c:numRef>
          </c:val>
          <c:smooth val="0"/>
        </c:ser>
        <c:ser>
          <c:idx val="1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'H41002'!$A$8:$A$15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'H41002'!$E$8:$E$15</c:f>
              <c:numCache>
                <c:ptCount val="8"/>
                <c:pt idx="0">
                  <c:v>48232.98370481831</c:v>
                </c:pt>
                <c:pt idx="1">
                  <c:v>50350.21</c:v>
                </c:pt>
                <c:pt idx="2">
                  <c:v>50590.81</c:v>
                </c:pt>
                <c:pt idx="3">
                  <c:v>51190.75</c:v>
                </c:pt>
                <c:pt idx="4">
                  <c:v>54551.5</c:v>
                </c:pt>
                <c:pt idx="5">
                  <c:v>53534.36</c:v>
                </c:pt>
                <c:pt idx="6">
                  <c:v>56033.96</c:v>
                </c:pt>
                <c:pt idx="7">
                  <c:v>60206.219999999994</c:v>
                </c:pt>
              </c:numCache>
            </c:numRef>
          </c:val>
          <c:smooth val="0"/>
        </c:ser>
        <c:marker val="1"/>
        <c:axId val="38123083"/>
        <c:axId val="7563428"/>
      </c:lineChart>
      <c:catAx>
        <c:axId val="3812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2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'H41001'!$C$5:$C$15</c:f>
              <c:numCache>
                <c:ptCount val="11"/>
                <c:pt idx="0">
                  <c:v>5622.919243726434</c:v>
                </c:pt>
                <c:pt idx="1">
                  <c:v>5693.072894008166</c:v>
                </c:pt>
                <c:pt idx="2">
                  <c:v>5736.085019447246</c:v>
                </c:pt>
                <c:pt idx="3">
                  <c:v>5907.85</c:v>
                </c:pt>
                <c:pt idx="4">
                  <c:v>6105.25</c:v>
                </c:pt>
                <c:pt idx="5">
                  <c:v>6117.6</c:v>
                </c:pt>
                <c:pt idx="6">
                  <c:v>6226.14</c:v>
                </c:pt>
                <c:pt idx="7">
                  <c:v>6426.5</c:v>
                </c:pt>
                <c:pt idx="8">
                  <c:v>6477.67</c:v>
                </c:pt>
                <c:pt idx="9">
                  <c:v>6597.39</c:v>
                </c:pt>
                <c:pt idx="10">
                  <c:v>6815.81</c:v>
                </c:pt>
              </c:numCache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'H41003'!$A$7:$A$15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'H41003'!$C$7:$C$15</c:f>
              <c:numCache>
                <c:ptCount val="9"/>
                <c:pt idx="0">
                  <c:v>10411.526030357041</c:v>
                </c:pt>
                <c:pt idx="1">
                  <c:v>10558.72</c:v>
                </c:pt>
                <c:pt idx="2">
                  <c:v>10879.36</c:v>
                </c:pt>
                <c:pt idx="3">
                  <c:v>10972.64</c:v>
                </c:pt>
                <c:pt idx="4">
                  <c:v>11158.93</c:v>
                </c:pt>
                <c:pt idx="5">
                  <c:v>11353.87</c:v>
                </c:pt>
                <c:pt idx="6">
                  <c:v>11635.17</c:v>
                </c:pt>
                <c:pt idx="7">
                  <c:v>11839.01</c:v>
                </c:pt>
                <c:pt idx="8">
                  <c:v>12173.5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1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'H42002'!$A$5:$A$15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'H42002'!$B$5:$B$15</c:f>
              <c:numCache>
                <c:ptCount val="11"/>
                <c:pt idx="0">
                  <c:v>1203.0024863720535</c:v>
                </c:pt>
                <c:pt idx="1">
                  <c:v>1214.5791139789637</c:v>
                </c:pt>
                <c:pt idx="2">
                  <c:v>1232.7992880497968</c:v>
                </c:pt>
                <c:pt idx="3">
                  <c:v>1305.0602505211962</c:v>
                </c:pt>
                <c:pt idx="4">
                  <c:v>1392.32</c:v>
                </c:pt>
                <c:pt idx="5">
                  <c:v>1407.5</c:v>
                </c:pt>
                <c:pt idx="6">
                  <c:v>0</c:v>
                </c:pt>
                <c:pt idx="7">
                  <c:v>1459.55</c:v>
                </c:pt>
                <c:pt idx="8">
                  <c:v>1500.58</c:v>
                </c:pt>
                <c:pt idx="9">
                  <c:v>1527.21</c:v>
                </c:pt>
                <c:pt idx="10">
                  <c:v>1647.1</c:v>
                </c:pt>
              </c:numCache>
            </c:numRef>
          </c:val>
          <c:smooth val="0"/>
        </c:ser>
        <c:ser>
          <c:idx val="2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'H42002'!$A$5:$A$15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'H42002'!$C$5:$C$15</c:f>
              <c:numCache>
                <c:ptCount val="11"/>
                <c:pt idx="0">
                  <c:v>25383.97467519751</c:v>
                </c:pt>
                <c:pt idx="1">
                  <c:v>25613.57731218967</c:v>
                </c:pt>
                <c:pt idx="2">
                  <c:v>25957.803110741475</c:v>
                </c:pt>
                <c:pt idx="3">
                  <c:v>26605.68</c:v>
                </c:pt>
                <c:pt idx="4">
                  <c:v>27332.83</c:v>
                </c:pt>
                <c:pt idx="5">
                  <c:v>27582.78</c:v>
                </c:pt>
                <c:pt idx="6">
                  <c:v>28045.68</c:v>
                </c:pt>
                <c:pt idx="7">
                  <c:v>28535.24</c:v>
                </c:pt>
                <c:pt idx="8">
                  <c:v>29235.73</c:v>
                </c:pt>
                <c:pt idx="9">
                  <c:v>29753.68</c:v>
                </c:pt>
                <c:pt idx="10">
                  <c:v>30585.91</c:v>
                </c:pt>
              </c:numCache>
            </c:numRef>
          </c:val>
          <c:smooth val="0"/>
        </c:ser>
        <c:ser>
          <c:idx val="3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'H42002'!$A$5:$A$15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'H42002'!$D$5:$D$15</c:f>
              <c:numCache>
                <c:ptCount val="11"/>
                <c:pt idx="0">
                  <c:v>1982.5532537264594</c:v>
                </c:pt>
                <c:pt idx="1">
                  <c:v>1420.5786330655258</c:v>
                </c:pt>
                <c:pt idx="2">
                  <c:v>1583.9404658910905</c:v>
                </c:pt>
                <c:pt idx="3">
                  <c:v>1441.8478974910697</c:v>
                </c:pt>
                <c:pt idx="4">
                  <c:v>1282.56</c:v>
                </c:pt>
                <c:pt idx="5">
                  <c:v>0</c:v>
                </c:pt>
                <c:pt idx="6">
                  <c:v>689.24</c:v>
                </c:pt>
                <c:pt idx="7">
                  <c:v>528.85</c:v>
                </c:pt>
                <c:pt idx="8">
                  <c:v>618.44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'H42002'!$A$5:$A$15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'H42002'!$E$5:$E$15</c:f>
              <c:numCache>
                <c:ptCount val="11"/>
                <c:pt idx="0">
                  <c:v>28569.530415296023</c:v>
                </c:pt>
                <c:pt idx="1">
                  <c:v>28248.73505923416</c:v>
                </c:pt>
                <c:pt idx="2">
                  <c:v>28774.54286468236</c:v>
                </c:pt>
                <c:pt idx="3">
                  <c:v>29352.588148012266</c:v>
                </c:pt>
                <c:pt idx="4">
                  <c:v>30007.710000000003</c:v>
                </c:pt>
                <c:pt idx="5">
                  <c:v>28990.28</c:v>
                </c:pt>
                <c:pt idx="6">
                  <c:v>28734.920000000002</c:v>
                </c:pt>
                <c:pt idx="7">
                  <c:v>30523.64</c:v>
                </c:pt>
                <c:pt idx="8">
                  <c:v>31354.749999999996</c:v>
                </c:pt>
                <c:pt idx="9">
                  <c:v>31280.89</c:v>
                </c:pt>
                <c:pt idx="10">
                  <c:v>32233.01</c:v>
                </c:pt>
              </c:numCache>
            </c:numRef>
          </c:val>
          <c:smooth val="0"/>
        </c:ser>
        <c:marker val="1"/>
        <c:axId val="3377433"/>
        <c:axId val="30396898"/>
      </c:lineChart>
      <c:cat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0396898"/>
        <c:crosses val="autoZero"/>
        <c:auto val="1"/>
        <c:lblOffset val="100"/>
        <c:noMultiLvlLbl val="0"/>
      </c:catAx>
      <c:valAx>
        <c:axId val="3039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'H21002'!$A$5:$A$15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'H21002'!$B$5:$B$15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'H21002'!$A$5:$A$15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'H21002'!$C$5:$C$15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'H21002'!$A$5:$A$15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'H21002'!$D$5:$D$15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'H21002'!$A$5:$A$15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'H21002'!$E$5:$E$15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'H42001'!$A$5:$A$15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'H42001'!$C$5:$C$15</c:f>
              <c:numCache>
                <c:ptCount val="11"/>
                <c:pt idx="0">
                  <c:v>16450.63572294428</c:v>
                </c:pt>
                <c:pt idx="1">
                  <c:v>16610.16019179522</c:v>
                </c:pt>
                <c:pt idx="2">
                  <c:v>16872.09278052251</c:v>
                </c:pt>
                <c:pt idx="3">
                  <c:v>17313.57</c:v>
                </c:pt>
                <c:pt idx="4">
                  <c:v>17688.66</c:v>
                </c:pt>
                <c:pt idx="5">
                  <c:v>17901.17</c:v>
                </c:pt>
                <c:pt idx="6">
                  <c:v>18219.25</c:v>
                </c:pt>
                <c:pt idx="7">
                  <c:v>18572.97</c:v>
                </c:pt>
                <c:pt idx="8">
                  <c:v>18940.05</c:v>
                </c:pt>
                <c:pt idx="9">
                  <c:v>19315.6</c:v>
                </c:pt>
                <c:pt idx="10">
                  <c:v>19857.33</c:v>
                </c:pt>
              </c:numCache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6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'H42003'!$A$6:$A$15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'H42003'!$C$6:$C$15</c:f>
              <c:numCache>
                <c:ptCount val="10"/>
                <c:pt idx="0">
                  <c:v>11898.88918911549</c:v>
                </c:pt>
                <c:pt idx="1">
                  <c:v>12068.18</c:v>
                </c:pt>
                <c:pt idx="2">
                  <c:v>12338.82</c:v>
                </c:pt>
                <c:pt idx="3">
                  <c:v>12706.2</c:v>
                </c:pt>
                <c:pt idx="4">
                  <c:v>12877.8</c:v>
                </c:pt>
                <c:pt idx="5">
                  <c:v>13019.44</c:v>
                </c:pt>
                <c:pt idx="6">
                  <c:v>13347.67</c:v>
                </c:pt>
                <c:pt idx="7">
                  <c:v>13525.02</c:v>
                </c:pt>
                <c:pt idx="8">
                  <c:v>13787.6</c:v>
                </c:pt>
                <c:pt idx="9">
                  <c:v>14323.12</c:v>
                </c:pt>
              </c:numCache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3613654"/>
        <c:crosses val="autoZero"/>
        <c:auto val="1"/>
        <c:lblOffset val="100"/>
        <c:noMultiLvlLbl val="0"/>
      </c:cat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1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'H44010'!$A$6:$A$16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'H44010'!$G$6:$G$16</c:f>
              <c:numCache>
                <c:ptCount val="11"/>
                <c:pt idx="0">
                  <c:v>140849.15</c:v>
                </c:pt>
                <c:pt idx="1">
                  <c:v>143133.6</c:v>
                </c:pt>
                <c:pt idx="2">
                  <c:v>144412.49</c:v>
                </c:pt>
                <c:pt idx="3">
                  <c:v>147773.92</c:v>
                </c:pt>
                <c:pt idx="4">
                  <c:v>158732.2</c:v>
                </c:pt>
                <c:pt idx="5">
                  <c:v>183539.90999999997</c:v>
                </c:pt>
                <c:pt idx="6">
                  <c:v>186367.91999999998</c:v>
                </c:pt>
                <c:pt idx="7">
                  <c:v>190112.25</c:v>
                </c:pt>
                <c:pt idx="8">
                  <c:v>193892.53</c:v>
                </c:pt>
                <c:pt idx="9">
                  <c:v>196931.23</c:v>
                </c:pt>
                <c:pt idx="10">
                  <c:v>203103.26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'H44010'!$A$6:$A$16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'H44010'!$H$6:$H$16</c:f>
              <c:numCache>
                <c:ptCount val="11"/>
                <c:pt idx="0">
                  <c:v>46800.239960931984</c:v>
                </c:pt>
                <c:pt idx="1">
                  <c:v>45807.50076227259</c:v>
                </c:pt>
                <c:pt idx="2">
                  <c:v>45523.68746575971</c:v>
                </c:pt>
                <c:pt idx="3">
                  <c:v>48068.85346825352</c:v>
                </c:pt>
                <c:pt idx="4">
                  <c:v>59406.97</c:v>
                </c:pt>
                <c:pt idx="5">
                  <c:v>72705.16</c:v>
                </c:pt>
                <c:pt idx="6">
                  <c:v>73555.76000000001</c:v>
                </c:pt>
                <c:pt idx="7">
                  <c:v>66606.22</c:v>
                </c:pt>
                <c:pt idx="8">
                  <c:v>64046.63</c:v>
                </c:pt>
                <c:pt idx="9">
                  <c:v>78708.21</c:v>
                </c:pt>
                <c:pt idx="10">
                  <c:v>78375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'H44010'!$A$6:$A$16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'H44010'!$I$6:$I$16</c:f>
              <c:numCache>
                <c:ptCount val="11"/>
                <c:pt idx="0">
                  <c:v>187649.38996093196</c:v>
                </c:pt>
                <c:pt idx="1">
                  <c:v>188941.1007622726</c:v>
                </c:pt>
                <c:pt idx="2">
                  <c:v>189936.17746575968</c:v>
                </c:pt>
                <c:pt idx="3">
                  <c:v>195842.77346825352</c:v>
                </c:pt>
                <c:pt idx="4">
                  <c:v>218139.17</c:v>
                </c:pt>
                <c:pt idx="5">
                  <c:v>256245.06999999998</c:v>
                </c:pt>
                <c:pt idx="6">
                  <c:v>259923.68</c:v>
                </c:pt>
                <c:pt idx="7">
                  <c:v>256718.47</c:v>
                </c:pt>
                <c:pt idx="8">
                  <c:v>257939.16</c:v>
                </c:pt>
                <c:pt idx="9">
                  <c:v>275639.44</c:v>
                </c:pt>
                <c:pt idx="10">
                  <c:v>281478.26</c:v>
                </c:pt>
              </c:numCache>
            </c:numRef>
          </c:val>
          <c:smooth val="0"/>
        </c:ser>
        <c:marker val="1"/>
        <c:axId val="12760839"/>
        <c:axId val="47738688"/>
      </c:line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6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'H44011'!$B$5:$B$15</c:f>
              <c:numCache>
                <c:ptCount val="11"/>
                <c:pt idx="0">
                  <c:v>18349.153071772613</c:v>
                </c:pt>
                <c:pt idx="1">
                  <c:v>18525.41</c:v>
                </c:pt>
                <c:pt idx="2">
                  <c:v>18733.29</c:v>
                </c:pt>
                <c:pt idx="3">
                  <c:v>21358.56</c:v>
                </c:pt>
                <c:pt idx="4">
                  <c:v>23894.11</c:v>
                </c:pt>
                <c:pt idx="5">
                  <c:v>24285.56</c:v>
                </c:pt>
                <c:pt idx="6">
                  <c:v>23334.59</c:v>
                </c:pt>
                <c:pt idx="7">
                  <c:v>23823.55</c:v>
                </c:pt>
                <c:pt idx="8">
                  <c:v>24487.12</c:v>
                </c:pt>
                <c:pt idx="9">
                  <c:v>24926.3</c:v>
                </c:pt>
                <c:pt idx="10">
                  <c:v>25379.17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'H44011'!$C$5:$C$15</c:f>
              <c:numCache>
                <c:ptCount val="11"/>
                <c:pt idx="0">
                  <c:v>326748.5045823118</c:v>
                </c:pt>
                <c:pt idx="1">
                  <c:v>331134.58387353463</c:v>
                </c:pt>
                <c:pt idx="2">
                  <c:v>335866.2214323784</c:v>
                </c:pt>
                <c:pt idx="3">
                  <c:v>343388.98</c:v>
                </c:pt>
                <c:pt idx="4">
                  <c:v>353596.54</c:v>
                </c:pt>
                <c:pt idx="5">
                  <c:v>358381.34</c:v>
                </c:pt>
                <c:pt idx="6">
                  <c:v>362315.52</c:v>
                </c:pt>
                <c:pt idx="7">
                  <c:v>371459.8</c:v>
                </c:pt>
                <c:pt idx="8">
                  <c:v>376404.08</c:v>
                </c:pt>
                <c:pt idx="9">
                  <c:v>383687.6</c:v>
                </c:pt>
                <c:pt idx="10">
                  <c:v>398600.22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'H44011'!$D$5:$D$15</c:f>
              <c:numCache>
                <c:ptCount val="11"/>
                <c:pt idx="0">
                  <c:v>66960.0569163533</c:v>
                </c:pt>
                <c:pt idx="1">
                  <c:v>66960.0569163533</c:v>
                </c:pt>
                <c:pt idx="2">
                  <c:v>55338.90763239373</c:v>
                </c:pt>
                <c:pt idx="3">
                  <c:v>57631.64763239373</c:v>
                </c:pt>
                <c:pt idx="4">
                  <c:v>64718.93</c:v>
                </c:pt>
                <c:pt idx="5">
                  <c:v>64277.75</c:v>
                </c:pt>
                <c:pt idx="6">
                  <c:v>69579.08</c:v>
                </c:pt>
                <c:pt idx="7">
                  <c:v>71890.28</c:v>
                </c:pt>
                <c:pt idx="8">
                  <c:v>90474.16</c:v>
                </c:pt>
                <c:pt idx="9">
                  <c:v>72420.84</c:v>
                </c:pt>
                <c:pt idx="10">
                  <c:v>55338.9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'H44011'!$E$5:$E$15</c:f>
              <c:numCache>
                <c:ptCount val="11"/>
                <c:pt idx="0">
                  <c:v>412057.7145704377</c:v>
                </c:pt>
                <c:pt idx="1">
                  <c:v>416620.0507898879</c:v>
                </c:pt>
                <c:pt idx="2">
                  <c:v>409938.4190647721</c:v>
                </c:pt>
                <c:pt idx="3">
                  <c:v>422379.18763239373</c:v>
                </c:pt>
                <c:pt idx="4">
                  <c:v>442209.57999999996</c:v>
                </c:pt>
                <c:pt idx="5">
                  <c:v>446944.65</c:v>
                </c:pt>
                <c:pt idx="6">
                  <c:v>455229.19000000006</c:v>
                </c:pt>
                <c:pt idx="7">
                  <c:v>467173.63</c:v>
                </c:pt>
                <c:pt idx="8">
                  <c:v>491365.36</c:v>
                </c:pt>
                <c:pt idx="9">
                  <c:v>481034.74</c:v>
                </c:pt>
                <c:pt idx="10">
                  <c:v>479318.29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'H44005'!$A$6:$A$16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'H44005'!$G$6:$G$16</c:f>
              <c:numCache>
                <c:ptCount val="11"/>
                <c:pt idx="0">
                  <c:v>267027.0129573946</c:v>
                </c:pt>
                <c:pt idx="1">
                  <c:v>269471.61495194584</c:v>
                </c:pt>
                <c:pt idx="2">
                  <c:v>272976.7116671087</c:v>
                </c:pt>
                <c:pt idx="3">
                  <c:v>280659.15</c:v>
                </c:pt>
                <c:pt idx="4">
                  <c:v>349352.23</c:v>
                </c:pt>
                <c:pt idx="5">
                  <c:v>353768.64999999997</c:v>
                </c:pt>
                <c:pt idx="6">
                  <c:v>359933.7</c:v>
                </c:pt>
                <c:pt idx="7">
                  <c:v>367231.45999999996</c:v>
                </c:pt>
                <c:pt idx="8">
                  <c:v>374634.89</c:v>
                </c:pt>
                <c:pt idx="9">
                  <c:v>380183.61</c:v>
                </c:pt>
                <c:pt idx="10">
                  <c:v>394811.09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'H44005'!$A$6:$A$16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'H44005'!$H$6:$H$16</c:f>
              <c:numCache>
                <c:ptCount val="11"/>
                <c:pt idx="0">
                  <c:v>30986.690596654924</c:v>
                </c:pt>
                <c:pt idx="1">
                  <c:v>30986.690596654924</c:v>
                </c:pt>
                <c:pt idx="2">
                  <c:v>30986.690596654924</c:v>
                </c:pt>
                <c:pt idx="3">
                  <c:v>30986.690596654924</c:v>
                </c:pt>
                <c:pt idx="4">
                  <c:v>61973.38</c:v>
                </c:pt>
                <c:pt idx="5">
                  <c:v>7436.8</c:v>
                </c:pt>
                <c:pt idx="6">
                  <c:v>38063.03</c:v>
                </c:pt>
                <c:pt idx="7">
                  <c:v>39362.67</c:v>
                </c:pt>
                <c:pt idx="8">
                  <c:v>46516.15</c:v>
                </c:pt>
                <c:pt idx="9">
                  <c:v>67463.91</c:v>
                </c:pt>
                <c:pt idx="10">
                  <c:v>69410.18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'H44005'!$A$6:$A$16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'H44005'!$I$6:$I$16</c:f>
              <c:numCache>
                <c:ptCount val="11"/>
                <c:pt idx="0">
                  <c:v>298013.7035540495</c:v>
                </c:pt>
                <c:pt idx="1">
                  <c:v>300458.30554860074</c:v>
                </c:pt>
                <c:pt idx="2">
                  <c:v>303963.4022637636</c:v>
                </c:pt>
                <c:pt idx="3">
                  <c:v>311645.8405966549</c:v>
                </c:pt>
                <c:pt idx="4">
                  <c:v>411325.61</c:v>
                </c:pt>
                <c:pt idx="5">
                  <c:v>361205.44999999995</c:v>
                </c:pt>
                <c:pt idx="6">
                  <c:v>397996.73</c:v>
                </c:pt>
                <c:pt idx="7">
                  <c:v>406594.12999999995</c:v>
                </c:pt>
                <c:pt idx="8">
                  <c:v>421151.04000000004</c:v>
                </c:pt>
                <c:pt idx="9">
                  <c:v>447647.52</c:v>
                </c:pt>
                <c:pt idx="10">
                  <c:v>464221.27</c:v>
                </c:pt>
              </c:numCache>
            </c:numRef>
          </c:val>
          <c:smooth val="0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1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'H44001'!$L$6:$L$16</c:f>
              <c:numCache>
                <c:ptCount val="11"/>
                <c:pt idx="0">
                  <c:v>593588.5562433223</c:v>
                </c:pt>
                <c:pt idx="1">
                  <c:v>601208.9271416141</c:v>
                </c:pt>
                <c:pt idx="2">
                  <c:v>609866.694426585</c:v>
                </c:pt>
                <c:pt idx="3">
                  <c:v>624059.65</c:v>
                </c:pt>
                <c:pt idx="4">
                  <c:v>641316.44</c:v>
                </c:pt>
                <c:pt idx="5">
                  <c:v>650236.96</c:v>
                </c:pt>
                <c:pt idx="6">
                  <c:v>657918.61</c:v>
                </c:pt>
                <c:pt idx="7">
                  <c:v>674179.45</c:v>
                </c:pt>
                <c:pt idx="8">
                  <c:v>683619.77</c:v>
                </c:pt>
                <c:pt idx="9">
                  <c:v>696380.7399999999</c:v>
                </c:pt>
                <c:pt idx="10">
                  <c:v>723521.02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'H44001'!$M$6:$M$16</c:f>
              <c:numCache>
                <c:ptCount val="11"/>
                <c:pt idx="0">
                  <c:v>85072.09983168032</c:v>
                </c:pt>
                <c:pt idx="1">
                  <c:v>85072.09983168032</c:v>
                </c:pt>
                <c:pt idx="2">
                  <c:v>85072.09983168032</c:v>
                </c:pt>
                <c:pt idx="3">
                  <c:v>42536.04991584016</c:v>
                </c:pt>
                <c:pt idx="4">
                  <c:v>85072.12000000001</c:v>
                </c:pt>
                <c:pt idx="5">
                  <c:v>82345.29000000001</c:v>
                </c:pt>
                <c:pt idx="6">
                  <c:v>85072.12000000001</c:v>
                </c:pt>
                <c:pt idx="7">
                  <c:v>83832.65000000001</c:v>
                </c:pt>
                <c:pt idx="8">
                  <c:v>82593.18000000001</c:v>
                </c:pt>
                <c:pt idx="9">
                  <c:v>82593.18000000001</c:v>
                </c:pt>
                <c:pt idx="10">
                  <c:v>82593.18000000001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'H44001'!$N$6:$N$16</c:f>
              <c:numCache>
                <c:ptCount val="11"/>
                <c:pt idx="0">
                  <c:v>678660.6560750026</c:v>
                </c:pt>
                <c:pt idx="1">
                  <c:v>686281.0269732944</c:v>
                </c:pt>
                <c:pt idx="2">
                  <c:v>694938.7942582653</c:v>
                </c:pt>
                <c:pt idx="3">
                  <c:v>666595.6999158402</c:v>
                </c:pt>
                <c:pt idx="4">
                  <c:v>726388.5599999999</c:v>
                </c:pt>
                <c:pt idx="5">
                  <c:v>732582.25</c:v>
                </c:pt>
                <c:pt idx="6">
                  <c:v>742990.73</c:v>
                </c:pt>
                <c:pt idx="7">
                  <c:v>758012.1</c:v>
                </c:pt>
                <c:pt idx="8">
                  <c:v>766212.9500000001</c:v>
                </c:pt>
                <c:pt idx="9">
                  <c:v>778973.9199999999</c:v>
                </c:pt>
                <c:pt idx="10">
                  <c:v>806114.2000000001</c:v>
                </c:pt>
              </c:numCache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evolutie lasten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'H44001'!$G$6:$G$16</c:f>
              <c:numCache>
                <c:ptCount val="11"/>
                <c:pt idx="0">
                  <c:v>52355.11243210816</c:v>
                </c:pt>
                <c:pt idx="1">
                  <c:v>52355.11243210816</c:v>
                </c:pt>
                <c:pt idx="2">
                  <c:v>52355.11243210816</c:v>
                </c:pt>
                <c:pt idx="3">
                  <c:v>26177.55621605408</c:v>
                </c:pt>
                <c:pt idx="4">
                  <c:v>52355.12</c:v>
                </c:pt>
                <c:pt idx="5">
                  <c:v>52355.12</c:v>
                </c:pt>
                <c:pt idx="6">
                  <c:v>52355.12</c:v>
                </c:pt>
                <c:pt idx="7">
                  <c:v>52355.12</c:v>
                </c:pt>
                <c:pt idx="8">
                  <c:v>52355.12</c:v>
                </c:pt>
                <c:pt idx="9">
                  <c:v>52355.12</c:v>
                </c:pt>
                <c:pt idx="10">
                  <c:v>52355.12</c:v>
                </c:pt>
              </c:numCache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'H44001'!$H$6:$H$16</c:f>
              <c:numCache>
                <c:ptCount val="11"/>
                <c:pt idx="0">
                  <c:v>22305.45935909608</c:v>
                </c:pt>
                <c:pt idx="1">
                  <c:v>22305.45935909608</c:v>
                </c:pt>
                <c:pt idx="2">
                  <c:v>22305.45935909608</c:v>
                </c:pt>
                <c:pt idx="3">
                  <c:v>11152.72967954804</c:v>
                </c:pt>
                <c:pt idx="4">
                  <c:v>22305.46</c:v>
                </c:pt>
                <c:pt idx="5">
                  <c:v>22305.46</c:v>
                </c:pt>
                <c:pt idx="6">
                  <c:v>22305.46</c:v>
                </c:pt>
                <c:pt idx="7">
                  <c:v>22305.46</c:v>
                </c:pt>
                <c:pt idx="8">
                  <c:v>22305.46</c:v>
                </c:pt>
                <c:pt idx="9">
                  <c:v>22305.46</c:v>
                </c:pt>
                <c:pt idx="10">
                  <c:v>22305.46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'H44001'!$I$6:$I$16</c:f>
              <c:numCache>
                <c:ptCount val="11"/>
                <c:pt idx="0">
                  <c:v>2478.935247732394</c:v>
                </c:pt>
                <c:pt idx="1">
                  <c:v>2478.935247732394</c:v>
                </c:pt>
                <c:pt idx="2">
                  <c:v>2478.935247732394</c:v>
                </c:pt>
                <c:pt idx="3">
                  <c:v>1239.467623866197</c:v>
                </c:pt>
                <c:pt idx="4">
                  <c:v>2478.94</c:v>
                </c:pt>
                <c:pt idx="5">
                  <c:v>2478.94</c:v>
                </c:pt>
                <c:pt idx="6">
                  <c:v>2478.94</c:v>
                </c:pt>
                <c:pt idx="7">
                  <c:v>2478.94</c:v>
                </c:pt>
                <c:pt idx="8">
                  <c:v>2478.94</c:v>
                </c:pt>
                <c:pt idx="9">
                  <c:v>2478.94</c:v>
                </c:pt>
                <c:pt idx="10">
                  <c:v>2478.94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'H44001'!$J$6:$J$16</c:f>
              <c:numCache>
                <c:ptCount val="11"/>
                <c:pt idx="0">
                  <c:v>2478.935247732394</c:v>
                </c:pt>
                <c:pt idx="1">
                  <c:v>2478.935247732394</c:v>
                </c:pt>
                <c:pt idx="2">
                  <c:v>2478.935247732394</c:v>
                </c:pt>
                <c:pt idx="3">
                  <c:v>1239.467623866197</c:v>
                </c:pt>
                <c:pt idx="4">
                  <c:v>2478.94</c:v>
                </c:pt>
                <c:pt idx="5">
                  <c:v>2478.94</c:v>
                </c:pt>
                <c:pt idx="6">
                  <c:v>2478.94</c:v>
                </c:pt>
                <c:pt idx="7">
                  <c:v>1239.47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'H44001'!$A$6:$A$16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'H44001'!$K$6:$K$16</c:f>
              <c:numCache>
                <c:ptCount val="11"/>
                <c:pt idx="0">
                  <c:v>5453.657545011267</c:v>
                </c:pt>
                <c:pt idx="1">
                  <c:v>5453.657545011267</c:v>
                </c:pt>
                <c:pt idx="2">
                  <c:v>5453.657545011267</c:v>
                </c:pt>
                <c:pt idx="3">
                  <c:v>2726.8287725056334</c:v>
                </c:pt>
                <c:pt idx="4">
                  <c:v>5453.66</c:v>
                </c:pt>
                <c:pt idx="5">
                  <c:v>2726.83</c:v>
                </c:pt>
                <c:pt idx="6">
                  <c:v>5453.66</c:v>
                </c:pt>
                <c:pt idx="7">
                  <c:v>5453.66</c:v>
                </c:pt>
                <c:pt idx="8">
                  <c:v>5453.66</c:v>
                </c:pt>
                <c:pt idx="9">
                  <c:v>5453.66</c:v>
                </c:pt>
                <c:pt idx="10">
                  <c:v>5453.66</c:v>
                </c:pt>
              </c:numCache>
            </c:numRef>
          </c:val>
          <c:smooth val="0"/>
        </c:ser>
        <c:marker val="1"/>
        <c:axId val="57242799"/>
        <c:axId val="45423144"/>
      </c:line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'H44004'!$C$5:$C$15</c:f>
              <c:numCache>
                <c:ptCount val="11"/>
                <c:pt idx="0">
                  <c:v>31863.093364138236</c:v>
                </c:pt>
                <c:pt idx="1">
                  <c:v>32252.01351515497</c:v>
                </c:pt>
                <c:pt idx="2">
                  <c:v>32643.273727971562</c:v>
                </c:pt>
                <c:pt idx="3">
                  <c:v>33375.73</c:v>
                </c:pt>
                <c:pt idx="4">
                  <c:v>34420.99</c:v>
                </c:pt>
                <c:pt idx="5">
                  <c:v>34832.06</c:v>
                </c:pt>
                <c:pt idx="6">
                  <c:v>35287.1</c:v>
                </c:pt>
                <c:pt idx="7">
                  <c:v>36011.39</c:v>
                </c:pt>
                <c:pt idx="8">
                  <c:v>36714.97</c:v>
                </c:pt>
                <c:pt idx="9">
                  <c:v>37483.01</c:v>
                </c:pt>
                <c:pt idx="10">
                  <c:v>38669.24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'H44015'!$A$5:$A$15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'H44015'!$C$5:$C$15</c:f>
              <c:numCache>
                <c:ptCount val="11"/>
                <c:pt idx="0">
                  <c:v>17997.069898537182</c:v>
                </c:pt>
                <c:pt idx="1">
                  <c:v>17997.069898537182</c:v>
                </c:pt>
                <c:pt idx="2">
                  <c:v>17997.069898537182</c:v>
                </c:pt>
                <c:pt idx="3">
                  <c:v>19966.807057032864</c:v>
                </c:pt>
                <c:pt idx="4">
                  <c:v>22073.83</c:v>
                </c:pt>
                <c:pt idx="5">
                  <c:v>22411.1</c:v>
                </c:pt>
                <c:pt idx="6">
                  <c:v>22839.2</c:v>
                </c:pt>
                <c:pt idx="7">
                  <c:v>22978.78</c:v>
                </c:pt>
                <c:pt idx="8">
                  <c:v>23089.45</c:v>
                </c:pt>
                <c:pt idx="9">
                  <c:v>25727.37</c:v>
                </c:pt>
                <c:pt idx="10">
                  <c:v>24673.7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0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'H44016'!$A$9:$A$15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'H44016'!$B$9:$B$15</c:f>
              <c:numCache>
                <c:ptCount val="7"/>
                <c:pt idx="1">
                  <c:v>14827.74</c:v>
                </c:pt>
                <c:pt idx="2">
                  <c:v>14246.9</c:v>
                </c:pt>
                <c:pt idx="3">
                  <c:v>14544.95</c:v>
                </c:pt>
                <c:pt idx="4">
                  <c:v>14950.14</c:v>
                </c:pt>
                <c:pt idx="5">
                  <c:v>15218.86</c:v>
                </c:pt>
                <c:pt idx="6">
                  <c:v>15495.11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'H44016'!$A$9:$A$15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'H44016'!$C$9:$C$15</c:f>
              <c:numCache>
                <c:ptCount val="7"/>
                <c:pt idx="0">
                  <c:v>236040</c:v>
                </c:pt>
                <c:pt idx="1">
                  <c:v>238591.44</c:v>
                </c:pt>
                <c:pt idx="2">
                  <c:v>242868.85</c:v>
                </c:pt>
                <c:pt idx="3">
                  <c:v>247349.94</c:v>
                </c:pt>
                <c:pt idx="4">
                  <c:v>252334.89</c:v>
                </c:pt>
                <c:pt idx="5">
                  <c:v>256215.65</c:v>
                </c:pt>
                <c:pt idx="6">
                  <c:v>264502.45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'H44016'!$A$9:$A$15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'H44016'!$D$9:$D$15</c:f>
              <c:numCache>
                <c:ptCount val="7"/>
                <c:pt idx="0">
                  <c:v>2724.85</c:v>
                </c:pt>
                <c:pt idx="1">
                  <c:v>8000</c:v>
                </c:pt>
                <c:pt idx="2">
                  <c:v>15135.01</c:v>
                </c:pt>
                <c:pt idx="3">
                  <c:v>10107.85</c:v>
                </c:pt>
                <c:pt idx="4">
                  <c:v>8736.76</c:v>
                </c:pt>
                <c:pt idx="5">
                  <c:v>5847.28</c:v>
                </c:pt>
                <c:pt idx="6">
                  <c:v>9983.66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'H44016'!$A$9:$A$15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'H44016'!$E$9:$E$15</c:f>
              <c:numCache>
                <c:ptCount val="7"/>
                <c:pt idx="0">
                  <c:v>238764.85</c:v>
                </c:pt>
                <c:pt idx="1">
                  <c:v>261419.18</c:v>
                </c:pt>
                <c:pt idx="2">
                  <c:v>272250.76</c:v>
                </c:pt>
                <c:pt idx="3">
                  <c:v>272002.74</c:v>
                </c:pt>
                <c:pt idx="4">
                  <c:v>276021.79000000004</c:v>
                </c:pt>
                <c:pt idx="5">
                  <c:v>277281.79000000004</c:v>
                </c:pt>
                <c:pt idx="6">
                  <c:v>289981.22</c:v>
                </c:pt>
              </c:numCache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'H21025'!$A$12:$A$15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'H21025'!$C$14:$C$15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'P44022'!$A$13:$A$15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'P44022'!$B$13:$B$15</c:f>
              <c:numCache>
                <c:ptCount val="3"/>
                <c:pt idx="1">
                  <c:v>42563.17</c:v>
                </c:pt>
                <c:pt idx="2">
                  <c:v>43336.73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'P44022'!$A$13:$A$15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'P44022'!$C$13:$C$15</c:f>
              <c:numCache>
                <c:ptCount val="3"/>
                <c:pt idx="0">
                  <c:v>436433</c:v>
                </c:pt>
                <c:pt idx="1">
                  <c:v>444933.84</c:v>
                </c:pt>
                <c:pt idx="2">
                  <c:v>456644.46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'P44022'!$A$13:$A$15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'P44022'!$D$13:$D$15</c:f>
              <c:numCache>
                <c:ptCount val="3"/>
                <c:pt idx="0">
                  <c:v>3907.81</c:v>
                </c:pt>
                <c:pt idx="1">
                  <c:v>4071.43</c:v>
                </c:pt>
                <c:pt idx="2">
                  <c:v>4287.73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'P44022'!$A$13:$A$15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'P44022'!$E$13:$E$15</c:f>
              <c:numCache>
                <c:ptCount val="3"/>
                <c:pt idx="0">
                  <c:v>440340.81</c:v>
                </c:pt>
                <c:pt idx="1">
                  <c:v>491568.44</c:v>
                </c:pt>
                <c:pt idx="2">
                  <c:v>504268.92</c:v>
                </c:pt>
              </c:numCache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'H44002'!$B$5:$B$15</c:f>
              <c:numCache>
                <c:ptCount val="11"/>
                <c:pt idx="0">
                  <c:v>4329.931407861695</c:v>
                </c:pt>
                <c:pt idx="1">
                  <c:v>4371.577520023599</c:v>
                </c:pt>
                <c:pt idx="2">
                  <c:v>4616.669847966901</c:v>
                </c:pt>
                <c:pt idx="3">
                  <c:v>5263.67</c:v>
                </c:pt>
                <c:pt idx="4">
                  <c:v>5888.53</c:v>
                </c:pt>
                <c:pt idx="5">
                  <c:v>5985.12</c:v>
                </c:pt>
                <c:pt idx="6">
                  <c:v>5750.74</c:v>
                </c:pt>
                <c:pt idx="7">
                  <c:v>5871.19</c:v>
                </c:pt>
                <c:pt idx="8">
                  <c:v>6034.82</c:v>
                </c:pt>
                <c:pt idx="9">
                  <c:v>6142.99</c:v>
                </c:pt>
                <c:pt idx="10">
                  <c:v>6254.59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'H44002'!$C$5:$C$15</c:f>
              <c:numCache>
                <c:ptCount val="11"/>
                <c:pt idx="0">
                  <c:v>119846.85138039509</c:v>
                </c:pt>
                <c:pt idx="1">
                  <c:v>120803.00149479795</c:v>
                </c:pt>
                <c:pt idx="2">
                  <c:v>121577.14523432135</c:v>
                </c:pt>
                <c:pt idx="3">
                  <c:v>124398.73</c:v>
                </c:pt>
                <c:pt idx="4">
                  <c:v>127245.18</c:v>
                </c:pt>
                <c:pt idx="5">
                  <c:v>128906.82</c:v>
                </c:pt>
                <c:pt idx="6">
                  <c:v>131006.74</c:v>
                </c:pt>
                <c:pt idx="7">
                  <c:v>133423.06</c:v>
                </c:pt>
                <c:pt idx="8">
                  <c:v>136415.49</c:v>
                </c:pt>
                <c:pt idx="9">
                  <c:v>139228.22</c:v>
                </c:pt>
                <c:pt idx="10">
                  <c:v>143220.96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'H44002'!$D$5:$D$15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'H44002'!$E$5:$E$15</c:f>
              <c:numCache>
                <c:ptCount val="11"/>
                <c:pt idx="0">
                  <c:v>124176.7827882568</c:v>
                </c:pt>
                <c:pt idx="1">
                  <c:v>125174.57901482155</c:v>
                </c:pt>
                <c:pt idx="2">
                  <c:v>126193.81508228825</c:v>
                </c:pt>
                <c:pt idx="3">
                  <c:v>129662.4</c:v>
                </c:pt>
                <c:pt idx="4">
                  <c:v>133133.71</c:v>
                </c:pt>
                <c:pt idx="5">
                  <c:v>134891.94</c:v>
                </c:pt>
                <c:pt idx="6">
                  <c:v>136757.48</c:v>
                </c:pt>
                <c:pt idx="7">
                  <c:v>139294.25</c:v>
                </c:pt>
                <c:pt idx="8">
                  <c:v>142450.31</c:v>
                </c:pt>
                <c:pt idx="9">
                  <c:v>145371.21</c:v>
                </c:pt>
                <c:pt idx="10">
                  <c:v>149475.55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'H45004'!$A$9:$A$15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'H45004'!$C$9:$C$15</c:f>
              <c:numCache>
                <c:ptCount val="7"/>
                <c:pt idx="0">
                  <c:v>38670</c:v>
                </c:pt>
                <c:pt idx="1">
                  <c:v>39191.53</c:v>
                </c:pt>
                <c:pt idx="2">
                  <c:v>39808.74</c:v>
                </c:pt>
                <c:pt idx="3">
                  <c:v>40623.52</c:v>
                </c:pt>
                <c:pt idx="4">
                  <c:v>41336.73</c:v>
                </c:pt>
                <c:pt idx="5">
                  <c:v>42119.61</c:v>
                </c:pt>
                <c:pt idx="6">
                  <c:v>43618.03</c:v>
                </c:pt>
              </c:numCache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5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'H45002'!$A$5:$A$15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'H45002'!$B$5:$B$15</c:f>
              <c:numCache>
                <c:ptCount val="11"/>
                <c:pt idx="0">
                  <c:v>49.62828365960253</c:v>
                </c:pt>
                <c:pt idx="1">
                  <c:v>49.65307301207985</c:v>
                </c:pt>
                <c:pt idx="2">
                  <c:v>49.67786236455718</c:v>
                </c:pt>
                <c:pt idx="3">
                  <c:v>49.7026517170345</c:v>
                </c:pt>
                <c:pt idx="4">
                  <c:v>374.95</c:v>
                </c:pt>
                <c:pt idx="5">
                  <c:v>435.7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'H45002'!$A$5:$A$15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'H45002'!$C$5:$C$15</c:f>
              <c:numCache>
                <c:ptCount val="11"/>
                <c:pt idx="0">
                  <c:v>9453.27083111262</c:v>
                </c:pt>
                <c:pt idx="1">
                  <c:v>9654.510794523536</c:v>
                </c:pt>
                <c:pt idx="2">
                  <c:v>9757.922312053326</c:v>
                </c:pt>
                <c:pt idx="3">
                  <c:v>9978.31</c:v>
                </c:pt>
                <c:pt idx="4">
                  <c:v>10218.45</c:v>
                </c:pt>
                <c:pt idx="5">
                  <c:v>10363.7</c:v>
                </c:pt>
                <c:pt idx="6">
                  <c:v>10518.63</c:v>
                </c:pt>
                <c:pt idx="7">
                  <c:v>10206.14</c:v>
                </c:pt>
                <c:pt idx="8">
                  <c:v>10097.99</c:v>
                </c:pt>
                <c:pt idx="9">
                  <c:v>10259.52</c:v>
                </c:pt>
                <c:pt idx="10">
                  <c:v>8629.5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'H45002'!$A$5:$A$15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'H45002'!$D$5:$D$15</c:f>
              <c:numCache>
                <c:ptCount val="11"/>
                <c:pt idx="0">
                  <c:v>90.85297682939223</c:v>
                </c:pt>
                <c:pt idx="1">
                  <c:v>365.4694235731868</c:v>
                </c:pt>
                <c:pt idx="2">
                  <c:v>365.4</c:v>
                </c:pt>
                <c:pt idx="3">
                  <c:v>442.14</c:v>
                </c:pt>
                <c:pt idx="4">
                  <c:v>137.78</c:v>
                </c:pt>
                <c:pt idx="5">
                  <c:v>469.94</c:v>
                </c:pt>
                <c:pt idx="6">
                  <c:v>191.4</c:v>
                </c:pt>
                <c:pt idx="7">
                  <c:v>125.64</c:v>
                </c:pt>
                <c:pt idx="8">
                  <c:v>141.93</c:v>
                </c:pt>
                <c:pt idx="9">
                  <c:v>136.05</c:v>
                </c:pt>
                <c:pt idx="10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'H45002'!$A$5:$A$15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'H45002'!$E$5:$E$15</c:f>
              <c:numCache>
                <c:ptCount val="11"/>
                <c:pt idx="0">
                  <c:v>9593.752091601615</c:v>
                </c:pt>
                <c:pt idx="1">
                  <c:v>10069.633291108803</c:v>
                </c:pt>
                <c:pt idx="2">
                  <c:v>10173.000174417883</c:v>
                </c:pt>
                <c:pt idx="3">
                  <c:v>10470.152651717033</c:v>
                </c:pt>
                <c:pt idx="4">
                  <c:v>10731.180000000002</c:v>
                </c:pt>
                <c:pt idx="5">
                  <c:v>11269.340000000002</c:v>
                </c:pt>
                <c:pt idx="6">
                  <c:v>10710.029999999999</c:v>
                </c:pt>
                <c:pt idx="7">
                  <c:v>10331.779999999999</c:v>
                </c:pt>
                <c:pt idx="8">
                  <c:v>10239.92</c:v>
                </c:pt>
                <c:pt idx="9">
                  <c:v>10395.57</c:v>
                </c:pt>
                <c:pt idx="10">
                  <c:v>8720.2</c:v>
                </c:pt>
              </c:numCache>
            </c:numRef>
          </c:val>
          <c:smooth val="0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'H46001'!$A$5:$A$15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'H46001'!$B$5:$B$15</c:f>
              <c:numCache>
                <c:ptCount val="11"/>
                <c:pt idx="0">
                  <c:v>1827.7437475055715</c:v>
                </c:pt>
                <c:pt idx="1">
                  <c:v>1776.0083688853963</c:v>
                </c:pt>
                <c:pt idx="2">
                  <c:v>1795.8646402197328</c:v>
                </c:pt>
                <c:pt idx="3">
                  <c:v>1896.3854645152815</c:v>
                </c:pt>
                <c:pt idx="4">
                  <c:v>1962.9454645152814</c:v>
                </c:pt>
                <c:pt idx="5">
                  <c:v>1975.08</c:v>
                </c:pt>
                <c:pt idx="6">
                  <c:v>2006.38</c:v>
                </c:pt>
                <c:pt idx="7">
                  <c:v>2048.53</c:v>
                </c:pt>
                <c:pt idx="8">
                  <c:v>2105.8</c:v>
                </c:pt>
                <c:pt idx="9">
                  <c:v>2143.12</c:v>
                </c:pt>
                <c:pt idx="10">
                  <c:v>2182.34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'H46001'!$A$5:$A$15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'H46001'!$C$5:$C$15</c:f>
              <c:numCache>
                <c:ptCount val="11"/>
                <c:pt idx="0">
                  <c:v>32943.80997473965</c:v>
                </c:pt>
                <c:pt idx="1">
                  <c:v>33239.02570735178</c:v>
                </c:pt>
                <c:pt idx="2">
                  <c:v>33690.23916710254</c:v>
                </c:pt>
                <c:pt idx="3">
                  <c:v>34545.09</c:v>
                </c:pt>
                <c:pt idx="4">
                  <c:v>35494.36</c:v>
                </c:pt>
                <c:pt idx="5">
                  <c:v>35798.28</c:v>
                </c:pt>
                <c:pt idx="6">
                  <c:v>36404.81</c:v>
                </c:pt>
                <c:pt idx="7">
                  <c:v>37042.1</c:v>
                </c:pt>
                <c:pt idx="8">
                  <c:v>37960.64</c:v>
                </c:pt>
                <c:pt idx="9">
                  <c:v>38626</c:v>
                </c:pt>
                <c:pt idx="10">
                  <c:v>39718.52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'H46001'!$A$5:$A$15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'H46001'!$D$5:$D$15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'H46001'!$A$5:$A$15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'H46001'!$E$5:$E$15</c:f>
              <c:numCache>
                <c:ptCount val="11"/>
                <c:pt idx="0">
                  <c:v>34771.55372224522</c:v>
                </c:pt>
                <c:pt idx="1">
                  <c:v>35015.03407623718</c:v>
                </c:pt>
                <c:pt idx="2">
                  <c:v>35486.10380732227</c:v>
                </c:pt>
                <c:pt idx="3">
                  <c:v>36441.47546451528</c:v>
                </c:pt>
                <c:pt idx="4">
                  <c:v>37457.30546451528</c:v>
                </c:pt>
                <c:pt idx="5">
                  <c:v>37773.36</c:v>
                </c:pt>
                <c:pt idx="6">
                  <c:v>38411.189999999995</c:v>
                </c:pt>
                <c:pt idx="7">
                  <c:v>39090.63</c:v>
                </c:pt>
                <c:pt idx="8">
                  <c:v>40066.44</c:v>
                </c:pt>
                <c:pt idx="9">
                  <c:v>40769.12</c:v>
                </c:pt>
                <c:pt idx="10">
                  <c:v>41900.86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5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'H44018'!$A$10:$A$15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'H44018'!$C$10:$C$15</c:f>
              <c:numCache>
                <c:ptCount val="6"/>
                <c:pt idx="0">
                  <c:v>18000</c:v>
                </c:pt>
                <c:pt idx="1">
                  <c:v>18282.33</c:v>
                </c:pt>
                <c:pt idx="2">
                  <c:v>18664.15</c:v>
                </c:pt>
                <c:pt idx="3">
                  <c:v>19020.97</c:v>
                </c:pt>
                <c:pt idx="4">
                  <c:v>19293.09</c:v>
                </c:pt>
                <c:pt idx="5">
                  <c:v>20077.97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WVL_31009!$A$12:$A$15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WVL_31009!$B$12:$B$15</c:f>
              <c:numCache>
                <c:ptCount val="4"/>
                <c:pt idx="0">
                  <c:v>42451.5</c:v>
                </c:pt>
                <c:pt idx="1">
                  <c:v>25110.84</c:v>
                </c:pt>
                <c:pt idx="2">
                  <c:v>25215.46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WVL_31009!$A$12:$A$15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WVL_31009!$C$12:$C$15</c:f>
              <c:numCache>
                <c:ptCount val="4"/>
                <c:pt idx="0">
                  <c:v>253560</c:v>
                </c:pt>
                <c:pt idx="1">
                  <c:v>260939.3</c:v>
                </c:pt>
                <c:pt idx="2">
                  <c:v>265511.18</c:v>
                </c:pt>
                <c:pt idx="3">
                  <c:v>273012.54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WVL_31009!$A$12:$A$15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WVL_31009!$D$12:$D$15</c:f>
              <c:numCache>
                <c:ptCount val="4"/>
                <c:pt idx="0">
                  <c:v>647.05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WVL_31009!$A$12:$A$15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WVL_31009!$E$12:$E$15</c:f>
              <c:numCache>
                <c:ptCount val="4"/>
                <c:pt idx="0">
                  <c:v>296658.55</c:v>
                </c:pt>
                <c:pt idx="1">
                  <c:v>286050.14</c:v>
                </c:pt>
                <c:pt idx="2">
                  <c:v>290726.64</c:v>
                </c:pt>
                <c:pt idx="3">
                  <c:v>273012.54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'H31008'!$A$9:$A$15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'H31008'!$B$9:$B$15</c:f>
              <c:numCache>
                <c:ptCount val="7"/>
                <c:pt idx="1">
                  <c:v>20211.46</c:v>
                </c:pt>
                <c:pt idx="2">
                  <c:v>19618.24</c:v>
                </c:pt>
                <c:pt idx="3">
                  <c:v>20029.37</c:v>
                </c:pt>
                <c:pt idx="4">
                  <c:v>20587.32</c:v>
                </c:pt>
                <c:pt idx="5">
                  <c:v>20956.57</c:v>
                </c:pt>
                <c:pt idx="6">
                  <c:v>21613.55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'H31008'!$A$9:$A$15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'H31008'!$C$9:$C$15</c:f>
              <c:numCache>
                <c:ptCount val="7"/>
                <c:pt idx="0">
                  <c:v>223132</c:v>
                </c:pt>
                <c:pt idx="1">
                  <c:v>226481.11</c:v>
                </c:pt>
                <c:pt idx="2">
                  <c:v>230078.87</c:v>
                </c:pt>
                <c:pt idx="3">
                  <c:v>234787.92</c:v>
                </c:pt>
                <c:pt idx="4">
                  <c:v>238910.03</c:v>
                </c:pt>
                <c:pt idx="5">
                  <c:v>243434.72</c:v>
                </c:pt>
                <c:pt idx="6">
                  <c:v>252095.05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'H31008'!$A$9:$A$15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'H31008'!$D$9:$D$15</c:f>
              <c:numCache>
                <c:ptCount val="7"/>
                <c:pt idx="0">
                  <c:v>10460</c:v>
                </c:pt>
                <c:pt idx="1">
                  <c:v>26735.08</c:v>
                </c:pt>
                <c:pt idx="2">
                  <c:v>29113.39</c:v>
                </c:pt>
                <c:pt idx="3">
                  <c:v>30664.74</c:v>
                </c:pt>
                <c:pt idx="4">
                  <c:v>42357.49</c:v>
                </c:pt>
                <c:pt idx="5">
                  <c:v>43493.48</c:v>
                </c:pt>
                <c:pt idx="6">
                  <c:v>42050.22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'H31008'!$A$9:$A$15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'H31008'!$E$9:$E$15</c:f>
              <c:numCache>
                <c:ptCount val="7"/>
                <c:pt idx="0">
                  <c:v>233592</c:v>
                </c:pt>
                <c:pt idx="1">
                  <c:v>273427.64999999997</c:v>
                </c:pt>
                <c:pt idx="2">
                  <c:v>278810.5</c:v>
                </c:pt>
                <c:pt idx="3">
                  <c:v>285482.03</c:v>
                </c:pt>
                <c:pt idx="4">
                  <c:v>301854.84</c:v>
                </c:pt>
                <c:pt idx="5">
                  <c:v>307884.76999999996</c:v>
                </c:pt>
                <c:pt idx="6">
                  <c:v>315758.81999999995</c:v>
                </c:pt>
              </c:numCache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5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'H31004'!$B$5:$B$15</c:f>
              <c:numCache>
                <c:ptCount val="11"/>
                <c:pt idx="0">
                  <c:v>6320.29330761852</c:v>
                </c:pt>
                <c:pt idx="1">
                  <c:v>6398.13187439732</c:v>
                </c:pt>
                <c:pt idx="2">
                  <c:v>6447.11563489252</c:v>
                </c:pt>
                <c:pt idx="3">
                  <c:v>6914.92072295668</c:v>
                </c:pt>
                <c:pt idx="4">
                  <c:v>7850.44</c:v>
                </c:pt>
                <c:pt idx="5">
                  <c:v>7979.48</c:v>
                </c:pt>
                <c:pt idx="6">
                  <c:v>7745.08</c:v>
                </c:pt>
                <c:pt idx="7">
                  <c:v>5929.92</c:v>
                </c:pt>
                <c:pt idx="8">
                  <c:v>6095.76</c:v>
                </c:pt>
                <c:pt idx="9">
                  <c:v>6204.39</c:v>
                </c:pt>
                <c:pt idx="10">
                  <c:v>591.3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'H31004'!$C$5:$C$15</c:f>
              <c:numCache>
                <c:ptCount val="11"/>
                <c:pt idx="0">
                  <c:v>243756.9751040532</c:v>
                </c:pt>
                <c:pt idx="1">
                  <c:v>246424.1071008108</c:v>
                </c:pt>
                <c:pt idx="2">
                  <c:v>249953.8278485568</c:v>
                </c:pt>
                <c:pt idx="3">
                  <c:v>256378.6</c:v>
                </c:pt>
                <c:pt idx="4">
                  <c:v>262223.44</c:v>
                </c:pt>
                <c:pt idx="5">
                  <c:v>265572.16</c:v>
                </c:pt>
                <c:pt idx="6">
                  <c:v>270234.68</c:v>
                </c:pt>
                <c:pt idx="7">
                  <c:v>206624.55000000002</c:v>
                </c:pt>
                <c:pt idx="8">
                  <c:v>210331.5</c:v>
                </c:pt>
                <c:pt idx="9">
                  <c:v>214250.37</c:v>
                </c:pt>
                <c:pt idx="10">
                  <c:v>220533.90000000002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'H31004'!$D$5:$D$15</c:f>
              <c:numCache>
                <c:ptCount val="11"/>
                <c:pt idx="0">
                  <c:v>21667.87721337932</c:v>
                </c:pt>
                <c:pt idx="1">
                  <c:v>19903.66857627312</c:v>
                </c:pt>
                <c:pt idx="2">
                  <c:v>10192.98510903596</c:v>
                </c:pt>
                <c:pt idx="3">
                  <c:v>20923.80000941996</c:v>
                </c:pt>
                <c:pt idx="4">
                  <c:v>24385.96</c:v>
                </c:pt>
                <c:pt idx="5">
                  <c:v>25410.8</c:v>
                </c:pt>
                <c:pt idx="6">
                  <c:v>24824.04</c:v>
                </c:pt>
                <c:pt idx="7">
                  <c:v>22185.75</c:v>
                </c:pt>
                <c:pt idx="8">
                  <c:v>24706.379999999997</c:v>
                </c:pt>
                <c:pt idx="9">
                  <c:v>24805.02</c:v>
                </c:pt>
                <c:pt idx="10">
                  <c:v>25894.32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'H31004'!$A$5:$A$15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'H31004'!$E$5:$E$15</c:f>
              <c:numCache>
                <c:ptCount val="11"/>
                <c:pt idx="0">
                  <c:v>271745.14562505105</c:v>
                </c:pt>
                <c:pt idx="1">
                  <c:v>272725.9075514812</c:v>
                </c:pt>
                <c:pt idx="2">
                  <c:v>266593.92859248526</c:v>
                </c:pt>
                <c:pt idx="3">
                  <c:v>284217.32073237665</c:v>
                </c:pt>
                <c:pt idx="4">
                  <c:v>294459.84</c:v>
                </c:pt>
                <c:pt idx="5">
                  <c:v>298962.43999999994</c:v>
                </c:pt>
                <c:pt idx="6">
                  <c:v>302803.8</c:v>
                </c:pt>
                <c:pt idx="7">
                  <c:v>234740.22000000003</c:v>
                </c:pt>
                <c:pt idx="8">
                  <c:v>241133.64</c:v>
                </c:pt>
                <c:pt idx="9">
                  <c:v>245259.78</c:v>
                </c:pt>
                <c:pt idx="10">
                  <c:v>247019.52000000002</c:v>
                </c:pt>
              </c:numCache>
            </c:numRef>
          </c:val>
          <c:smooth val="0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'P31050'!$A$13:$A$15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'P31050'!$C$13:$C$15</c:f>
              <c:numCache>
                <c:ptCount val="3"/>
                <c:pt idx="0">
                  <c:v>226530</c:v>
                </c:pt>
                <c:pt idx="1">
                  <c:v>230931.84444444446</c:v>
                </c:pt>
                <c:pt idx="2">
                  <c:v>237020.73333333334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'P31050'!$A$13:$A$15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'P31050'!$D$13:$D$15</c:f>
              <c:numCache>
                <c:ptCount val="3"/>
                <c:pt idx="0">
                  <c:v>10355.52</c:v>
                </c:pt>
                <c:pt idx="1">
                  <c:v>38462.07</c:v>
                </c:pt>
                <c:pt idx="2">
                  <c:v>53584.43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'P31050'!$A$13:$A$15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'P31050'!$E$13:$E$15</c:f>
              <c:numCache>
                <c:ptCount val="3"/>
                <c:pt idx="0">
                  <c:v>236885.52</c:v>
                </c:pt>
                <c:pt idx="1">
                  <c:v>269393.91444444447</c:v>
                </c:pt>
                <c:pt idx="2">
                  <c:v>290605.16333333333</c:v>
                </c:pt>
              </c:numCache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'H21005'!$A$5:$A$15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'H21005'!$C$5:$C$15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855071"/>
        <c:axId val="32151320"/>
      </c:line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'P31033+P31017'!$A$13:$A$15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'P31033+P31017'!$B$13:$B$15</c:f>
              <c:numCache>
                <c:ptCount val="3"/>
                <c:pt idx="0">
                  <c:v>0</c:v>
                </c:pt>
                <c:pt idx="1">
                  <c:v>1963.96</c:v>
                </c:pt>
                <c:pt idx="2">
                  <c:v>2024.6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'P31033+P31017'!$A$13:$A$15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'P31033+P31017'!$C$13:$C$15</c:f>
              <c:numCache>
                <c:ptCount val="3"/>
                <c:pt idx="0">
                  <c:v>127124</c:v>
                </c:pt>
                <c:pt idx="1">
                  <c:v>129594.23333333332</c:v>
                </c:pt>
                <c:pt idx="2">
                  <c:v>133011.19999999998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'P31033+P31017'!$A$13:$A$15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'P31033+P31017'!$D$13:$D$15</c:f>
              <c:numCache>
                <c:ptCount val="3"/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'P31033+P31017'!$A$13:$A$15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'P31033+P31017'!$E$13:$E$15</c:f>
              <c:numCache>
                <c:ptCount val="3"/>
                <c:pt idx="0">
                  <c:v>127124</c:v>
                </c:pt>
                <c:pt idx="1">
                  <c:v>131558.19333333333</c:v>
                </c:pt>
                <c:pt idx="2">
                  <c:v>135035.8</c:v>
                </c:pt>
              </c:numCache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5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'P31032'!$B$13:$B$15</c:f>
              <c:numCache>
                <c:ptCount val="3"/>
                <c:pt idx="1">
                  <c:v>22667.34</c:v>
                </c:pt>
                <c:pt idx="2">
                  <c:v>23378.51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'P31032'!$C$13:$C$15</c:f>
              <c:numCache>
                <c:ptCount val="3"/>
                <c:pt idx="0">
                  <c:v>275490</c:v>
                </c:pt>
                <c:pt idx="1">
                  <c:v>280843.22</c:v>
                </c:pt>
                <c:pt idx="2">
                  <c:v>288248.1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'P31032'!$D$13:$D$15</c:f>
              <c:numCache>
                <c:ptCount val="3"/>
                <c:pt idx="0">
                  <c:v>6919.54</c:v>
                </c:pt>
                <c:pt idx="1">
                  <c:v>6407.9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'P31032'!$A$13:$A$15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'P31032'!$E$13:$E$15</c:f>
              <c:numCache>
                <c:ptCount val="3"/>
                <c:pt idx="0">
                  <c:v>282409.54</c:v>
                </c:pt>
                <c:pt idx="1">
                  <c:v>309918.46</c:v>
                </c:pt>
                <c:pt idx="2">
                  <c:v>311626.61</c:v>
                </c:pt>
              </c:numCache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'P31035'!$A$13:$A$15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'P31035'!$B$13:$B$15</c:f>
              <c:numCache>
                <c:ptCount val="3"/>
                <c:pt idx="1">
                  <c:v>22906.78</c:v>
                </c:pt>
                <c:pt idx="2">
                  <c:v>23624.81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'P31035'!$A$13:$A$15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'P31035'!$C$13:$C$15</c:f>
              <c:numCache>
                <c:ptCount val="3"/>
                <c:pt idx="0">
                  <c:v>263025</c:v>
                </c:pt>
                <c:pt idx="1">
                  <c:v>268136</c:v>
                </c:pt>
                <c:pt idx="2">
                  <c:v>275205.84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'P31035'!$A$13:$A$15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'P31035'!$D$13:$D$15</c:f>
              <c:numCache>
                <c:ptCount val="3"/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'P31035'!$A$13:$A$15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'P31035'!$E$13:$E$15</c:f>
              <c:numCache>
                <c:ptCount val="3"/>
                <c:pt idx="0">
                  <c:v>263025</c:v>
                </c:pt>
                <c:pt idx="1">
                  <c:v>291042.78</c:v>
                </c:pt>
                <c:pt idx="2">
                  <c:v>298830.65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67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'H31005'!$A$5:$A$15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'H31005'!$B$5:$B$15</c:f>
              <c:numCache>
                <c:ptCount val="11"/>
                <c:pt idx="0">
                  <c:v>15068.72847974338</c:v>
                </c:pt>
                <c:pt idx="1">
                  <c:v>15213.647034325817</c:v>
                </c:pt>
                <c:pt idx="2">
                  <c:v>15384.495251599534</c:v>
                </c:pt>
                <c:pt idx="3">
                  <c:v>16454.03</c:v>
                </c:pt>
                <c:pt idx="4">
                  <c:v>18749.4</c:v>
                </c:pt>
                <c:pt idx="5">
                  <c:v>19019.31</c:v>
                </c:pt>
                <c:pt idx="6">
                  <c:v>18461.03</c:v>
                </c:pt>
                <c:pt idx="7">
                  <c:v>19824.57</c:v>
                </c:pt>
                <c:pt idx="8">
                  <c:v>19372.95</c:v>
                </c:pt>
                <c:pt idx="9">
                  <c:v>19720.35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'H31005'!$A$5:$A$15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'H31005'!$C$5:$C$15</c:f>
              <c:numCache>
                <c:ptCount val="11"/>
                <c:pt idx="0">
                  <c:v>207419.55235387295</c:v>
                </c:pt>
                <c:pt idx="1">
                  <c:v>209925.03679724043</c:v>
                </c:pt>
                <c:pt idx="2">
                  <c:v>211199.89443335257</c:v>
                </c:pt>
                <c:pt idx="3">
                  <c:v>218351.06</c:v>
                </c:pt>
                <c:pt idx="4">
                  <c:v>224615.12</c:v>
                </c:pt>
                <c:pt idx="5">
                  <c:v>226191.32</c:v>
                </c:pt>
                <c:pt idx="6">
                  <c:v>230338.31</c:v>
                </c:pt>
                <c:pt idx="7">
                  <c:v>233376.92</c:v>
                </c:pt>
                <c:pt idx="8">
                  <c:v>239474.5</c:v>
                </c:pt>
                <c:pt idx="9">
                  <c:v>243257.66</c:v>
                </c:pt>
                <c:pt idx="10">
                  <c:v>245866.39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'H31005'!$A$5:$A$15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'H31005'!$D$5:$D$15</c:f>
              <c:numCache>
                <c:ptCount val="11"/>
                <c:pt idx="0">
                  <c:v>9296.131125758864</c:v>
                </c:pt>
                <c:pt idx="1">
                  <c:v>9398.114521850575</c:v>
                </c:pt>
                <c:pt idx="2">
                  <c:v>10076.177680162815</c:v>
                </c:pt>
                <c:pt idx="3">
                  <c:v>11108.431106671062</c:v>
                </c:pt>
                <c:pt idx="4">
                  <c:v>9019.71</c:v>
                </c:pt>
                <c:pt idx="5">
                  <c:v>12389.78</c:v>
                </c:pt>
                <c:pt idx="6">
                  <c:v>14492.43</c:v>
                </c:pt>
                <c:pt idx="7">
                  <c:v>12337.1</c:v>
                </c:pt>
                <c:pt idx="8">
                  <c:v>11651.83</c:v>
                </c:pt>
                <c:pt idx="9">
                  <c:v>7400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'H31005'!$A$5:$A$15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'H31005'!$E$5:$E$15</c:f>
              <c:numCache>
                <c:ptCount val="11"/>
                <c:pt idx="0">
                  <c:v>231784.4119593752</c:v>
                </c:pt>
                <c:pt idx="1">
                  <c:v>234536.79835341682</c:v>
                </c:pt>
                <c:pt idx="2">
                  <c:v>236660.56736511493</c:v>
                </c:pt>
                <c:pt idx="3">
                  <c:v>245913.52110667105</c:v>
                </c:pt>
                <c:pt idx="4">
                  <c:v>252384.22999999998</c:v>
                </c:pt>
                <c:pt idx="5">
                  <c:v>257600.41</c:v>
                </c:pt>
                <c:pt idx="6">
                  <c:v>263291.77</c:v>
                </c:pt>
                <c:pt idx="7">
                  <c:v>265538.59</c:v>
                </c:pt>
                <c:pt idx="8">
                  <c:v>270499.28</c:v>
                </c:pt>
                <c:pt idx="9">
                  <c:v>270378.01</c:v>
                </c:pt>
                <c:pt idx="10">
                  <c:v>245866.39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9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'H33002'!$A$5:$A$15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'H33002'!$C$5:$C$15</c:f>
              <c:numCache>
                <c:ptCount val="11"/>
                <c:pt idx="0">
                  <c:v>22020.05954402465</c:v>
                </c:pt>
                <c:pt idx="1">
                  <c:v>22311.38045101748</c:v>
                </c:pt>
                <c:pt idx="2">
                  <c:v>22574.146546917567</c:v>
                </c:pt>
                <c:pt idx="3">
                  <c:v>23082.14</c:v>
                </c:pt>
                <c:pt idx="4">
                  <c:v>23872.93</c:v>
                </c:pt>
                <c:pt idx="5">
                  <c:v>24003.73</c:v>
                </c:pt>
                <c:pt idx="6">
                  <c:v>24404.19</c:v>
                </c:pt>
                <c:pt idx="7">
                  <c:v>24847.67</c:v>
                </c:pt>
                <c:pt idx="8">
                  <c:v>25354.46</c:v>
                </c:pt>
                <c:pt idx="9">
                  <c:v>25873.79</c:v>
                </c:pt>
                <c:pt idx="10">
                  <c:v>26628.15</c:v>
                </c:pt>
              </c:numCache>
            </c:numRef>
          </c:val>
          <c:smooth val="0"/>
        </c:ser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'H33001'!$A$5:$A$15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'H33001'!$C$5:$C$15</c:f>
              <c:numCache>
                <c:ptCount val="11"/>
                <c:pt idx="0">
                  <c:v>6934.47430459669</c:v>
                </c:pt>
                <c:pt idx="1">
                  <c:v>7014.767017270742</c:v>
                </c:pt>
                <c:pt idx="2">
                  <c:v>7114.95</c:v>
                </c:pt>
                <c:pt idx="3">
                  <c:v>7301.3</c:v>
                </c:pt>
                <c:pt idx="4">
                  <c:v>7452.5</c:v>
                </c:pt>
                <c:pt idx="5">
                  <c:v>7565.28</c:v>
                </c:pt>
                <c:pt idx="6">
                  <c:v>7684.72</c:v>
                </c:pt>
                <c:pt idx="7">
                  <c:v>7841.64</c:v>
                </c:pt>
                <c:pt idx="8">
                  <c:v>7979.49</c:v>
                </c:pt>
                <c:pt idx="9">
                  <c:v>8130.23</c:v>
                </c:pt>
                <c:pt idx="10">
                  <c:v>8419.66</c:v>
                </c:pt>
              </c:numCache>
            </c:numRef>
          </c:val>
          <c:smooth val="0"/>
        </c:ser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'H33003'!$A$5:$A$15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'H33003'!$B$5:$B$15</c:f>
              <c:numCache>
                <c:ptCount val="11"/>
                <c:pt idx="0">
                  <c:v>529.1039392760022</c:v>
                </c:pt>
                <c:pt idx="1">
                  <c:v>535.4252241577198</c:v>
                </c:pt>
                <c:pt idx="3">
                  <c:v>616.6825331495616</c:v>
                </c:pt>
                <c:pt idx="4">
                  <c:v>36.25</c:v>
                </c:pt>
                <c:pt idx="9">
                  <c:v>734.37</c:v>
                </c:pt>
                <c:pt idx="10">
                  <c:v>758.15</c:v>
                </c:pt>
              </c:numCache>
            </c:numRef>
          </c:val>
          <c:smooth val="0"/>
        </c:ser>
        <c:ser>
          <c:idx val="0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'H33003'!$A$5:$A$15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'H33003'!$C$5:$C$15</c:f>
              <c:numCache>
                <c:ptCount val="11"/>
                <c:pt idx="0">
                  <c:v>13425.120042439372</c:v>
                </c:pt>
                <c:pt idx="1">
                  <c:v>13584.441210811132</c:v>
                </c:pt>
                <c:pt idx="2">
                  <c:v>13776.44</c:v>
                </c:pt>
                <c:pt idx="3">
                  <c:v>14130.08</c:v>
                </c:pt>
                <c:pt idx="4">
                  <c:v>14426.8</c:v>
                </c:pt>
                <c:pt idx="5">
                  <c:v>14648.35</c:v>
                </c:pt>
                <c:pt idx="6">
                  <c:v>14878.88</c:v>
                </c:pt>
                <c:pt idx="7">
                  <c:v>15179.69</c:v>
                </c:pt>
                <c:pt idx="8">
                  <c:v>15448.76</c:v>
                </c:pt>
                <c:pt idx="9">
                  <c:v>15739.49</c:v>
                </c:pt>
                <c:pt idx="10">
                  <c:v>16288.12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'H33003'!$A$5:$A$15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'H33003'!$D$5:$D$15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'H33003'!$A$5:$A$15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'H33003'!$E$5:$E$15</c:f>
              <c:numCache>
                <c:ptCount val="11"/>
                <c:pt idx="0">
                  <c:v>13954.223981715375</c:v>
                </c:pt>
                <c:pt idx="1">
                  <c:v>14119.866434968852</c:v>
                </c:pt>
                <c:pt idx="2">
                  <c:v>13776.44</c:v>
                </c:pt>
                <c:pt idx="3">
                  <c:v>14746.762533149562</c:v>
                </c:pt>
                <c:pt idx="4">
                  <c:v>14463.05</c:v>
                </c:pt>
                <c:pt idx="5">
                  <c:v>14648.35</c:v>
                </c:pt>
                <c:pt idx="6">
                  <c:v>14878.88</c:v>
                </c:pt>
                <c:pt idx="7">
                  <c:v>15179.69</c:v>
                </c:pt>
                <c:pt idx="8">
                  <c:v>15448.76</c:v>
                </c:pt>
                <c:pt idx="9">
                  <c:v>16473.86</c:v>
                </c:pt>
                <c:pt idx="10">
                  <c:v>17046.27</c:v>
                </c:pt>
              </c:numCache>
            </c:numRef>
          </c:val>
          <c:smooth val="0"/>
        </c:ser>
        <c:marker val="1"/>
        <c:axId val="11388663"/>
        <c:axId val="35389104"/>
      </c:lineChart>
      <c:catAx>
        <c:axId val="1138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8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'H34001'!$C$5:$C$15</c:f>
              <c:numCache>
                <c:ptCount val="11"/>
                <c:pt idx="0">
                  <c:v>21845.071504887223</c:v>
                </c:pt>
                <c:pt idx="1">
                  <c:v>22138.279965989008</c:v>
                </c:pt>
                <c:pt idx="2">
                  <c:v>22454.640858157803</c:v>
                </c:pt>
                <c:pt idx="3">
                  <c:v>22957.58</c:v>
                </c:pt>
                <c:pt idx="4">
                  <c:v>23640.02</c:v>
                </c:pt>
                <c:pt idx="5">
                  <c:v>23959.92</c:v>
                </c:pt>
                <c:pt idx="6">
                  <c:v>24222.94</c:v>
                </c:pt>
                <c:pt idx="7">
                  <c:v>24834.28</c:v>
                </c:pt>
                <c:pt idx="8">
                  <c:v>25164.84</c:v>
                </c:pt>
                <c:pt idx="9">
                  <c:v>25651.78</c:v>
                </c:pt>
                <c:pt idx="10">
                  <c:v>26648.78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'H34001'!$D$5:$D$15</c:f>
              <c:numCache>
                <c:ptCount val="11"/>
                <c:pt idx="0">
                  <c:v>19531.233344653803</c:v>
                </c:pt>
                <c:pt idx="1">
                  <c:v>20507.785096145504</c:v>
                </c:pt>
                <c:pt idx="2">
                  <c:v>20521.196135835737</c:v>
                </c:pt>
                <c:pt idx="3">
                  <c:v>16072.71443105544</c:v>
                </c:pt>
                <c:pt idx="4">
                  <c:v>15395.74</c:v>
                </c:pt>
                <c:pt idx="5">
                  <c:v>15127.26</c:v>
                </c:pt>
                <c:pt idx="6">
                  <c:v>16554.09</c:v>
                </c:pt>
                <c:pt idx="7">
                  <c:v>18951.4</c:v>
                </c:pt>
                <c:pt idx="8">
                  <c:v>18849.11</c:v>
                </c:pt>
                <c:pt idx="9">
                  <c:v>19233.92</c:v>
                </c:pt>
                <c:pt idx="10">
                  <c:v>20195.62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'H34001'!$E$5:$E$15</c:f>
              <c:numCache>
                <c:ptCount val="11"/>
                <c:pt idx="0">
                  <c:v>41376.304849541026</c:v>
                </c:pt>
                <c:pt idx="1">
                  <c:v>42646.06506213451</c:v>
                </c:pt>
                <c:pt idx="2">
                  <c:v>42975.83699399354</c:v>
                </c:pt>
                <c:pt idx="3">
                  <c:v>39030.294431055445</c:v>
                </c:pt>
                <c:pt idx="4">
                  <c:v>39035.76</c:v>
                </c:pt>
                <c:pt idx="5">
                  <c:v>39087.18</c:v>
                </c:pt>
                <c:pt idx="6">
                  <c:v>40777.03</c:v>
                </c:pt>
                <c:pt idx="7">
                  <c:v>43785.68</c:v>
                </c:pt>
                <c:pt idx="8">
                  <c:v>44013.95</c:v>
                </c:pt>
                <c:pt idx="9">
                  <c:v>44885.7</c:v>
                </c:pt>
                <c:pt idx="10">
                  <c:v>46844.399999999994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 = 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'H35002'!$A$12:$A$15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'H35002'!$C$12:$C$15</c:f>
              <c:numCache>
                <c:ptCount val="4"/>
                <c:pt idx="0">
                  <c:v>254190.75</c:v>
                </c:pt>
                <c:pt idx="1">
                  <c:v>254190.76</c:v>
                </c:pt>
                <c:pt idx="2">
                  <c:v>254190.76</c:v>
                </c:pt>
                <c:pt idx="3">
                  <c:v>267591.76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3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'H35001'!$C$5:$C$15</c:f>
              <c:numCache>
                <c:ptCount val="11"/>
                <c:pt idx="4">
                  <c:v>33376.38</c:v>
                </c:pt>
                <c:pt idx="5">
                  <c:v>68789.78</c:v>
                </c:pt>
                <c:pt idx="6">
                  <c:v>69889.52</c:v>
                </c:pt>
                <c:pt idx="7">
                  <c:v>71014.24</c:v>
                </c:pt>
                <c:pt idx="8">
                  <c:v>72663.86</c:v>
                </c:pt>
                <c:pt idx="9">
                  <c:v>73882.32</c:v>
                </c:pt>
                <c:pt idx="10">
                  <c:v>78637.42</c:v>
                </c:pt>
              </c:numCache>
            </c:numRef>
          </c:val>
          <c:smooth val="0"/>
        </c:ser>
        <c:ser>
          <c:idx val="0"/>
          <c:order val="1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'H35001'!$D$5:$D$15</c:f>
              <c:numCache>
                <c:ptCount val="11"/>
                <c:pt idx="4">
                  <c:v>1239.47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'H35001'!$E$5:$E$15</c:f>
              <c:numCache>
                <c:ptCount val="11"/>
                <c:pt idx="4">
                  <c:v>34764.97</c:v>
                </c:pt>
                <c:pt idx="5">
                  <c:v>68789.78</c:v>
                </c:pt>
                <c:pt idx="6">
                  <c:v>69889.52</c:v>
                </c:pt>
                <c:pt idx="7">
                  <c:v>71014.24</c:v>
                </c:pt>
                <c:pt idx="8">
                  <c:v>72663.86</c:v>
                </c:pt>
                <c:pt idx="9">
                  <c:v>73882.32</c:v>
                </c:pt>
                <c:pt idx="10">
                  <c:v>78637.42</c:v>
                </c:pt>
              </c:numCache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'H21020'!$A$12:$A$15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'H21020'!$B$12:$B$15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'H21020'!$A$12:$A$15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'H21020'!$C$12:$C$15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lasten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'H21020'!$A$12:$A$15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'H21020'!$D$12:$D$15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'H21020'!$A$12:$A$15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'H21020'!$E$12:$E$15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'H36001'!$C$5:$C$15</c:f>
              <c:numCache>
                <c:ptCount val="11"/>
                <c:pt idx="0">
                  <c:v>16372.02</c:v>
                </c:pt>
                <c:pt idx="1">
                  <c:v>16770.4</c:v>
                </c:pt>
                <c:pt idx="2">
                  <c:v>16974.4</c:v>
                </c:pt>
                <c:pt idx="3">
                  <c:v>17175.2</c:v>
                </c:pt>
                <c:pt idx="4">
                  <c:v>17535.8</c:v>
                </c:pt>
                <c:pt idx="5">
                  <c:v>18104.04</c:v>
                </c:pt>
                <c:pt idx="6">
                  <c:v>18270.68</c:v>
                </c:pt>
                <c:pt idx="7">
                  <c:v>18556.16</c:v>
                </c:pt>
                <c:pt idx="8">
                  <c:v>19265.08</c:v>
                </c:pt>
                <c:pt idx="9">
                  <c:v>19658.46</c:v>
                </c:pt>
                <c:pt idx="10">
                  <c:v>20207.56</c:v>
                </c:pt>
              </c:numCache>
            </c:numRef>
          </c:val>
          <c:smooth val="0"/>
        </c:ser>
        <c:ser>
          <c:idx val="0"/>
          <c:order val="1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'H36001'!$B$5:$B$15</c:f>
              <c:numCache>
                <c:ptCount val="11"/>
                <c:pt idx="0">
                  <c:v>49.529126249693235</c:v>
                </c:pt>
                <c:pt idx="1">
                  <c:v>49.553915602170555</c:v>
                </c:pt>
                <c:pt idx="2">
                  <c:v>49.57870495464788</c:v>
                </c:pt>
                <c:pt idx="3">
                  <c:v>1678.36</c:v>
                </c:pt>
                <c:pt idx="4">
                  <c:v>1808.44</c:v>
                </c:pt>
                <c:pt idx="5">
                  <c:v>1837.91</c:v>
                </c:pt>
                <c:pt idx="6">
                  <c:v>1876.31</c:v>
                </c:pt>
                <c:pt idx="7">
                  <c:v>1915.51</c:v>
                </c:pt>
                <c:pt idx="8">
                  <c:v>1968.11</c:v>
                </c:pt>
                <c:pt idx="9">
                  <c:v>2004.25</c:v>
                </c:pt>
                <c:pt idx="10">
                  <c:v>2363.41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'H36001'!$E$5:$E$15</c:f>
              <c:numCache>
                <c:ptCount val="11"/>
                <c:pt idx="0">
                  <c:v>16421.549126249694</c:v>
                </c:pt>
                <c:pt idx="1">
                  <c:v>16819.95391560217</c:v>
                </c:pt>
                <c:pt idx="2">
                  <c:v>17023.97870495465</c:v>
                </c:pt>
                <c:pt idx="3">
                  <c:v>18853.56</c:v>
                </c:pt>
                <c:pt idx="4">
                  <c:v>19344.239999999998</c:v>
                </c:pt>
                <c:pt idx="5">
                  <c:v>19941.95</c:v>
                </c:pt>
                <c:pt idx="6">
                  <c:v>20146.99</c:v>
                </c:pt>
                <c:pt idx="7">
                  <c:v>20471.67</c:v>
                </c:pt>
                <c:pt idx="8">
                  <c:v>21233.190000000002</c:v>
                </c:pt>
                <c:pt idx="9">
                  <c:v>21662.71</c:v>
                </c:pt>
                <c:pt idx="10">
                  <c:v>22570.97</c:v>
                </c:pt>
              </c:numCache>
            </c:numRef>
          </c:val>
          <c:smooth val="0"/>
        </c:ser>
        <c:marker val="1"/>
        <c:axId val="58396831"/>
        <c:axId val="55809432"/>
      </c:lineChart>
      <c:catAx>
        <c:axId val="5839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huur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'H38003'!$C$5:$C$15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'H38003'!$B$5:$B$15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totaal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'H34001'!$A$5:$A$15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'H38003'!$E$5:$E$15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522841"/>
        <c:axId val="24270114"/>
      </c:lineChart>
      <c:catAx>
        <c:axId val="32522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22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6"/>
          <c:w val="0.7405"/>
          <c:h val="0.7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'H21009'!$A$7:$A$15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'H21009'!$B$7:$B$15</c:f>
              <c:numCache>
                <c:ptCount val="9"/>
                <c:pt idx="0">
                  <c:v>73088.04</c:v>
                </c:pt>
                <c:pt idx="1">
                  <c:v>74583.5</c:v>
                </c:pt>
                <c:pt idx="2">
                  <c:v>86821.55</c:v>
                </c:pt>
                <c:pt idx="3">
                  <c:v>248200.95</c:v>
                </c:pt>
                <c:pt idx="4">
                  <c:v>642236.71</c:v>
                </c:pt>
                <c:pt idx="5">
                  <c:v>782206.03</c:v>
                </c:pt>
                <c:pt idx="6">
                  <c:v>650501.22</c:v>
                </c:pt>
                <c:pt idx="7">
                  <c:v>823280.99</c:v>
                </c:pt>
                <c:pt idx="8">
                  <c:v>711648.08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'H21009'!$A$7:$A$15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'H21009'!$C$7:$C$15</c:f>
              <c:numCache>
                <c:ptCount val="9"/>
                <c:pt idx="0">
                  <c:v>638917.5729240776</c:v>
                </c:pt>
                <c:pt idx="1">
                  <c:v>463968.7009635621</c:v>
                </c:pt>
                <c:pt idx="2">
                  <c:v>472972.83</c:v>
                </c:pt>
                <c:pt idx="3">
                  <c:v>863373.11</c:v>
                </c:pt>
                <c:pt idx="4">
                  <c:v>926324.77</c:v>
                </c:pt>
                <c:pt idx="5">
                  <c:v>4540786.41</c:v>
                </c:pt>
                <c:pt idx="6">
                  <c:v>4011417.07</c:v>
                </c:pt>
                <c:pt idx="7">
                  <c:v>3840874.1</c:v>
                </c:pt>
                <c:pt idx="8">
                  <c:v>3916072.9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'H21009'!$A$7:$A$15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'H21009'!$D$7:$D$15</c:f>
              <c:numCache>
                <c:ptCount val="9"/>
                <c:pt idx="0">
                  <c:v>29728.630958430735</c:v>
                </c:pt>
                <c:pt idx="1">
                  <c:v>104115.28040476055</c:v>
                </c:pt>
                <c:pt idx="2">
                  <c:v>134559.22</c:v>
                </c:pt>
                <c:pt idx="3">
                  <c:v>286632.71</c:v>
                </c:pt>
                <c:pt idx="4">
                  <c:v>736937.25</c:v>
                </c:pt>
                <c:pt idx="5">
                  <c:v>956474.53</c:v>
                </c:pt>
                <c:pt idx="6">
                  <c:v>739085.23</c:v>
                </c:pt>
                <c:pt idx="7">
                  <c:v>93453</c:v>
                </c:pt>
                <c:pt idx="8">
                  <c:v>171650.46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'H21009'!$A$7:$A$15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'H21009'!$E$7:$E$15</c:f>
              <c:numCache>
                <c:ptCount val="9"/>
                <c:pt idx="0">
                  <c:v>741734.2438825084</c:v>
                </c:pt>
                <c:pt idx="1">
                  <c:v>642667.4813683226</c:v>
                </c:pt>
                <c:pt idx="2">
                  <c:v>694353.6</c:v>
                </c:pt>
                <c:pt idx="3">
                  <c:v>1398206.77</c:v>
                </c:pt>
                <c:pt idx="4">
                  <c:v>2305498.73</c:v>
                </c:pt>
                <c:pt idx="5">
                  <c:v>6279466.970000001</c:v>
                </c:pt>
                <c:pt idx="6">
                  <c:v>5401003.52</c:v>
                </c:pt>
                <c:pt idx="7">
                  <c:v>4757608.09</c:v>
                </c:pt>
                <c:pt idx="8">
                  <c:v>4799371.4399999995</c:v>
                </c:pt>
              </c:numCache>
            </c:numRef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1651788"/>
        <c:crosses val="autoZero"/>
        <c:auto val="1"/>
        <c:lblOffset val="100"/>
        <c:noMultiLvlLbl val="0"/>
      </c:catAx>
      <c:valAx>
        <c:axId val="2165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3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evolutie huurprijs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belastingen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'P21002'!$A$12:$A$15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'P21002'!$E$12:$E$15</c:f>
              <c:numCache>
                <c:ptCount val="4"/>
                <c:pt idx="1">
                  <c:v>1231174.23</c:v>
                </c:pt>
                <c:pt idx="2">
                  <c:v>1253252.04</c:v>
                </c:pt>
                <c:pt idx="3">
                  <c:v>1276019.44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bedrag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48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38100</xdr:rowOff>
    </xdr:from>
    <xdr:to>
      <xdr:col>5</xdr:col>
      <xdr:colOff>209550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57150" y="2724150"/>
        <a:ext cx="5362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266700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2686050"/>
        <a:ext cx="5381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28575</xdr:rowOff>
    </xdr:from>
    <xdr:to>
      <xdr:col>5</xdr:col>
      <xdr:colOff>228600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7150" y="2714625"/>
        <a:ext cx="5381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180975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2686050"/>
        <a:ext cx="5391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190500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2686050"/>
        <a:ext cx="54006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200025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2686050"/>
        <a:ext cx="5410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209550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2686050"/>
        <a:ext cx="54197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2686050"/>
        <a:ext cx="5429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228600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2686050"/>
        <a:ext cx="54387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238125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2686050"/>
        <a:ext cx="5448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828675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2847975"/>
        <a:ext cx="5457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0</xdr:rowOff>
    </xdr:from>
    <xdr:to>
      <xdr:col>5</xdr:col>
      <xdr:colOff>219075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57150" y="2686050"/>
        <a:ext cx="53721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247650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0" y="2686050"/>
        <a:ext cx="5457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190500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2686050"/>
        <a:ext cx="5467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200025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2686050"/>
        <a:ext cx="54768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209550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686050"/>
        <a:ext cx="5486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209550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686050"/>
        <a:ext cx="5486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219075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0" y="2686050"/>
        <a:ext cx="5495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228600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0" y="2686050"/>
        <a:ext cx="5505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485775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2686050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123825</xdr:rowOff>
    </xdr:from>
    <xdr:to>
      <xdr:col>8</xdr:col>
      <xdr:colOff>9525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466725" y="2971800"/>
        <a:ext cx="58959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228600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0" y="2686050"/>
        <a:ext cx="5505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5</xdr:col>
      <xdr:colOff>876300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09600" y="2686050"/>
        <a:ext cx="5381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238125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2686050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247650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2686050"/>
        <a:ext cx="5524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123825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2847975"/>
        <a:ext cx="5534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257175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2686050"/>
        <a:ext cx="5534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590550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2847975"/>
        <a:ext cx="6915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266700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686050"/>
        <a:ext cx="5543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276225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2686050"/>
        <a:ext cx="55530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238125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2686050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247650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2686050"/>
        <a:ext cx="5524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285750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2686050"/>
        <a:ext cx="5562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19050</xdr:rowOff>
    </xdr:from>
    <xdr:to>
      <xdr:col>5</xdr:col>
      <xdr:colOff>200025</xdr:colOff>
      <xdr:row>35</xdr:row>
      <xdr:rowOff>104775</xdr:rowOff>
    </xdr:to>
    <xdr:graphicFrame>
      <xdr:nvGraphicFramePr>
        <xdr:cNvPr id="1" name="Chart 12"/>
        <xdr:cNvGraphicFramePr/>
      </xdr:nvGraphicFramePr>
      <xdr:xfrm>
        <a:off x="57150" y="2705100"/>
        <a:ext cx="51530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257175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2686050"/>
        <a:ext cx="5534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266700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686050"/>
        <a:ext cx="5543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142875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0" y="2847975"/>
        <a:ext cx="54768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276225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2686050"/>
        <a:ext cx="55530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200025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0" y="2847975"/>
        <a:ext cx="5486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152400</xdr:rowOff>
    </xdr:from>
    <xdr:to>
      <xdr:col>18</xdr:col>
      <xdr:colOff>228600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66675" y="2838450"/>
        <a:ext cx="54959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17</xdr:row>
      <xdr:rowOff>9525</xdr:rowOff>
    </xdr:from>
    <xdr:to>
      <xdr:col>9</xdr:col>
      <xdr:colOff>619125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609600" y="2857500"/>
        <a:ext cx="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238125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2686050"/>
        <a:ext cx="5514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228600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2686050"/>
        <a:ext cx="5505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238125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2686050"/>
        <a:ext cx="5514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247650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2686050"/>
        <a:ext cx="5524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180975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2686050"/>
        <a:ext cx="5391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257175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0" y="2686050"/>
        <a:ext cx="5534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238125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2686050"/>
        <a:ext cx="5514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247650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2686050"/>
        <a:ext cx="5524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257175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0" y="2686050"/>
        <a:ext cx="5534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247650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2686050"/>
        <a:ext cx="5524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257175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0" y="2686050"/>
        <a:ext cx="5534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266700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2686050"/>
        <a:ext cx="5543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276225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2686050"/>
        <a:ext cx="55530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285750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2686050"/>
        <a:ext cx="5562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295275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0" y="2686050"/>
        <a:ext cx="5572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171450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2686050"/>
        <a:ext cx="5381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304800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0" y="2686050"/>
        <a:ext cx="5581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314325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2686050"/>
        <a:ext cx="5591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85725</xdr:rowOff>
    </xdr:from>
    <xdr:to>
      <xdr:col>5</xdr:col>
      <xdr:colOff>371475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7625" y="2771775"/>
        <a:ext cx="5600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333375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2686050"/>
        <a:ext cx="5610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2686050"/>
        <a:ext cx="56197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352425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268605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361950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0" y="2686050"/>
        <a:ext cx="5638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371475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0" y="2686050"/>
        <a:ext cx="56483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371475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0" y="2686050"/>
        <a:ext cx="56483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371475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2847975"/>
        <a:ext cx="56483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152400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2686050"/>
        <a:ext cx="5362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381000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2847975"/>
        <a:ext cx="56578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161925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2686050"/>
        <a:ext cx="53721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171450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2686050"/>
        <a:ext cx="5381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3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4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4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4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4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4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5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5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5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3">
      <selection activeCell="C15" sqref="C5:C15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ht="20.25">
      <c r="A1" s="3" t="s">
        <v>5</v>
      </c>
    </row>
    <row r="2" ht="12.75">
      <c r="D2" s="1"/>
    </row>
    <row r="3" spans="2:5" ht="12.75">
      <c r="B3" s="2" t="s">
        <v>2</v>
      </c>
      <c r="C3" s="2" t="s">
        <v>0</v>
      </c>
      <c r="D3" s="2" t="s">
        <v>9</v>
      </c>
      <c r="E3" s="2" t="s">
        <v>10</v>
      </c>
    </row>
    <row r="4" spans="1:5" ht="12.75">
      <c r="A4" s="5"/>
      <c r="E4" s="6"/>
    </row>
    <row r="5" spans="1:5" ht="12.75">
      <c r="A5" s="5">
        <v>1998</v>
      </c>
      <c r="B5" s="11">
        <v>39776.20172583472</v>
      </c>
      <c r="C5" s="2">
        <v>349519.9541892766</v>
      </c>
      <c r="D5" s="2">
        <v>2788.0584731246236</v>
      </c>
      <c r="E5" s="6">
        <f>B5+C5+D5</f>
        <v>392084.21438823594</v>
      </c>
    </row>
    <row r="6" spans="1:5" ht="12.75">
      <c r="A6" s="5">
        <v>1999</v>
      </c>
      <c r="B6" s="2">
        <v>40892.367110478706</v>
      </c>
      <c r="C6" s="2">
        <v>356510.35327306215</v>
      </c>
      <c r="D6" s="2">
        <v>2905.188163579979</v>
      </c>
      <c r="E6" s="6">
        <f aca="true" t="shared" si="0" ref="E6:E15">B6+C6+D6</f>
        <v>400307.9085471208</v>
      </c>
    </row>
    <row r="7" spans="1:5" ht="12.75">
      <c r="A7" s="5">
        <v>2000</v>
      </c>
      <c r="B7" s="2">
        <v>42252.78198508176</v>
      </c>
      <c r="C7" s="10">
        <v>374991.6583828914</v>
      </c>
      <c r="D7" s="2">
        <v>1219.7105099417697</v>
      </c>
      <c r="E7" s="6">
        <f t="shared" si="0"/>
        <v>418464.150877915</v>
      </c>
    </row>
    <row r="8" spans="1:5" ht="12.75">
      <c r="A8" s="9">
        <v>2001</v>
      </c>
      <c r="B8" s="10">
        <v>41237.65800113535</v>
      </c>
      <c r="C8" s="10">
        <v>393842.59752751</v>
      </c>
      <c r="D8" s="10">
        <v>1655.4825371406473</v>
      </c>
      <c r="E8" s="6">
        <f t="shared" si="0"/>
        <v>436735.738065786</v>
      </c>
    </row>
    <row r="9" spans="1:5" ht="12.75">
      <c r="A9" s="9">
        <v>2002</v>
      </c>
      <c r="B9" s="10">
        <v>44510.35</v>
      </c>
      <c r="C9" s="8">
        <v>401719.46852012526</v>
      </c>
      <c r="D9" s="10">
        <v>3092.8</v>
      </c>
      <c r="E9" s="6">
        <f t="shared" si="0"/>
        <v>449322.6185201252</v>
      </c>
    </row>
    <row r="10" spans="1:5" ht="12.75">
      <c r="A10" s="9">
        <v>2003</v>
      </c>
      <c r="B10" s="8">
        <v>45332.56</v>
      </c>
      <c r="C10" s="2">
        <v>409753.87</v>
      </c>
      <c r="D10" s="8">
        <v>3132.89</v>
      </c>
      <c r="E10" s="6">
        <f t="shared" si="0"/>
        <v>458219.32</v>
      </c>
    </row>
    <row r="11" spans="1:5" ht="12.75">
      <c r="A11" s="9">
        <v>2004</v>
      </c>
      <c r="B11" s="10">
        <v>46059.29</v>
      </c>
      <c r="C11" s="2">
        <v>356841.58</v>
      </c>
      <c r="D11" s="2">
        <v>3207.35</v>
      </c>
      <c r="E11" s="6">
        <f t="shared" si="0"/>
        <v>406108.22</v>
      </c>
    </row>
    <row r="12" spans="1:5" ht="12.75">
      <c r="A12" s="5">
        <v>2005</v>
      </c>
      <c r="B12" s="2">
        <v>46965.97</v>
      </c>
      <c r="C12" s="2">
        <v>363978.41</v>
      </c>
      <c r="D12" s="2">
        <v>3379.17</v>
      </c>
      <c r="E12" s="6">
        <f t="shared" si="0"/>
        <v>414323.55</v>
      </c>
    </row>
    <row r="13" spans="1:5" ht="12.75">
      <c r="A13" s="5">
        <v>2006</v>
      </c>
      <c r="B13" s="6">
        <v>48193.42</v>
      </c>
      <c r="C13" s="6">
        <v>379854.91</v>
      </c>
      <c r="D13" s="6">
        <v>2633</v>
      </c>
      <c r="E13" s="6">
        <f t="shared" si="0"/>
        <v>430681.32999999996</v>
      </c>
    </row>
    <row r="14" spans="1:5" ht="12.75">
      <c r="A14" s="5">
        <v>2007</v>
      </c>
      <c r="B14" s="6">
        <v>51977.28</v>
      </c>
      <c r="C14" s="6">
        <v>396048.94</v>
      </c>
      <c r="D14" s="8">
        <v>2969.09</v>
      </c>
      <c r="E14" s="6">
        <f t="shared" si="0"/>
        <v>450995.31</v>
      </c>
    </row>
    <row r="15" spans="1:5" ht="12.75">
      <c r="A15" s="5">
        <v>2008</v>
      </c>
      <c r="B15" s="6">
        <v>52918.97</v>
      </c>
      <c r="C15" s="8">
        <v>403969.92</v>
      </c>
      <c r="D15" s="6">
        <v>3046.99</v>
      </c>
      <c r="E15" s="6">
        <f t="shared" si="0"/>
        <v>459935.88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4">
      <selection activeCell="D41" sqref="D41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5" width="16.57421875" style="2" customWidth="1"/>
    <col min="6" max="6" width="18.00390625" style="2" customWidth="1"/>
    <col min="7" max="7" width="16.28125" style="2" customWidth="1"/>
    <col min="8" max="8" width="14.7109375" style="2" customWidth="1"/>
    <col min="9" max="9" width="11.421875" style="2" customWidth="1"/>
    <col min="10" max="10" width="13.7109375" style="2" customWidth="1"/>
    <col min="11" max="11" width="11.7109375" style="4" bestFit="1" customWidth="1"/>
    <col min="12" max="13" width="9.140625" style="2" customWidth="1"/>
    <col min="14" max="14" width="12.28125" style="2" bestFit="1" customWidth="1"/>
    <col min="15" max="15" width="11.7109375" style="2" bestFit="1" customWidth="1"/>
    <col min="16" max="16384" width="9.140625" style="2" customWidth="1"/>
  </cols>
  <sheetData>
    <row r="1" spans="1:12" ht="20.25">
      <c r="A1" s="3" t="s">
        <v>18</v>
      </c>
      <c r="G1" s="10"/>
      <c r="H1" s="10"/>
      <c r="I1" s="10"/>
      <c r="J1" s="10"/>
      <c r="K1" s="18"/>
      <c r="L1" s="10"/>
    </row>
    <row r="2" spans="4:12" ht="12.75">
      <c r="D2" s="1"/>
      <c r="E2" s="1"/>
      <c r="G2" s="10"/>
      <c r="H2" s="10"/>
      <c r="I2" s="10"/>
      <c r="J2" s="10"/>
      <c r="K2" s="18"/>
      <c r="L2" s="10"/>
    </row>
    <row r="3" spans="2:12" ht="12.75">
      <c r="B3" s="2" t="s">
        <v>2</v>
      </c>
      <c r="C3" s="2" t="s">
        <v>0</v>
      </c>
      <c r="D3" s="2" t="s">
        <v>1</v>
      </c>
      <c r="E3" s="2" t="s">
        <v>4</v>
      </c>
      <c r="F3" s="2" t="s">
        <v>10</v>
      </c>
      <c r="G3" s="10"/>
      <c r="H3" s="10"/>
      <c r="I3" s="10"/>
      <c r="J3" s="10"/>
      <c r="K3" s="18"/>
      <c r="L3" s="10"/>
    </row>
    <row r="4" spans="1:12" ht="12.75">
      <c r="A4" s="5"/>
      <c r="F4" s="6"/>
      <c r="G4" s="10"/>
      <c r="H4" s="10"/>
      <c r="I4" s="10"/>
      <c r="J4" s="10"/>
      <c r="K4" s="18"/>
      <c r="L4" s="10"/>
    </row>
    <row r="5" spans="1:12" ht="12.75">
      <c r="A5" s="5">
        <v>1998</v>
      </c>
      <c r="B5" s="11"/>
      <c r="C5" s="14"/>
      <c r="F5" s="6"/>
      <c r="G5" s="10"/>
      <c r="H5" s="10"/>
      <c r="I5" s="10"/>
      <c r="J5" s="10"/>
      <c r="K5" s="18"/>
      <c r="L5" s="10"/>
    </row>
    <row r="6" spans="1:12" ht="12.75">
      <c r="A6" s="5">
        <v>1999</v>
      </c>
      <c r="C6" s="14"/>
      <c r="D6" s="15"/>
      <c r="E6" s="15"/>
      <c r="F6" s="6"/>
      <c r="G6" s="10"/>
      <c r="H6" s="10"/>
      <c r="I6" s="10"/>
      <c r="J6" s="10"/>
      <c r="K6" s="18"/>
      <c r="L6" s="10"/>
    </row>
    <row r="7" spans="1:12" ht="12.75">
      <c r="A7" s="5">
        <v>2000</v>
      </c>
      <c r="B7" s="21"/>
      <c r="C7" s="21"/>
      <c r="D7" s="15"/>
      <c r="E7" s="15"/>
      <c r="F7" s="6"/>
      <c r="G7" s="10"/>
      <c r="H7" s="10"/>
      <c r="I7" s="10"/>
      <c r="J7" s="10"/>
      <c r="K7" s="18"/>
      <c r="L7" s="10"/>
    </row>
    <row r="8" spans="1:12" ht="12.75">
      <c r="A8" s="9">
        <v>2001</v>
      </c>
      <c r="B8" s="21"/>
      <c r="C8" s="8"/>
      <c r="F8" s="6"/>
      <c r="G8" s="10"/>
      <c r="H8" s="10"/>
      <c r="I8" s="10"/>
      <c r="J8" s="10"/>
      <c r="K8" s="18"/>
      <c r="L8" s="10"/>
    </row>
    <row r="9" spans="1:12" ht="12.75">
      <c r="A9" s="9">
        <v>2002</v>
      </c>
      <c r="B9" s="21"/>
      <c r="C9" s="21"/>
      <c r="D9" s="15"/>
      <c r="E9" s="15"/>
      <c r="F9" s="6"/>
      <c r="G9" s="10"/>
      <c r="H9" s="19"/>
      <c r="I9" s="10"/>
      <c r="J9" s="10"/>
      <c r="K9" s="18"/>
      <c r="L9" s="10"/>
    </row>
    <row r="10" spans="1:12" ht="12.75">
      <c r="A10" s="9">
        <v>2003</v>
      </c>
      <c r="B10" s="21"/>
      <c r="C10" s="21"/>
      <c r="D10" s="15"/>
      <c r="E10" s="15"/>
      <c r="F10" s="6"/>
      <c r="G10" s="10"/>
      <c r="H10" s="10"/>
      <c r="I10" s="10"/>
      <c r="J10" s="10"/>
      <c r="K10" s="18"/>
      <c r="L10" s="10"/>
    </row>
    <row r="11" spans="1:12" ht="12.75">
      <c r="A11" s="9">
        <v>2004</v>
      </c>
      <c r="B11" s="14"/>
      <c r="C11" s="14"/>
      <c r="D11" s="15"/>
      <c r="E11" s="15"/>
      <c r="F11" s="6"/>
      <c r="G11" s="10"/>
      <c r="H11" s="10"/>
      <c r="I11" s="10"/>
      <c r="J11" s="10"/>
      <c r="K11" s="18"/>
      <c r="L11" s="10"/>
    </row>
    <row r="12" spans="1:12" ht="12.75">
      <c r="A12" s="5">
        <v>2005</v>
      </c>
      <c r="B12" s="14"/>
      <c r="C12" s="14"/>
      <c r="D12" s="15"/>
      <c r="E12" s="15"/>
      <c r="F12" s="6"/>
      <c r="G12" s="10"/>
      <c r="H12" s="10"/>
      <c r="I12" s="10"/>
      <c r="J12" s="10"/>
      <c r="K12" s="20"/>
      <c r="L12" s="10"/>
    </row>
    <row r="13" spans="1:12" ht="12.75">
      <c r="A13" s="5">
        <v>2006</v>
      </c>
      <c r="B13" s="14"/>
      <c r="C13" s="14"/>
      <c r="D13" s="15"/>
      <c r="E13" s="15"/>
      <c r="F13" s="6"/>
      <c r="G13" s="10"/>
      <c r="H13" s="10"/>
      <c r="I13" s="10"/>
      <c r="J13" s="10"/>
      <c r="K13" s="18"/>
      <c r="L13" s="10"/>
    </row>
    <row r="14" spans="1:12" ht="12.75">
      <c r="A14" s="5">
        <v>2007</v>
      </c>
      <c r="B14" s="14">
        <v>318168</v>
      </c>
      <c r="C14" s="14">
        <f>3947308.89+318835.74</f>
        <v>4266144.63</v>
      </c>
      <c r="D14" s="15">
        <v>982520</v>
      </c>
      <c r="E14" s="22">
        <v>927040.575</v>
      </c>
      <c r="F14" s="6">
        <f>B14+C14+D14+E14</f>
        <v>6493873.205</v>
      </c>
      <c r="G14" s="10"/>
      <c r="H14" s="10"/>
      <c r="I14" s="10"/>
      <c r="J14" s="10"/>
      <c r="K14" s="18"/>
      <c r="L14" s="10"/>
    </row>
    <row r="15" spans="1:12" ht="12.75">
      <c r="A15" s="5">
        <v>2008</v>
      </c>
      <c r="B15" s="14">
        <v>1277602.83</v>
      </c>
      <c r="C15" s="14">
        <f>5402208.52+436352.28</f>
        <v>5838560.8</v>
      </c>
      <c r="D15" s="15">
        <v>982520</v>
      </c>
      <c r="E15" s="22">
        <v>954855.4349999999</v>
      </c>
      <c r="F15" s="6">
        <f>B15+C15+D15+E15</f>
        <v>9053539.065</v>
      </c>
      <c r="G15" s="10"/>
      <c r="H15" s="10"/>
      <c r="I15" s="10"/>
      <c r="J15" s="10"/>
      <c r="K15" s="18"/>
      <c r="L15" s="10"/>
    </row>
    <row r="16" spans="7:12" ht="12.75">
      <c r="G16" s="10"/>
      <c r="H16" s="10"/>
      <c r="I16" s="10"/>
      <c r="J16" s="10"/>
      <c r="K16" s="18"/>
      <c r="L16" s="10"/>
    </row>
    <row r="17" spans="7:12" ht="12.75">
      <c r="G17" s="10"/>
      <c r="H17" s="10"/>
      <c r="I17" s="10"/>
      <c r="J17" s="10"/>
      <c r="K17" s="18"/>
      <c r="L17" s="10"/>
    </row>
  </sheetData>
  <printOptions/>
  <pageMargins left="0.66" right="0.49" top="1" bottom="1" header="0.5" footer="0.5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3">
      <selection activeCell="A39" sqref="A39:A44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19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1"/>
      <c r="C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C6" s="14"/>
      <c r="D6" s="15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1"/>
      <c r="C7" s="21"/>
      <c r="D7" s="15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1"/>
      <c r="C8" s="8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21"/>
      <c r="C9" s="21"/>
      <c r="D9" s="15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1"/>
      <c r="C10" s="21"/>
      <c r="D10" s="15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14"/>
      <c r="C11" s="14"/>
      <c r="D11" s="15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14"/>
      <c r="C12" s="14">
        <v>722334.54</v>
      </c>
      <c r="D12" s="15">
        <v>359500</v>
      </c>
      <c r="E12" s="6">
        <f>B12+C12+D12</f>
        <v>1081834.54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14">
        <v>171698.93</v>
      </c>
      <c r="C13" s="14">
        <v>977046.14</v>
      </c>
      <c r="D13" s="15">
        <v>334500</v>
      </c>
      <c r="E13" s="6">
        <f>B13+C13+D13</f>
        <v>1483245.07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14">
        <v>32269.04</v>
      </c>
      <c r="C14" s="14">
        <v>996122.15</v>
      </c>
      <c r="D14" s="15">
        <v>198559.48</v>
      </c>
      <c r="E14" s="6">
        <f>B14+C14+D14</f>
        <v>1226950.6700000002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4"/>
      <c r="C15" s="14">
        <v>1022826.09</v>
      </c>
      <c r="D15" s="15">
        <v>169000</v>
      </c>
      <c r="E15" s="6">
        <f>B15+C15+D15</f>
        <v>1191826.0899999999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38" sqref="A38:A4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20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1"/>
      <c r="C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C6" s="14"/>
      <c r="D6" s="15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1"/>
      <c r="C7" s="21"/>
      <c r="D7" s="15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1"/>
      <c r="C8" s="8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21"/>
      <c r="C9" s="21"/>
      <c r="D9" s="15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1"/>
      <c r="C10" s="21"/>
      <c r="D10" s="15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14"/>
      <c r="C11" s="14"/>
      <c r="D11" s="15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3">
        <v>23648.33</v>
      </c>
      <c r="C12" s="14">
        <v>0</v>
      </c>
      <c r="D12" s="15">
        <v>36500</v>
      </c>
      <c r="E12" s="6">
        <f>B12+C12+D12</f>
        <v>60148.33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3">
        <v>41227.34</v>
      </c>
      <c r="C13" s="14">
        <v>352865.97</v>
      </c>
      <c r="D13" s="15">
        <v>63491.8</v>
      </c>
      <c r="E13" s="6">
        <f>B13+C13+D13</f>
        <v>457585.1099999999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3">
        <v>40029.63</v>
      </c>
      <c r="C14" s="14">
        <v>364994.76</v>
      </c>
      <c r="D14" s="15"/>
      <c r="E14" s="6">
        <f>B14+C14+D14</f>
        <v>405024.39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3">
        <v>31294.49</v>
      </c>
      <c r="C15" s="14">
        <v>380088.87</v>
      </c>
      <c r="D15" s="15"/>
      <c r="E15" s="6">
        <f>B15+C15+D15</f>
        <v>411383.36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A39" sqref="A39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21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1"/>
      <c r="C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C6" s="14"/>
      <c r="D6" s="15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15">
        <v>2100.5533333333333</v>
      </c>
      <c r="C7" s="21"/>
      <c r="D7" s="15"/>
      <c r="E7" s="6">
        <f aca="true" t="shared" si="0" ref="E7:E15">B7+C7+D7</f>
        <v>2100.5533333333333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15">
        <v>2100.5533333333333</v>
      </c>
      <c r="C8" s="14">
        <v>47611.050101760295</v>
      </c>
      <c r="D8" s="12">
        <f>C8/40.3399</f>
        <v>1180.2471027880658</v>
      </c>
      <c r="E8" s="6">
        <f t="shared" si="0"/>
        <v>50891.85053788169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15">
        <v>2100.5533333333333</v>
      </c>
      <c r="C9" s="14">
        <v>82261.51</v>
      </c>
      <c r="E9" s="6">
        <f t="shared" si="0"/>
        <v>84362.06333333332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1"/>
      <c r="C10" s="14">
        <v>83511.67</v>
      </c>
      <c r="E10" s="6">
        <f t="shared" si="0"/>
        <v>83511.67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3">
        <v>6739.88</v>
      </c>
      <c r="C11" s="14">
        <v>84876.73</v>
      </c>
      <c r="D11" s="12">
        <v>6805.78</v>
      </c>
      <c r="E11" s="6">
        <f t="shared" si="0"/>
        <v>98422.39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3">
        <v>6301.66</v>
      </c>
      <c r="C12" s="14">
        <v>86650.18</v>
      </c>
      <c r="D12" s="12">
        <v>6708.06</v>
      </c>
      <c r="E12" s="6">
        <f t="shared" si="0"/>
        <v>99659.9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3">
        <v>6927.29</v>
      </c>
      <c r="C13" s="14">
        <v>88369.94</v>
      </c>
      <c r="D13" s="12">
        <v>9530.1</v>
      </c>
      <c r="E13" s="6">
        <f t="shared" si="0"/>
        <v>104827.33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3">
        <v>7051.93</v>
      </c>
      <c r="C14" s="14">
        <v>89627.6</v>
      </c>
      <c r="D14" s="15"/>
      <c r="E14" s="6">
        <f t="shared" si="0"/>
        <v>96679.53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C15" s="14">
        <v>92678.69</v>
      </c>
      <c r="D15" s="15"/>
      <c r="E15" s="6">
        <f t="shared" si="0"/>
        <v>92678.69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E5" sqref="E5:E1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22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1"/>
      <c r="C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C6" s="14"/>
      <c r="D6" s="15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15"/>
      <c r="C7" s="21"/>
      <c r="D7" s="15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15"/>
      <c r="C8" s="14"/>
      <c r="D8" s="12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15"/>
      <c r="C9" s="14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1"/>
      <c r="C10" s="14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3"/>
      <c r="C11" s="14"/>
      <c r="D11" s="12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3"/>
      <c r="C12" s="14"/>
      <c r="D12" s="12"/>
      <c r="E12" s="6"/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3"/>
      <c r="C13" s="14"/>
      <c r="D13" s="12"/>
      <c r="E13" s="6"/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3"/>
      <c r="C14" s="14">
        <v>24833.333333333336</v>
      </c>
      <c r="D14" s="15"/>
      <c r="E14" s="6">
        <f>B14+C14+D14</f>
        <v>24833.333333333336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6">
        <v>11129.51</v>
      </c>
      <c r="C15" s="14">
        <v>299263.87</v>
      </c>
      <c r="D15" s="15"/>
      <c r="E15" s="6">
        <f>B15+C15+D15</f>
        <v>310393.38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8">
      <selection activeCell="E4" sqref="E4:E1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23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1"/>
      <c r="C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C6" s="14"/>
      <c r="D6" s="15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15"/>
      <c r="C7" s="21"/>
      <c r="D7" s="15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15"/>
      <c r="C8" s="14"/>
      <c r="D8" s="12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15"/>
      <c r="C9" s="14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1"/>
      <c r="C10" s="14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3"/>
      <c r="C11" s="14"/>
      <c r="D11" s="12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3"/>
      <c r="C12" s="14"/>
      <c r="D12" s="12"/>
      <c r="E12" s="6"/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3"/>
      <c r="C13" s="14"/>
      <c r="D13" s="12"/>
      <c r="E13" s="6"/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3"/>
      <c r="C14" s="14">
        <v>182448.97799999994</v>
      </c>
      <c r="D14" s="24">
        <v>10213.83</v>
      </c>
      <c r="E14" s="6">
        <f>B14+C14+D14</f>
        <v>192662.80799999993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6"/>
      <c r="C15" s="14">
        <v>195951.42</v>
      </c>
      <c r="D15" s="24">
        <v>49209.45</v>
      </c>
      <c r="E15" s="6">
        <f>B15+C15+D15</f>
        <v>245160.87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A41" sqref="A41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hidden="1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24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 t="s">
        <v>107</v>
      </c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>
        <v>5109.20949233885</v>
      </c>
      <c r="C5" s="14">
        <v>183134.58883140513</v>
      </c>
      <c r="D5" s="26">
        <v>19579.002426877607</v>
      </c>
      <c r="E5" s="6">
        <f>B5+C5+D5</f>
        <v>207822.8007506216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>
        <v>5158.317199596429</v>
      </c>
      <c r="C6" s="14">
        <v>184775.72005875077</v>
      </c>
      <c r="D6" s="27">
        <v>19768.343501099407</v>
      </c>
      <c r="E6" s="6">
        <f aca="true" t="shared" si="0" ref="E6:E15">B6+C6+D6</f>
        <v>209702.38075944662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>
        <v>5216.125969573549</v>
      </c>
      <c r="C7" s="21">
        <v>187283.9342289396</v>
      </c>
      <c r="D7" s="27">
        <v>19971.789716880805</v>
      </c>
      <c r="E7" s="6">
        <f t="shared" si="0"/>
        <v>212471.84991539392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>
        <v>8011.447722974028</v>
      </c>
      <c r="C8" s="14">
        <v>192036.15</v>
      </c>
      <c r="D8" s="25">
        <f>11853.475095377+I8</f>
        <v>15133.365095377</v>
      </c>
      <c r="E8" s="6">
        <f t="shared" si="0"/>
        <v>215180.96281835102</v>
      </c>
      <c r="F8" s="10"/>
      <c r="G8" s="10"/>
      <c r="H8" s="10"/>
      <c r="I8" s="10">
        <v>3279.89</v>
      </c>
      <c r="J8" s="18"/>
      <c r="K8" s="10"/>
    </row>
    <row r="9" spans="1:11" ht="12.75">
      <c r="A9" s="9">
        <v>2002</v>
      </c>
      <c r="B9" s="29">
        <v>8222.9</v>
      </c>
      <c r="C9" s="14">
        <v>197313.18</v>
      </c>
      <c r="D9" s="28">
        <f>55942.46+I9</f>
        <v>60697.89</v>
      </c>
      <c r="E9" s="6">
        <f t="shared" si="0"/>
        <v>266233.97</v>
      </c>
      <c r="F9" s="10"/>
      <c r="G9" s="19"/>
      <c r="H9" s="10"/>
      <c r="I9" s="10">
        <v>4755.43</v>
      </c>
      <c r="J9" s="18"/>
      <c r="K9" s="10"/>
    </row>
    <row r="10" spans="1:11" ht="12.75">
      <c r="A10" s="9">
        <v>2003</v>
      </c>
      <c r="B10" s="29">
        <v>8326.55</v>
      </c>
      <c r="C10" s="14">
        <v>199002.69</v>
      </c>
      <c r="D10" s="28">
        <f>19638.37+I10</f>
        <v>22553.98</v>
      </c>
      <c r="E10" s="6">
        <f t="shared" si="0"/>
        <v>229883.22</v>
      </c>
      <c r="F10" s="10"/>
      <c r="G10" s="10"/>
      <c r="H10" s="10"/>
      <c r="I10" s="10">
        <v>2915.61</v>
      </c>
      <c r="J10" s="18"/>
      <c r="K10" s="10"/>
    </row>
    <row r="11" spans="1:11" ht="12.75">
      <c r="A11" s="9">
        <v>2004</v>
      </c>
      <c r="B11" s="29">
        <v>7862.9</v>
      </c>
      <c r="C11" s="14">
        <v>202374.28</v>
      </c>
      <c r="D11" s="25">
        <f>19459.37+I11</f>
        <v>20567.739999999998</v>
      </c>
      <c r="E11" s="6">
        <f t="shared" si="0"/>
        <v>230804.91999999998</v>
      </c>
      <c r="F11" s="10"/>
      <c r="G11" s="10"/>
      <c r="H11" s="10"/>
      <c r="I11" s="10">
        <v>1108.37</v>
      </c>
      <c r="J11" s="18"/>
      <c r="K11" s="10"/>
    </row>
    <row r="12" spans="1:11" ht="12.75">
      <c r="A12" s="5">
        <v>2005</v>
      </c>
      <c r="B12" s="29">
        <v>8027.63</v>
      </c>
      <c r="C12" s="14">
        <v>205917.07</v>
      </c>
      <c r="D12" s="25">
        <f>19297.15+I12</f>
        <v>23221.100000000002</v>
      </c>
      <c r="E12" s="6">
        <f t="shared" si="0"/>
        <v>237165.80000000002</v>
      </c>
      <c r="F12" s="10"/>
      <c r="G12" s="10"/>
      <c r="H12" s="10"/>
      <c r="I12" s="10">
        <v>3923.95</v>
      </c>
      <c r="J12" s="20"/>
      <c r="K12" s="10"/>
    </row>
    <row r="13" spans="1:11" ht="12.75">
      <c r="A13" s="5">
        <v>2006</v>
      </c>
      <c r="B13" s="29">
        <v>8251.34</v>
      </c>
      <c r="C13" s="14">
        <v>211022.86</v>
      </c>
      <c r="D13" s="25">
        <f>22734.4+I13</f>
        <v>26094.45</v>
      </c>
      <c r="E13" s="6">
        <f t="shared" si="0"/>
        <v>245368.65</v>
      </c>
      <c r="F13" s="10"/>
      <c r="G13" s="10"/>
      <c r="H13" s="10"/>
      <c r="I13" s="10">
        <v>3360.05</v>
      </c>
      <c r="J13" s="18"/>
      <c r="K13" s="10"/>
    </row>
    <row r="14" spans="1:11" ht="12.75">
      <c r="A14" s="5">
        <v>2007</v>
      </c>
      <c r="B14" s="29">
        <v>8399.41</v>
      </c>
      <c r="C14" s="14">
        <v>214721.95</v>
      </c>
      <c r="D14" s="27">
        <f>19096.17+I14</f>
        <v>22039.829999999998</v>
      </c>
      <c r="E14" s="6">
        <f t="shared" si="0"/>
        <v>245161.19</v>
      </c>
      <c r="F14" s="10"/>
      <c r="G14" s="10"/>
      <c r="H14" s="10"/>
      <c r="I14" s="10">
        <v>2943.66</v>
      </c>
      <c r="J14" s="18"/>
      <c r="K14" s="10"/>
    </row>
    <row r="15" spans="1:11" ht="12.75">
      <c r="A15" s="5">
        <v>2008</v>
      </c>
      <c r="B15" s="29">
        <v>8552.22</v>
      </c>
      <c r="C15" s="14">
        <v>220795.29</v>
      </c>
      <c r="D15" s="27">
        <f>26202.56+I15</f>
        <v>28692.460000000003</v>
      </c>
      <c r="E15" s="6">
        <f t="shared" si="0"/>
        <v>258039.97</v>
      </c>
      <c r="F15" s="10"/>
      <c r="G15" s="10"/>
      <c r="H15" s="10"/>
      <c r="I15" s="10">
        <v>2489.9</v>
      </c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39" sqref="A39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25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>
        <v>2360.194249366012</v>
      </c>
      <c r="C5" s="14">
        <v>47055.66944885832</v>
      </c>
      <c r="D5" s="26"/>
      <c r="E5" s="6">
        <f>B5+C5+D5</f>
        <v>49415.86369822433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>
        <v>2340.0900845069027</v>
      </c>
      <c r="C6" s="14">
        <v>47377.140578856175</v>
      </c>
      <c r="D6" s="27"/>
      <c r="E6" s="6">
        <f aca="true" t="shared" si="0" ref="E6:E15">B6+C6+D6</f>
        <v>49717.23066336308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>
        <v>2440.387804630155</v>
      </c>
      <c r="C7" s="21">
        <v>48136.99226810181</v>
      </c>
      <c r="D7" s="27"/>
      <c r="E7" s="6">
        <f t="shared" si="0"/>
        <v>50577.38007273196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>
        <v>2608.72</v>
      </c>
      <c r="C8" s="14">
        <v>24355.53880897077</v>
      </c>
      <c r="D8" s="25"/>
      <c r="E8" s="6">
        <f t="shared" si="0"/>
        <v>26964.25880897077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29">
        <v>2671.13</v>
      </c>
      <c r="C9" s="14">
        <v>25292.23</v>
      </c>
      <c r="D9" s="28"/>
      <c r="E9" s="6">
        <f t="shared" si="0"/>
        <v>27963.36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>
        <v>2713.86</v>
      </c>
      <c r="C10" s="14">
        <v>25669.79</v>
      </c>
      <c r="D10" s="28"/>
      <c r="E10" s="6">
        <f t="shared" si="0"/>
        <v>28383.65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>
        <v>3092</v>
      </c>
      <c r="C11" s="14">
        <v>26089.38</v>
      </c>
      <c r="D11" s="25"/>
      <c r="E11" s="6">
        <f t="shared" si="0"/>
        <v>29181.38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>
        <v>3151.31</v>
      </c>
      <c r="C12" s="14">
        <v>26634.5</v>
      </c>
      <c r="D12" s="25"/>
      <c r="E12" s="6">
        <f t="shared" si="0"/>
        <v>29785.81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>
        <v>2603.165</v>
      </c>
      <c r="C13" s="14">
        <v>27163.12</v>
      </c>
      <c r="D13" s="25"/>
      <c r="E13" s="6">
        <f t="shared" si="0"/>
        <v>29766.285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>
        <v>2603.165</v>
      </c>
      <c r="C14" s="14">
        <v>27549.7</v>
      </c>
      <c r="D14" s="27"/>
      <c r="E14" s="6">
        <f t="shared" si="0"/>
        <v>30152.865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>
        <v>2509.89</v>
      </c>
      <c r="C15" s="14">
        <v>28487.54</v>
      </c>
      <c r="D15" s="27"/>
      <c r="E15" s="6">
        <f t="shared" si="0"/>
        <v>30997.43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D10" sqref="D10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26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>
        <v>77559.83529954214</v>
      </c>
      <c r="D5" s="26"/>
      <c r="E5" s="6">
        <f>B5+C5+D5</f>
        <v>77559.83529954214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>
        <v>78315.21644823116</v>
      </c>
      <c r="D6" s="27"/>
      <c r="E6" s="6">
        <f aca="true" t="shared" si="0" ref="E6:E15">B6+C6+D6</f>
        <v>78315.21644823116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21">
        <v>79333.89933420757</v>
      </c>
      <c r="D7" s="27"/>
      <c r="E7" s="6">
        <f t="shared" si="0"/>
        <v>79333.89933420757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>
        <v>81566.61</v>
      </c>
      <c r="D8" s="25"/>
      <c r="E8" s="6">
        <f t="shared" si="0"/>
        <v>81566.61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29"/>
      <c r="C9" s="14">
        <v>83167.21</v>
      </c>
      <c r="D9" s="28"/>
      <c r="E9" s="6">
        <f t="shared" si="0"/>
        <v>83167.21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>
        <v>84173.34</v>
      </c>
      <c r="D10" s="28"/>
      <c r="E10" s="6">
        <f t="shared" si="0"/>
        <v>84173.34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14">
        <v>85648.59</v>
      </c>
      <c r="D11" s="25"/>
      <c r="E11" s="6">
        <f t="shared" si="0"/>
        <v>85648.59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14">
        <v>87438.3</v>
      </c>
      <c r="D12" s="25"/>
      <c r="E12" s="6">
        <f t="shared" si="0"/>
        <v>87438.3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14">
        <v>89112.06</v>
      </c>
      <c r="D13" s="25"/>
      <c r="E13" s="6">
        <f t="shared" si="0"/>
        <v>89112.06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14">
        <v>90378.35</v>
      </c>
      <c r="D14" s="27"/>
      <c r="E14" s="6">
        <f t="shared" si="0"/>
        <v>90378.35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14">
        <v>94061.22</v>
      </c>
      <c r="D15" s="27"/>
      <c r="E15" s="6">
        <f t="shared" si="0"/>
        <v>94061.22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22">
      <selection activeCell="F6" sqref="F6:F1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3" width="14.28125" style="2" customWidth="1"/>
    <col min="4" max="4" width="14.00390625" style="2" customWidth="1"/>
    <col min="5" max="5" width="16.57421875" style="2" customWidth="1"/>
    <col min="6" max="6" width="18.00390625" style="2" customWidth="1"/>
    <col min="7" max="7" width="16.28125" style="2" customWidth="1"/>
    <col min="8" max="8" width="14.7109375" style="2" customWidth="1"/>
    <col min="9" max="9" width="11.421875" style="2" customWidth="1"/>
    <col min="10" max="10" width="13.7109375" style="2" customWidth="1"/>
    <col min="11" max="11" width="11.7109375" style="4" bestFit="1" customWidth="1"/>
    <col min="12" max="13" width="9.140625" style="2" customWidth="1"/>
    <col min="14" max="14" width="12.28125" style="2" bestFit="1" customWidth="1"/>
    <col min="15" max="15" width="11.7109375" style="2" bestFit="1" customWidth="1"/>
    <col min="16" max="16384" width="9.140625" style="2" customWidth="1"/>
  </cols>
  <sheetData>
    <row r="1" spans="1:12" ht="20.25">
      <c r="A1" s="3" t="s">
        <v>27</v>
      </c>
      <c r="G1" s="10"/>
      <c r="H1" s="10"/>
      <c r="I1" s="10"/>
      <c r="J1" s="10"/>
      <c r="K1" s="18"/>
      <c r="L1" s="10"/>
    </row>
    <row r="2" spans="3:12" ht="12.75">
      <c r="C2" s="1"/>
      <c r="D2" s="1"/>
      <c r="E2" s="1"/>
      <c r="G2" s="10"/>
      <c r="H2" s="10"/>
      <c r="I2" s="10"/>
      <c r="J2" s="10"/>
      <c r="K2" s="18"/>
      <c r="L2" s="10"/>
    </row>
    <row r="3" spans="2:12" ht="12.75">
      <c r="B3" s="2" t="s">
        <v>28</v>
      </c>
      <c r="C3" s="1" t="s">
        <v>29</v>
      </c>
      <c r="D3" s="1"/>
      <c r="E3" s="1"/>
      <c r="G3" s="10"/>
      <c r="H3" s="10"/>
      <c r="I3" s="10"/>
      <c r="J3" s="10"/>
      <c r="K3" s="18"/>
      <c r="L3" s="10"/>
    </row>
    <row r="4" spans="2:12" ht="12.75">
      <c r="B4" s="2" t="s">
        <v>0</v>
      </c>
      <c r="C4" s="2" t="s">
        <v>0</v>
      </c>
      <c r="D4" s="2" t="s">
        <v>1</v>
      </c>
      <c r="E4" s="2" t="s">
        <v>30</v>
      </c>
      <c r="F4" s="2" t="s">
        <v>10</v>
      </c>
      <c r="G4" s="10"/>
      <c r="H4" s="10"/>
      <c r="I4" s="10"/>
      <c r="J4" s="10"/>
      <c r="K4" s="18"/>
      <c r="L4" s="10"/>
    </row>
    <row r="5" spans="1:12" ht="12.75">
      <c r="A5" s="5"/>
      <c r="F5" s="6"/>
      <c r="G5" s="10"/>
      <c r="H5" s="10"/>
      <c r="I5" s="10"/>
      <c r="J5" s="10"/>
      <c r="K5" s="18"/>
      <c r="L5" s="10"/>
    </row>
    <row r="6" spans="1:12" ht="12.75">
      <c r="A6" s="5">
        <v>1998</v>
      </c>
      <c r="B6" s="14"/>
      <c r="C6" s="26"/>
      <c r="D6" s="26"/>
      <c r="E6" s="26"/>
      <c r="F6" s="6"/>
      <c r="G6" s="10"/>
      <c r="H6" s="10"/>
      <c r="I6" s="10"/>
      <c r="J6" s="10"/>
      <c r="K6" s="18"/>
      <c r="L6" s="10"/>
    </row>
    <row r="7" spans="1:12" ht="12.75">
      <c r="A7" s="5">
        <v>1999</v>
      </c>
      <c r="B7" s="14"/>
      <c r="C7" s="27"/>
      <c r="D7" s="27"/>
      <c r="E7" s="27"/>
      <c r="F7" s="6"/>
      <c r="G7" s="10"/>
      <c r="H7" s="10"/>
      <c r="I7" s="10"/>
      <c r="J7" s="10"/>
      <c r="K7" s="18"/>
      <c r="L7" s="10"/>
    </row>
    <row r="8" spans="1:12" ht="12.75">
      <c r="A8" s="5">
        <v>2000</v>
      </c>
      <c r="B8" s="21"/>
      <c r="C8" s="27"/>
      <c r="D8" s="27"/>
      <c r="E8" s="27"/>
      <c r="F8" s="6"/>
      <c r="G8" s="10"/>
      <c r="H8" s="10"/>
      <c r="I8" s="10"/>
      <c r="J8" s="10"/>
      <c r="K8" s="18"/>
      <c r="L8" s="10"/>
    </row>
    <row r="9" spans="1:12" ht="12.75">
      <c r="A9" s="9">
        <v>2001</v>
      </c>
      <c r="B9" s="14"/>
      <c r="C9" s="25"/>
      <c r="D9" s="25"/>
      <c r="E9" s="25"/>
      <c r="F9" s="6"/>
      <c r="G9" s="10"/>
      <c r="H9" s="10"/>
      <c r="I9" s="10"/>
      <c r="J9" s="10"/>
      <c r="K9" s="18"/>
      <c r="L9" s="10"/>
    </row>
    <row r="10" spans="1:12" ht="12.75">
      <c r="A10" s="9">
        <v>2002</v>
      </c>
      <c r="B10" s="14"/>
      <c r="C10" s="28"/>
      <c r="D10" s="28"/>
      <c r="E10" s="28"/>
      <c r="F10" s="6"/>
      <c r="G10" s="10"/>
      <c r="H10" s="19"/>
      <c r="I10" s="10"/>
      <c r="J10" s="10"/>
      <c r="K10" s="18"/>
      <c r="L10" s="10"/>
    </row>
    <row r="11" spans="1:12" ht="12.75">
      <c r="A11" s="9">
        <v>2003</v>
      </c>
      <c r="B11" s="14"/>
      <c r="C11" s="28"/>
      <c r="D11" s="28"/>
      <c r="E11" s="28"/>
      <c r="F11" s="6"/>
      <c r="G11" s="10"/>
      <c r="H11" s="10"/>
      <c r="I11" s="10"/>
      <c r="J11" s="10"/>
      <c r="K11" s="18"/>
      <c r="L11" s="10"/>
    </row>
    <row r="12" spans="1:12" ht="12.75">
      <c r="A12" s="9">
        <v>2004</v>
      </c>
      <c r="B12" s="14">
        <v>15090</v>
      </c>
      <c r="C12" s="25">
        <v>13200</v>
      </c>
      <c r="D12" s="12">
        <v>306.36</v>
      </c>
      <c r="E12" s="14">
        <v>720</v>
      </c>
      <c r="F12" s="6">
        <f>B12+C12+D12+E12</f>
        <v>29316.36</v>
      </c>
      <c r="G12" s="10"/>
      <c r="H12" s="10"/>
      <c r="I12" s="10"/>
      <c r="J12" s="10"/>
      <c r="K12" s="18"/>
      <c r="L12" s="10"/>
    </row>
    <row r="13" spans="1:12" ht="12.75">
      <c r="A13" s="5">
        <v>2005</v>
      </c>
      <c r="B13" s="14">
        <v>15470.42</v>
      </c>
      <c r="C13" s="25">
        <v>13523.58</v>
      </c>
      <c r="D13" s="12">
        <v>168.99</v>
      </c>
      <c r="E13" s="14">
        <v>734.98</v>
      </c>
      <c r="F13" s="6">
        <f>B13+C13+D13+E13</f>
        <v>29897.97</v>
      </c>
      <c r="G13" s="10"/>
      <c r="H13" s="10"/>
      <c r="I13" s="10"/>
      <c r="J13" s="10"/>
      <c r="K13" s="20"/>
      <c r="L13" s="10"/>
    </row>
    <row r="14" spans="1:12" ht="12.75">
      <c r="A14" s="5">
        <v>2006</v>
      </c>
      <c r="B14" s="14">
        <v>15675.98</v>
      </c>
      <c r="C14" s="25">
        <v>13792.69</v>
      </c>
      <c r="D14" s="25"/>
      <c r="E14" s="14">
        <v>747.54</v>
      </c>
      <c r="F14" s="6">
        <f>B14+C14+D14+E14</f>
        <v>30216.21</v>
      </c>
      <c r="G14" s="10"/>
      <c r="H14" s="10"/>
      <c r="I14" s="10"/>
      <c r="J14" s="10"/>
      <c r="K14" s="18"/>
      <c r="L14" s="10"/>
    </row>
    <row r="15" spans="1:12" ht="12.75">
      <c r="A15" s="5">
        <v>2007</v>
      </c>
      <c r="B15" s="14">
        <v>15980.32</v>
      </c>
      <c r="C15" s="27">
        <v>14075.33</v>
      </c>
      <c r="D15" s="27"/>
      <c r="E15" s="14">
        <v>762.82</v>
      </c>
      <c r="F15" s="6">
        <f>B15+C15+D15+E15</f>
        <v>30818.47</v>
      </c>
      <c r="G15" s="10"/>
      <c r="H15" s="10"/>
      <c r="I15" s="10"/>
      <c r="J15" s="10"/>
      <c r="K15" s="18"/>
      <c r="L15" s="10"/>
    </row>
    <row r="16" spans="1:12" ht="12.75">
      <c r="A16" s="5">
        <v>2008</v>
      </c>
      <c r="B16" s="14">
        <v>16601</v>
      </c>
      <c r="C16" s="27">
        <v>14485.11</v>
      </c>
      <c r="D16" s="27"/>
      <c r="E16" s="14">
        <v>787.65</v>
      </c>
      <c r="F16" s="6">
        <f>B16+C16+D16+E16</f>
        <v>31873.760000000002</v>
      </c>
      <c r="G16" s="10"/>
      <c r="H16" s="10"/>
      <c r="I16" s="10"/>
      <c r="J16" s="10"/>
      <c r="K16" s="18"/>
      <c r="L16" s="10"/>
    </row>
    <row r="17" spans="7:12" ht="12.75">
      <c r="G17" s="10"/>
      <c r="H17" s="10"/>
      <c r="I17" s="10"/>
      <c r="J17" s="10"/>
      <c r="K17" s="18"/>
      <c r="L17" s="10"/>
    </row>
    <row r="18" spans="7:12" ht="12.75">
      <c r="G18" s="10"/>
      <c r="H18" s="10"/>
      <c r="I18" s="10"/>
      <c r="J18" s="10"/>
      <c r="K18" s="18"/>
      <c r="L18" s="10"/>
    </row>
  </sheetData>
  <printOptions/>
  <pageMargins left="0.75" right="0.76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7">
      <selection activeCell="D14" sqref="D14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ht="20.25">
      <c r="A1" s="3" t="s">
        <v>14</v>
      </c>
    </row>
    <row r="2" ht="12.75">
      <c r="D2" s="1"/>
    </row>
    <row r="3" spans="2:5" ht="12.75">
      <c r="B3" s="2" t="s">
        <v>2</v>
      </c>
      <c r="C3" s="2" t="s">
        <v>0</v>
      </c>
      <c r="D3" s="2" t="s">
        <v>9</v>
      </c>
      <c r="E3" s="2" t="s">
        <v>10</v>
      </c>
    </row>
    <row r="4" spans="1:5" ht="12.75">
      <c r="A4" s="5"/>
      <c r="E4" s="6"/>
    </row>
    <row r="5" spans="1:5" ht="12.75">
      <c r="A5" s="5">
        <v>1998</v>
      </c>
      <c r="B5" s="11"/>
      <c r="E5" s="6"/>
    </row>
    <row r="6" spans="1:5" ht="12.75">
      <c r="A6" s="5">
        <v>1999</v>
      </c>
      <c r="E6" s="6"/>
    </row>
    <row r="7" spans="1:5" ht="12.75">
      <c r="A7" s="5">
        <v>2000</v>
      </c>
      <c r="C7" s="10"/>
      <c r="E7" s="6"/>
    </row>
    <row r="8" spans="1:5" ht="12.75">
      <c r="A8" s="9">
        <v>2001</v>
      </c>
      <c r="B8" s="10"/>
      <c r="C8" s="13">
        <v>275161.81</v>
      </c>
      <c r="D8" s="10"/>
      <c r="E8" s="6">
        <f>B8+C8+D9</f>
        <v>275161.81</v>
      </c>
    </row>
    <row r="9" spans="1:5" ht="12.75">
      <c r="A9" s="9">
        <v>2002</v>
      </c>
      <c r="B9" s="10"/>
      <c r="C9" s="13">
        <v>275161.81</v>
      </c>
      <c r="D9" s="10"/>
      <c r="E9" s="6">
        <f>B9+C9+D10</f>
        <v>275161.81</v>
      </c>
    </row>
    <row r="10" spans="1:5" ht="12.75">
      <c r="A10" s="9">
        <v>2003</v>
      </c>
      <c r="B10" s="8"/>
      <c r="C10" s="13">
        <v>278877.85</v>
      </c>
      <c r="D10" s="8"/>
      <c r="E10" s="6">
        <f>B10+C10+D11</f>
        <v>278877.85</v>
      </c>
    </row>
    <row r="11" spans="1:5" ht="12.75">
      <c r="A11" s="9">
        <v>2004</v>
      </c>
      <c r="B11" s="10"/>
      <c r="C11" s="14">
        <v>281945.46</v>
      </c>
      <c r="E11" s="6">
        <f>B11+C11+D12</f>
        <v>281945.46</v>
      </c>
    </row>
    <row r="12" spans="1:5" ht="12.75">
      <c r="A12" s="5">
        <v>2005</v>
      </c>
      <c r="C12" s="14">
        <v>289053.32</v>
      </c>
      <c r="E12" s="6">
        <f>B12+C12+D13</f>
        <v>289053.32</v>
      </c>
    </row>
    <row r="13" spans="1:5" ht="12.75">
      <c r="A13" s="5">
        <v>2006</v>
      </c>
      <c r="B13" s="6"/>
      <c r="C13" s="14">
        <v>292894.08</v>
      </c>
      <c r="D13" s="6"/>
      <c r="E13" s="6">
        <f>B13+C13+D13</f>
        <v>292894.08</v>
      </c>
    </row>
    <row r="14" spans="1:5" ht="12.75">
      <c r="A14" s="5">
        <v>2007</v>
      </c>
      <c r="B14" s="6"/>
      <c r="C14" s="14">
        <v>298580.36</v>
      </c>
      <c r="D14" s="8"/>
      <c r="E14" s="6">
        <f>B14+C14+D14</f>
        <v>298580.36</v>
      </c>
    </row>
    <row r="15" spans="1:5" ht="12.75">
      <c r="A15" s="5">
        <v>2008</v>
      </c>
      <c r="B15" s="6"/>
      <c r="C15" s="14">
        <v>310177.42</v>
      </c>
      <c r="D15" s="6"/>
      <c r="E15" s="6">
        <f>B15+C15+D15</f>
        <v>310177.42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1" sqref="A1:IV16384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31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>
        <v>2659.7239953495173</v>
      </c>
      <c r="C5" s="14">
        <v>34046.39079422606</v>
      </c>
      <c r="D5" s="26">
        <v>5257.648134973066</v>
      </c>
      <c r="E5" s="6">
        <f>B5+C5+D5</f>
        <v>41963.762924548646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>
        <v>2685.2570284011613</v>
      </c>
      <c r="C6" s="14">
        <v>34636.30438246004</v>
      </c>
      <c r="D6" s="27">
        <v>4718.57887600118</v>
      </c>
      <c r="E6" s="6">
        <f aca="true" t="shared" si="0" ref="E6:E15">B6+C6+D6</f>
        <v>42040.14028686238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>
        <v>2715.252144898723</v>
      </c>
      <c r="C7" s="21">
        <v>34967.41</v>
      </c>
      <c r="D7" s="27">
        <v>4430.675336329539</v>
      </c>
      <c r="E7" s="6">
        <f t="shared" si="0"/>
        <v>42113.33748122827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>
        <v>2875.52</v>
      </c>
      <c r="C8" s="14">
        <v>35659.32</v>
      </c>
      <c r="D8" s="25">
        <v>4751.598293500975</v>
      </c>
      <c r="E8" s="6">
        <f t="shared" si="0"/>
        <v>43286.43829350097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29">
        <v>3412.08</v>
      </c>
      <c r="C9" s="14">
        <v>36597.93</v>
      </c>
      <c r="D9" s="28">
        <v>5304.07</v>
      </c>
      <c r="E9" s="6">
        <f t="shared" si="0"/>
        <v>45314.08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>
        <v>3467.86</v>
      </c>
      <c r="C10" s="14">
        <v>37157.22</v>
      </c>
      <c r="D10" s="28">
        <v>6233.03</v>
      </c>
      <c r="E10" s="6">
        <f t="shared" si="0"/>
        <v>46858.11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>
        <v>3330.8</v>
      </c>
      <c r="C11" s="14">
        <v>37664.56</v>
      </c>
      <c r="D11" s="25">
        <v>5968.14</v>
      </c>
      <c r="E11" s="6">
        <f t="shared" si="0"/>
        <v>46963.5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>
        <v>3400.63</v>
      </c>
      <c r="C12" s="14">
        <v>38404.69</v>
      </c>
      <c r="D12" s="25">
        <v>6799.19</v>
      </c>
      <c r="E12" s="6">
        <f t="shared" si="0"/>
        <v>48604.51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>
        <v>3495.35</v>
      </c>
      <c r="C13" s="14">
        <v>39189.35</v>
      </c>
      <c r="D13" s="25">
        <v>6703.87</v>
      </c>
      <c r="E13" s="6">
        <f t="shared" si="0"/>
        <v>49388.57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>
        <v>3557.91</v>
      </c>
      <c r="C14" s="14">
        <v>39851.58</v>
      </c>
      <c r="D14" s="27">
        <v>7636.77</v>
      </c>
      <c r="E14" s="6">
        <f t="shared" si="0"/>
        <v>51046.26000000001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>
        <v>3622.65</v>
      </c>
      <c r="C15" s="14">
        <v>40822.66</v>
      </c>
      <c r="D15" s="27">
        <v>8298.58</v>
      </c>
      <c r="E15" s="6">
        <f t="shared" si="0"/>
        <v>52743.89000000001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31">
      <selection activeCell="E5" sqref="E5:E13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34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33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29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29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29"/>
      <c r="D7" s="21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29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29"/>
      <c r="C9" s="29"/>
      <c r="D9" s="14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29"/>
      <c r="D10" s="14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29"/>
      <c r="D11" s="14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29"/>
      <c r="D12" s="14"/>
      <c r="E12" s="6"/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29"/>
      <c r="D13" s="14"/>
      <c r="E13" s="6"/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>
        <v>12250.94</v>
      </c>
      <c r="C14" s="29">
        <v>181080</v>
      </c>
      <c r="D14" s="14">
        <v>10166.374395950315</v>
      </c>
      <c r="E14" s="6">
        <f>B14+C14+D14</f>
        <v>203497.31439595032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>
        <v>12473.49</v>
      </c>
      <c r="C15" s="2">
        <v>184312.13</v>
      </c>
      <c r="D15" s="14">
        <v>10490.68</v>
      </c>
      <c r="E15" s="6">
        <f>B15+C15+D15</f>
        <v>207276.3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39" sqref="A39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35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29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29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29"/>
      <c r="D7" s="21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29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29"/>
      <c r="C9" s="29"/>
      <c r="D9" s="14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30">
        <v>18000</v>
      </c>
      <c r="D10" s="14"/>
      <c r="E10" s="6">
        <f aca="true" t="shared" si="0" ref="E10:E15">B10+C10+D10</f>
        <v>18000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30">
        <v>18198</v>
      </c>
      <c r="D11" s="14"/>
      <c r="E11" s="6">
        <f t="shared" si="0"/>
        <v>18198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30">
        <v>18656.77</v>
      </c>
      <c r="D12" s="14"/>
      <c r="E12" s="6">
        <f t="shared" si="0"/>
        <v>18656.77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30">
        <v>18904.67</v>
      </c>
      <c r="D13" s="14"/>
      <c r="E13" s="6">
        <f t="shared" si="0"/>
        <v>18904.67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30">
        <v>24000</v>
      </c>
      <c r="D14" s="14"/>
      <c r="E14" s="6">
        <f t="shared" si="0"/>
        <v>24000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30">
        <v>24436.61</v>
      </c>
      <c r="D15" s="14"/>
      <c r="E15" s="6">
        <f t="shared" si="0"/>
        <v>24436.61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A39" sqref="A39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36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31">
        <v>7694.342326084101</v>
      </c>
      <c r="D5" s="16">
        <v>446.2083445918309</v>
      </c>
      <c r="E5" s="6">
        <f>B5+C5+D5</f>
        <v>8140.5506706759315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31">
        <v>7772.16949580936</v>
      </c>
      <c r="D6" s="16">
        <v>446.2083445918309</v>
      </c>
      <c r="E6" s="6">
        <f aca="true" t="shared" si="0" ref="E6:E15">B6+C6+D6</f>
        <v>8218.377840401192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31">
        <v>7903.76</v>
      </c>
      <c r="D7" s="16">
        <v>223.10417229591545</v>
      </c>
      <c r="E7" s="6">
        <f t="shared" si="0"/>
        <v>8126.8641722959155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31">
        <v>8115.67</v>
      </c>
      <c r="D8" s="16">
        <v>446.2083445918309</v>
      </c>
      <c r="E8" s="6">
        <f t="shared" si="0"/>
        <v>8561.87834459183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29"/>
      <c r="C9" s="31">
        <v>8281.94</v>
      </c>
      <c r="D9" s="17">
        <v>0</v>
      </c>
      <c r="E9" s="6">
        <f t="shared" si="0"/>
        <v>8281.94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31">
        <v>8406.96</v>
      </c>
      <c r="D10" s="16">
        <v>223.1</v>
      </c>
      <c r="E10" s="6">
        <f t="shared" si="0"/>
        <v>8630.06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31">
        <v>8537.61</v>
      </c>
      <c r="D11" s="17">
        <v>663.22</v>
      </c>
      <c r="E11" s="6">
        <f t="shared" si="0"/>
        <v>9200.83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31">
        <v>8694.82</v>
      </c>
      <c r="D12" s="17">
        <v>663.22</v>
      </c>
      <c r="E12" s="6">
        <f t="shared" si="0"/>
        <v>9358.039999999999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31">
        <v>8869.85</v>
      </c>
      <c r="D13" s="16">
        <v>341.3</v>
      </c>
      <c r="E13" s="6">
        <f t="shared" si="0"/>
        <v>9211.15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31">
        <v>9006.12</v>
      </c>
      <c r="D14" s="16">
        <v>446.2</v>
      </c>
      <c r="E14" s="6">
        <f t="shared" si="0"/>
        <v>9452.320000000002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31">
        <v>9297.1</v>
      </c>
      <c r="D15" s="16">
        <v>473.1</v>
      </c>
      <c r="E15" s="6">
        <f t="shared" si="0"/>
        <v>9770.2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37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31">
        <v>3713.9407881526727</v>
      </c>
      <c r="D5" s="16"/>
      <c r="E5" s="6">
        <f>B5+C5+D5</f>
        <v>3713.9407881526727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31">
        <v>4168.627091291748</v>
      </c>
      <c r="D6" s="16"/>
      <c r="E6" s="6">
        <f aca="true" t="shared" si="0" ref="E6:E15">B6+C6+D6</f>
        <v>4168.627091291748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31">
        <v>4703.7796325722165</v>
      </c>
      <c r="D7" s="16"/>
      <c r="E7" s="6">
        <f t="shared" si="0"/>
        <v>4703.7796325722165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31">
        <v>4908.291790510139</v>
      </c>
      <c r="D8" s="16"/>
      <c r="E8" s="6">
        <f t="shared" si="0"/>
        <v>4908.291790510139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29"/>
      <c r="C9" s="31">
        <v>5091.15</v>
      </c>
      <c r="D9" s="17"/>
      <c r="E9" s="6">
        <f t="shared" si="0"/>
        <v>5091.15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31">
        <v>5640</v>
      </c>
      <c r="D10" s="16"/>
      <c r="E10" s="6">
        <f t="shared" si="0"/>
        <v>5640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31">
        <v>5640</v>
      </c>
      <c r="D11" s="17"/>
      <c r="E11" s="6">
        <f t="shared" si="0"/>
        <v>5640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31">
        <v>5640</v>
      </c>
      <c r="D12" s="17"/>
      <c r="E12" s="6">
        <f t="shared" si="0"/>
        <v>5640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31">
        <v>5640</v>
      </c>
      <c r="D13" s="16"/>
      <c r="E13" s="6">
        <f t="shared" si="0"/>
        <v>5640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31">
        <v>5640</v>
      </c>
      <c r="D14" s="16"/>
      <c r="E14" s="6">
        <f t="shared" si="0"/>
        <v>5640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31">
        <v>5938.1</v>
      </c>
      <c r="D15" s="16"/>
      <c r="E15" s="6">
        <f t="shared" si="0"/>
        <v>5938.1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42" sqref="A4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38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>
        <v>149275.58075255516</v>
      </c>
      <c r="D5" s="16"/>
      <c r="E5" s="6">
        <f>B5+C5+D5</f>
        <v>149275.58075255516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>
        <v>151279.35369200222</v>
      </c>
      <c r="D6" s="16"/>
      <c r="E6" s="6">
        <f aca="true" t="shared" si="0" ref="E6:E15">B6+C6+D6</f>
        <v>151279.35369200222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>
        <v>153440.99261401244</v>
      </c>
      <c r="D7" s="16"/>
      <c r="E7" s="6">
        <f t="shared" si="0"/>
        <v>153440.99261401244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>
        <v>156877.8</v>
      </c>
      <c r="D8" s="16"/>
      <c r="E8" s="6">
        <f t="shared" si="0"/>
        <v>156877.8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12">
        <v>115.81</v>
      </c>
      <c r="C9" s="14">
        <v>161541.14</v>
      </c>
      <c r="D9" s="17"/>
      <c r="E9" s="6">
        <f t="shared" si="0"/>
        <v>161656.95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>
        <v>163727.08</v>
      </c>
      <c r="D10" s="16"/>
      <c r="E10" s="6">
        <f t="shared" si="0"/>
        <v>163727.08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14">
        <v>165524.4</v>
      </c>
      <c r="D11" s="17"/>
      <c r="E11" s="6">
        <f t="shared" si="0"/>
        <v>165524.4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14">
        <v>169701.98</v>
      </c>
      <c r="D12" s="17"/>
      <c r="E12" s="6">
        <f t="shared" si="0"/>
        <v>169701.98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14">
        <v>171960.8</v>
      </c>
      <c r="D13" s="16"/>
      <c r="E13" s="6">
        <f t="shared" si="0"/>
        <v>171960.8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14">
        <v>175288.28</v>
      </c>
      <c r="D14" s="16"/>
      <c r="E14" s="6">
        <f t="shared" si="0"/>
        <v>175288.28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14">
        <v>182101.14</v>
      </c>
      <c r="D15" s="16"/>
      <c r="E15" s="6">
        <f t="shared" si="0"/>
        <v>182101.14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39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>
        <v>402.77739905155937</v>
      </c>
      <c r="D5" s="16"/>
      <c r="E5" s="6">
        <f>B5+C5+D5</f>
        <v>402.77739905155937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>
        <v>408.181477891616</v>
      </c>
      <c r="D6" s="16"/>
      <c r="E6" s="6">
        <f aca="true" t="shared" si="0" ref="E6:E15">B6+C6+D6</f>
        <v>408.181477891616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>
        <v>414</v>
      </c>
      <c r="D7" s="16"/>
      <c r="E7" s="6">
        <f t="shared" si="0"/>
        <v>414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>
        <v>423.28</v>
      </c>
      <c r="D8" s="16"/>
      <c r="E8" s="6">
        <f t="shared" si="0"/>
        <v>423.28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12"/>
      <c r="C9" s="14">
        <v>435.86</v>
      </c>
      <c r="D9" s="17"/>
      <c r="E9" s="6">
        <f t="shared" si="0"/>
        <v>435.86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>
        <v>441.76</v>
      </c>
      <c r="D10" s="16"/>
      <c r="E10" s="6">
        <f t="shared" si="0"/>
        <v>441.76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14">
        <v>446.6</v>
      </c>
      <c r="D11" s="17"/>
      <c r="E11" s="6">
        <f t="shared" si="0"/>
        <v>446.6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14">
        <v>457.88</v>
      </c>
      <c r="D12" s="17"/>
      <c r="E12" s="6">
        <f t="shared" si="0"/>
        <v>457.88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14">
        <v>463.96</v>
      </c>
      <c r="D13" s="16"/>
      <c r="E13" s="6">
        <f t="shared" si="0"/>
        <v>463.96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14">
        <v>472.94</v>
      </c>
      <c r="D14" s="16"/>
      <c r="E14" s="6">
        <f t="shared" si="0"/>
        <v>472.94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14">
        <v>491.32</v>
      </c>
      <c r="D15" s="16"/>
      <c r="E15" s="6">
        <f t="shared" si="0"/>
        <v>491.32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4">
      <selection activeCell="A40" sqref="A40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3" width="14.00390625" style="2" customWidth="1"/>
    <col min="4" max="4" width="12.28125" style="2" customWidth="1"/>
    <col min="5" max="5" width="13.00390625" style="2" customWidth="1"/>
    <col min="6" max="6" width="13.421875" style="2" customWidth="1"/>
    <col min="7" max="7" width="17.00390625" style="2" customWidth="1"/>
    <col min="8" max="8" width="16.28125" style="2" customWidth="1"/>
    <col min="9" max="9" width="14.7109375" style="2" customWidth="1"/>
    <col min="10" max="10" width="11.421875" style="2" customWidth="1"/>
    <col min="11" max="11" width="13.7109375" style="2" customWidth="1"/>
    <col min="12" max="12" width="11.7109375" style="4" bestFit="1" customWidth="1"/>
    <col min="13" max="14" width="9.140625" style="2" customWidth="1"/>
    <col min="15" max="15" width="12.28125" style="2" bestFit="1" customWidth="1"/>
    <col min="16" max="16" width="11.7109375" style="2" bestFit="1" customWidth="1"/>
    <col min="17" max="16384" width="9.140625" style="2" customWidth="1"/>
  </cols>
  <sheetData>
    <row r="1" spans="1:13" ht="20.25">
      <c r="A1" s="3" t="s">
        <v>40</v>
      </c>
      <c r="H1" s="10"/>
      <c r="I1" s="10"/>
      <c r="J1" s="10"/>
      <c r="K1" s="10"/>
      <c r="L1" s="18"/>
      <c r="M1" s="10"/>
    </row>
    <row r="2" spans="8:13" ht="12.75">
      <c r="H2" s="10"/>
      <c r="I2" s="10"/>
      <c r="J2" s="10"/>
      <c r="K2" s="10"/>
      <c r="L2" s="18"/>
      <c r="M2" s="10"/>
    </row>
    <row r="3" spans="2:13" ht="12.75">
      <c r="B3" s="2" t="s">
        <v>2</v>
      </c>
      <c r="C3" s="2" t="s">
        <v>32</v>
      </c>
      <c r="D3" s="10" t="s">
        <v>41</v>
      </c>
      <c r="E3" s="10" t="s">
        <v>42</v>
      </c>
      <c r="F3" s="2" t="s">
        <v>1</v>
      </c>
      <c r="G3" s="2" t="s">
        <v>10</v>
      </c>
      <c r="H3" s="10"/>
      <c r="K3" s="10"/>
      <c r="L3" s="18"/>
      <c r="M3" s="10"/>
    </row>
    <row r="4" spans="1:13" ht="12.75">
      <c r="A4" s="5"/>
      <c r="D4" s="10"/>
      <c r="E4" s="10"/>
      <c r="G4" s="6"/>
      <c r="H4" s="10"/>
      <c r="K4" s="10"/>
      <c r="L4" s="18"/>
      <c r="M4" s="10"/>
    </row>
    <row r="5" spans="1:13" ht="12.75">
      <c r="A5" s="5">
        <v>1998</v>
      </c>
      <c r="B5" s="32">
        <v>26223.143835259878</v>
      </c>
      <c r="C5" s="14">
        <v>381801.0456148875</v>
      </c>
      <c r="D5" s="10"/>
      <c r="E5" s="10"/>
      <c r="F5" s="33">
        <v>106452.64366049494</v>
      </c>
      <c r="G5" s="6">
        <f>B5+C5+F5+D5+E5</f>
        <v>514476.8331106423</v>
      </c>
      <c r="H5" s="10"/>
      <c r="K5" s="10"/>
      <c r="L5" s="18"/>
      <c r="M5" s="10"/>
    </row>
    <row r="6" spans="1:13" ht="12.75">
      <c r="A6" s="5">
        <v>1999</v>
      </c>
      <c r="B6" s="32">
        <v>27611.669835572226</v>
      </c>
      <c r="C6" s="14">
        <v>386378.7975735686</v>
      </c>
      <c r="D6" s="10"/>
      <c r="E6" s="10"/>
      <c r="F6" s="33">
        <v>83100.77615462606</v>
      </c>
      <c r="G6" s="6">
        <f aca="true" t="shared" si="0" ref="G6:G15">B6+C6+F6+D6+E6</f>
        <v>497091.2435637669</v>
      </c>
      <c r="H6" s="10"/>
      <c r="K6" s="10"/>
      <c r="L6" s="18"/>
      <c r="M6" s="10"/>
    </row>
    <row r="7" spans="1:13" ht="12.75">
      <c r="A7" s="5">
        <v>2000</v>
      </c>
      <c r="B7" s="32">
        <v>27920.520378087203</v>
      </c>
      <c r="C7" s="14">
        <v>392575.74</v>
      </c>
      <c r="D7" s="10"/>
      <c r="E7" s="10"/>
      <c r="F7" s="33">
        <v>82129.9755329091</v>
      </c>
      <c r="G7" s="6">
        <f t="shared" si="0"/>
        <v>502626.23591099627</v>
      </c>
      <c r="H7" s="10"/>
      <c r="K7" s="10"/>
      <c r="L7" s="18"/>
      <c r="M7" s="10"/>
    </row>
    <row r="8" spans="1:13" ht="12.75">
      <c r="A8" s="9">
        <v>2001</v>
      </c>
      <c r="B8" s="32">
        <v>29536.29</v>
      </c>
      <c r="C8" s="14">
        <v>403454.07</v>
      </c>
      <c r="D8" s="10"/>
      <c r="E8" s="10"/>
      <c r="F8" s="33">
        <v>63753.52717855027</v>
      </c>
      <c r="G8" s="6">
        <f t="shared" si="0"/>
        <v>496743.88717855024</v>
      </c>
      <c r="H8" s="10"/>
      <c r="K8" s="10"/>
      <c r="L8" s="18"/>
      <c r="M8" s="10"/>
    </row>
    <row r="9" spans="1:13" ht="12.75">
      <c r="A9" s="9">
        <v>2002</v>
      </c>
      <c r="B9" s="13">
        <v>30266.54</v>
      </c>
      <c r="C9" s="14">
        <v>411596.63</v>
      </c>
      <c r="D9" s="19"/>
      <c r="E9" s="10"/>
      <c r="F9" s="33">
        <v>54994.96</v>
      </c>
      <c r="G9" s="6">
        <f t="shared" si="0"/>
        <v>496858.13</v>
      </c>
      <c r="H9" s="10"/>
      <c r="K9" s="10"/>
      <c r="L9" s="18"/>
      <c r="M9" s="10"/>
    </row>
    <row r="10" spans="1:13" ht="12.75">
      <c r="A10" s="9">
        <v>2003</v>
      </c>
      <c r="B10" s="32">
        <v>30762.79</v>
      </c>
      <c r="C10" s="14">
        <v>417739.16</v>
      </c>
      <c r="D10" s="10"/>
      <c r="E10" s="10"/>
      <c r="F10" s="33">
        <v>77214.07</v>
      </c>
      <c r="G10" s="6">
        <f t="shared" si="0"/>
        <v>525716.02</v>
      </c>
      <c r="H10" s="10"/>
      <c r="K10" s="10"/>
      <c r="L10" s="18"/>
      <c r="M10" s="10"/>
    </row>
    <row r="11" spans="1:13" ht="12.75">
      <c r="A11" s="9">
        <v>2004</v>
      </c>
      <c r="B11" s="32">
        <v>34177.89</v>
      </c>
      <c r="C11" s="14">
        <v>483334.48</v>
      </c>
      <c r="D11" s="10"/>
      <c r="E11" s="10"/>
      <c r="F11" s="33">
        <v>93439.34</v>
      </c>
      <c r="G11" s="6">
        <f t="shared" si="0"/>
        <v>610951.71</v>
      </c>
      <c r="H11" s="10"/>
      <c r="K11" s="10"/>
      <c r="L11" s="18"/>
      <c r="M11" s="10"/>
    </row>
    <row r="12" spans="1:13" ht="12.75">
      <c r="A12" s="5">
        <v>2005</v>
      </c>
      <c r="B12" s="32">
        <v>36541.14</v>
      </c>
      <c r="C12" s="14">
        <v>497893.49</v>
      </c>
      <c r="D12" s="10"/>
      <c r="E12" s="10"/>
      <c r="F12" s="33">
        <v>95868.25</v>
      </c>
      <c r="G12" s="6">
        <f t="shared" si="0"/>
        <v>630302.88</v>
      </c>
      <c r="H12" s="10"/>
      <c r="K12" s="10"/>
      <c r="L12" s="20"/>
      <c r="M12" s="10"/>
    </row>
    <row r="13" spans="1:13" ht="12.75">
      <c r="A13" s="5">
        <v>2006</v>
      </c>
      <c r="B13" s="32">
        <v>37559.42</v>
      </c>
      <c r="C13" s="14"/>
      <c r="D13" s="14">
        <v>377194.79</v>
      </c>
      <c r="E13" s="14">
        <v>56093.52</v>
      </c>
      <c r="F13" s="33">
        <v>97239.4</v>
      </c>
      <c r="G13" s="6">
        <f t="shared" si="0"/>
        <v>568087.13</v>
      </c>
      <c r="H13" s="10"/>
      <c r="K13" s="10"/>
      <c r="L13" s="18"/>
      <c r="M13" s="10"/>
    </row>
    <row r="14" spans="1:13" ht="12.75">
      <c r="A14" s="5">
        <v>2007</v>
      </c>
      <c r="B14" s="32">
        <v>38232.87</v>
      </c>
      <c r="C14" s="14"/>
      <c r="D14" s="14">
        <v>445114.6</v>
      </c>
      <c r="E14" s="14">
        <v>66734.74</v>
      </c>
      <c r="F14" s="33">
        <v>94822.05</v>
      </c>
      <c r="G14" s="6">
        <f t="shared" si="0"/>
        <v>644904.26</v>
      </c>
      <c r="H14" s="10"/>
      <c r="K14" s="10"/>
      <c r="L14" s="18"/>
      <c r="M14" s="10"/>
    </row>
    <row r="15" spans="1:13" ht="12.75">
      <c r="A15" s="5">
        <v>2008</v>
      </c>
      <c r="B15" s="32"/>
      <c r="C15" s="14"/>
      <c r="D15" s="14">
        <v>451083.81</v>
      </c>
      <c r="E15" s="14">
        <v>69326.76</v>
      </c>
      <c r="F15" s="33">
        <v>47172.67</v>
      </c>
      <c r="G15" s="6">
        <f t="shared" si="0"/>
        <v>567583.24</v>
      </c>
      <c r="H15" s="10"/>
      <c r="K15" s="10"/>
      <c r="L15" s="18"/>
      <c r="M15" s="10"/>
    </row>
    <row r="16" spans="4:13" ht="12.75">
      <c r="D16" s="10"/>
      <c r="E16" s="10"/>
      <c r="F16" s="14"/>
      <c r="H16" s="10"/>
      <c r="K16" s="10"/>
      <c r="L16" s="18"/>
      <c r="M16" s="10"/>
    </row>
    <row r="17" spans="8:13" ht="12.75">
      <c r="H17" s="10"/>
      <c r="I17" s="10"/>
      <c r="J17" s="10"/>
      <c r="K17" s="10"/>
      <c r="L17" s="18"/>
      <c r="M17" s="10"/>
    </row>
  </sheetData>
  <printOptions/>
  <pageMargins left="0.52" right="0.33" top="1" bottom="1" header="0.5" footer="0.5"/>
  <pageSetup fitToHeight="1" fitToWidth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4">
      <selection activeCell="A6" activeCellId="1" sqref="L6:L16 A6:A16"/>
    </sheetView>
  </sheetViews>
  <sheetFormatPr defaultColWidth="9.140625" defaultRowHeight="12.75"/>
  <cols>
    <col min="1" max="1" width="9.140625" style="2" customWidth="1"/>
    <col min="2" max="2" width="17.57421875" style="35" customWidth="1"/>
    <col min="3" max="3" width="11.140625" style="2" customWidth="1"/>
    <col min="4" max="4" width="12.421875" style="2" customWidth="1"/>
    <col min="5" max="5" width="11.140625" style="2" customWidth="1"/>
    <col min="6" max="9" width="11.28125" style="2" customWidth="1"/>
    <col min="10" max="11" width="13.28125" style="2" customWidth="1"/>
    <col min="12" max="12" width="18.00390625" style="2" customWidth="1"/>
    <col min="13" max="13" width="16.28125" style="2" customWidth="1"/>
    <col min="14" max="14" width="14.7109375" style="2" customWidth="1"/>
    <col min="15" max="15" width="11.421875" style="2" customWidth="1"/>
    <col min="16" max="16" width="13.7109375" style="2" customWidth="1"/>
    <col min="17" max="17" width="11.7109375" style="4" bestFit="1" customWidth="1"/>
    <col min="18" max="19" width="9.140625" style="2" customWidth="1"/>
    <col min="20" max="20" width="12.28125" style="2" bestFit="1" customWidth="1"/>
    <col min="21" max="21" width="11.7109375" style="2" bestFit="1" customWidth="1"/>
    <col min="22" max="16384" width="9.140625" style="2" customWidth="1"/>
  </cols>
  <sheetData>
    <row r="1" spans="1:18" ht="20.25">
      <c r="A1" s="3" t="s">
        <v>43</v>
      </c>
      <c r="M1" s="10"/>
      <c r="N1" s="10"/>
      <c r="O1" s="10"/>
      <c r="P1" s="10"/>
      <c r="Q1" s="18"/>
      <c r="R1" s="10"/>
    </row>
    <row r="2" spans="10:18" ht="12.75">
      <c r="J2" s="38">
        <v>1002008</v>
      </c>
      <c r="M2" s="10"/>
      <c r="N2" s="10"/>
      <c r="O2" s="10"/>
      <c r="P2" s="10"/>
      <c r="Q2" s="18"/>
      <c r="R2" s="10"/>
    </row>
    <row r="3" spans="2:18" ht="12.75">
      <c r="B3" s="35" t="s">
        <v>2</v>
      </c>
      <c r="C3" s="2" t="s">
        <v>32</v>
      </c>
      <c r="J3" s="2" t="s">
        <v>48</v>
      </c>
      <c r="K3" s="2" t="s">
        <v>47</v>
      </c>
      <c r="L3" s="2" t="s">
        <v>10</v>
      </c>
      <c r="M3" s="10"/>
      <c r="N3" s="10"/>
      <c r="O3" s="10"/>
      <c r="P3" s="10"/>
      <c r="Q3" s="18"/>
      <c r="R3" s="10"/>
    </row>
    <row r="4" spans="3:18" ht="12.75">
      <c r="C4" s="2" t="s">
        <v>44</v>
      </c>
      <c r="D4" s="2" t="s">
        <v>45</v>
      </c>
      <c r="E4" s="2" t="s">
        <v>46</v>
      </c>
      <c r="F4" s="2" t="s">
        <v>50</v>
      </c>
      <c r="G4" s="2" t="s">
        <v>51</v>
      </c>
      <c r="H4" s="2" t="s">
        <v>52</v>
      </c>
      <c r="I4" s="2" t="s">
        <v>53</v>
      </c>
      <c r="J4" s="2" t="s">
        <v>49</v>
      </c>
      <c r="K4" s="38">
        <v>1002008</v>
      </c>
      <c r="M4" s="10"/>
      <c r="N4" s="10"/>
      <c r="O4" s="10"/>
      <c r="P4" s="10"/>
      <c r="Q4" s="18"/>
      <c r="R4" s="10"/>
    </row>
    <row r="5" spans="1:18" ht="12.75">
      <c r="A5" s="5"/>
      <c r="L5" s="6"/>
      <c r="M5" s="10"/>
      <c r="N5" s="10"/>
      <c r="O5" s="10"/>
      <c r="P5" s="10"/>
      <c r="Q5" s="18"/>
      <c r="R5" s="10"/>
    </row>
    <row r="6" spans="1:18" ht="12.75">
      <c r="A6" s="5">
        <v>1998</v>
      </c>
      <c r="B6" s="36">
        <v>6720.517403364906</v>
      </c>
      <c r="C6" s="14"/>
      <c r="D6" s="14"/>
      <c r="E6" s="14"/>
      <c r="F6" s="14"/>
      <c r="G6" s="14"/>
      <c r="H6" s="14"/>
      <c r="I6" s="14"/>
      <c r="J6" s="34">
        <v>11658.87867843004</v>
      </c>
      <c r="K6" s="34">
        <v>11658.87867843004</v>
      </c>
      <c r="L6" s="6">
        <f aca="true" t="shared" si="0" ref="L6:L15">SUM(B6:K6)</f>
        <v>30038.274760224984</v>
      </c>
      <c r="M6" s="10"/>
      <c r="N6" s="10"/>
      <c r="O6" s="10"/>
      <c r="P6" s="10"/>
      <c r="Q6" s="18"/>
      <c r="R6" s="10"/>
    </row>
    <row r="7" spans="1:18" ht="12.75">
      <c r="A7" s="5">
        <v>1999</v>
      </c>
      <c r="B7" s="36">
        <v>9730.71326403883</v>
      </c>
      <c r="C7" s="14"/>
      <c r="D7" s="14"/>
      <c r="E7" s="14"/>
      <c r="F7" s="14"/>
      <c r="G7" s="14"/>
      <c r="H7" s="14"/>
      <c r="I7" s="14"/>
      <c r="J7" s="34">
        <v>13472.021497326466</v>
      </c>
      <c r="K7" s="34">
        <v>13472.021497326466</v>
      </c>
      <c r="L7" s="6">
        <f t="shared" si="0"/>
        <v>36674.75625869176</v>
      </c>
      <c r="M7" s="10"/>
      <c r="N7" s="10"/>
      <c r="O7" s="10"/>
      <c r="P7" s="10"/>
      <c r="Q7" s="18"/>
      <c r="R7" s="10"/>
    </row>
    <row r="8" spans="1:18" ht="12.75">
      <c r="A8" s="5">
        <v>2000</v>
      </c>
      <c r="B8" s="36">
        <v>9839.811204291533</v>
      </c>
      <c r="C8" s="14"/>
      <c r="D8" s="14"/>
      <c r="E8" s="14"/>
      <c r="F8" s="14"/>
      <c r="G8" s="14"/>
      <c r="H8" s="14"/>
      <c r="I8" s="14"/>
      <c r="J8" s="34">
        <v>11842.989199279125</v>
      </c>
      <c r="K8" s="34">
        <v>11842.989199279125</v>
      </c>
      <c r="L8" s="6">
        <f t="shared" si="0"/>
        <v>33525.789602849785</v>
      </c>
      <c r="M8" s="10"/>
      <c r="N8" s="10"/>
      <c r="O8" s="10"/>
      <c r="P8" s="10"/>
      <c r="Q8" s="18"/>
      <c r="R8" s="10"/>
    </row>
    <row r="9" spans="1:18" ht="12.75">
      <c r="A9" s="9">
        <v>2001</v>
      </c>
      <c r="B9" s="36">
        <v>17650.589118961623</v>
      </c>
      <c r="C9" s="14"/>
      <c r="D9" s="14"/>
      <c r="E9" s="14"/>
      <c r="F9" s="14"/>
      <c r="G9" s="14"/>
      <c r="H9" s="14"/>
      <c r="I9" s="14">
        <v>46413.63939368962</v>
      </c>
      <c r="J9" s="34">
        <v>24738.091981859154</v>
      </c>
      <c r="K9" s="34">
        <v>24738.091981859154</v>
      </c>
      <c r="L9" s="6">
        <f t="shared" si="0"/>
        <v>113540.41247636954</v>
      </c>
      <c r="M9" s="10"/>
      <c r="N9" s="10"/>
      <c r="O9" s="10"/>
      <c r="P9" s="10"/>
      <c r="Q9" s="18"/>
      <c r="R9" s="10"/>
    </row>
    <row r="10" spans="1:18" ht="12.75">
      <c r="A10" s="9">
        <v>2002</v>
      </c>
      <c r="B10" s="37">
        <v>18086.86</v>
      </c>
      <c r="C10" s="14"/>
      <c r="D10" s="14"/>
      <c r="E10" s="14"/>
      <c r="F10" s="14"/>
      <c r="G10" s="14"/>
      <c r="H10" s="14"/>
      <c r="I10" s="14">
        <v>47929.18</v>
      </c>
      <c r="J10" s="34">
        <v>23675.240990929575</v>
      </c>
      <c r="K10" s="34">
        <v>23675.240990929575</v>
      </c>
      <c r="L10" s="6">
        <f t="shared" si="0"/>
        <v>113366.52198185914</v>
      </c>
      <c r="M10" s="10"/>
      <c r="N10" s="19"/>
      <c r="O10" s="10"/>
      <c r="P10" s="10"/>
      <c r="Q10" s="18"/>
      <c r="R10" s="10"/>
    </row>
    <row r="11" spans="1:18" ht="12.75">
      <c r="A11" s="9">
        <v>2003</v>
      </c>
      <c r="B11" s="36">
        <v>24892.34</v>
      </c>
      <c r="C11" s="14">
        <v>120312.4</v>
      </c>
      <c r="D11" s="14">
        <v>66958.33333333333</v>
      </c>
      <c r="E11" s="14"/>
      <c r="F11" s="34">
        <v>120312.4</v>
      </c>
      <c r="G11" s="34">
        <v>66958.33333333333</v>
      </c>
      <c r="H11" s="14"/>
      <c r="I11" s="14"/>
      <c r="J11" s="34">
        <v>29500.47</v>
      </c>
      <c r="K11" s="34">
        <v>29500.47</v>
      </c>
      <c r="L11" s="6">
        <f t="shared" si="0"/>
        <v>458434.7466666666</v>
      </c>
      <c r="M11" s="10"/>
      <c r="N11" s="10"/>
      <c r="O11" s="10"/>
      <c r="P11" s="10"/>
      <c r="Q11" s="18"/>
      <c r="R11" s="10"/>
    </row>
    <row r="12" spans="1:18" ht="12.75">
      <c r="A12" s="9">
        <v>2004</v>
      </c>
      <c r="B12" s="36">
        <v>28286.69</v>
      </c>
      <c r="C12" s="14">
        <v>122720.3</v>
      </c>
      <c r="D12" s="14">
        <v>80350</v>
      </c>
      <c r="E12" s="14"/>
      <c r="F12" s="34">
        <v>122720.3</v>
      </c>
      <c r="G12" s="34">
        <v>80350</v>
      </c>
      <c r="H12" s="14"/>
      <c r="J12" s="34">
        <v>43463.7</v>
      </c>
      <c r="K12" s="34">
        <v>43463.7</v>
      </c>
      <c r="L12" s="6">
        <f t="shared" si="0"/>
        <v>521354.69</v>
      </c>
      <c r="M12" s="10"/>
      <c r="N12" s="10"/>
      <c r="O12" s="10"/>
      <c r="P12" s="10"/>
      <c r="Q12" s="18"/>
      <c r="R12" s="10"/>
    </row>
    <row r="13" spans="1:18" ht="12.75">
      <c r="A13" s="5">
        <v>2005</v>
      </c>
      <c r="B13" s="36">
        <v>37541.71</v>
      </c>
      <c r="C13" s="14">
        <v>124864.25</v>
      </c>
      <c r="D13" s="14">
        <v>87760.1</v>
      </c>
      <c r="E13" s="14">
        <v>82005</v>
      </c>
      <c r="F13" s="34">
        <v>124864.25</v>
      </c>
      <c r="G13" s="34">
        <v>87760.1</v>
      </c>
      <c r="H13" s="14">
        <v>82005</v>
      </c>
      <c r="I13" s="14"/>
      <c r="J13" s="34">
        <v>45636.9</v>
      </c>
      <c r="K13" s="34">
        <v>58805.64</v>
      </c>
      <c r="L13" s="6">
        <f t="shared" si="0"/>
        <v>731242.9500000001</v>
      </c>
      <c r="M13" s="10"/>
      <c r="N13" s="10"/>
      <c r="O13" s="10"/>
      <c r="P13" s="10"/>
      <c r="Q13" s="20"/>
      <c r="R13" s="10"/>
    </row>
    <row r="14" spans="1:18" ht="12.75">
      <c r="A14" s="5">
        <v>2006</v>
      </c>
      <c r="B14" s="36">
        <v>44986.78</v>
      </c>
      <c r="C14" s="14"/>
      <c r="D14" s="14"/>
      <c r="E14" s="14"/>
      <c r="F14" s="34">
        <v>127957.77</v>
      </c>
      <c r="G14" s="34">
        <v>88789.01</v>
      </c>
      <c r="H14" s="14">
        <v>99938.87</v>
      </c>
      <c r="I14" s="14"/>
      <c r="J14" s="34">
        <v>34568.34</v>
      </c>
      <c r="K14" s="34">
        <v>67656.04</v>
      </c>
      <c r="L14" s="6">
        <f t="shared" si="0"/>
        <v>463896.81</v>
      </c>
      <c r="M14" s="10"/>
      <c r="N14" s="10"/>
      <c r="O14" s="10"/>
      <c r="P14" s="10"/>
      <c r="Q14" s="18"/>
      <c r="R14" s="10"/>
    </row>
    <row r="15" spans="1:18" ht="12.75">
      <c r="A15" s="5">
        <v>2007</v>
      </c>
      <c r="B15" s="36">
        <v>45763.5</v>
      </c>
      <c r="C15" s="14"/>
      <c r="D15" s="14"/>
      <c r="E15" s="14"/>
      <c r="F15" s="34">
        <v>130199.69</v>
      </c>
      <c r="G15" s="34">
        <v>90344.67</v>
      </c>
      <c r="H15" s="14">
        <v>110600.39</v>
      </c>
      <c r="I15" s="14"/>
      <c r="J15" s="16"/>
      <c r="K15" s="16">
        <v>63227.56</v>
      </c>
      <c r="L15" s="6">
        <f t="shared" si="0"/>
        <v>440135.81</v>
      </c>
      <c r="M15" s="10"/>
      <c r="N15" s="10"/>
      <c r="O15" s="10"/>
      <c r="P15" s="10"/>
      <c r="Q15" s="18"/>
      <c r="R15" s="10"/>
    </row>
    <row r="16" spans="1:18" ht="12.75">
      <c r="A16" s="5">
        <v>2008</v>
      </c>
      <c r="B16" s="16">
        <v>46625.42</v>
      </c>
      <c r="C16" s="14"/>
      <c r="D16" s="14"/>
      <c r="E16" s="14"/>
      <c r="F16" s="34">
        <v>133878.16</v>
      </c>
      <c r="G16" s="34">
        <v>92897.13</v>
      </c>
      <c r="H16" s="14">
        <v>115099.88</v>
      </c>
      <c r="I16" s="14"/>
      <c r="J16" s="16"/>
      <c r="K16" s="16">
        <v>63227.99</v>
      </c>
      <c r="L16" s="6">
        <f>SUM(B16:K16)</f>
        <v>451728.58</v>
      </c>
      <c r="M16" s="10"/>
      <c r="N16" s="10"/>
      <c r="O16" s="10"/>
      <c r="P16" s="10"/>
      <c r="Q16" s="18"/>
      <c r="R16" s="10"/>
    </row>
    <row r="17" spans="7:18" ht="12.75">
      <c r="G17" s="34"/>
      <c r="J17" s="14"/>
      <c r="K17" s="14"/>
      <c r="M17" s="10"/>
      <c r="N17" s="10"/>
      <c r="O17" s="10"/>
      <c r="P17" s="10"/>
      <c r="Q17" s="18"/>
      <c r="R17" s="10"/>
    </row>
    <row r="18" spans="13:18" ht="12.75">
      <c r="M18" s="10"/>
      <c r="N18" s="10"/>
      <c r="O18" s="10"/>
      <c r="P18" s="10"/>
      <c r="Q18" s="18"/>
      <c r="R18" s="10"/>
    </row>
    <row r="19" ht="12.75">
      <c r="B19" s="39"/>
    </row>
    <row r="20" ht="12.75">
      <c r="B20" s="39"/>
    </row>
    <row r="21" ht="12.75">
      <c r="B21" s="39"/>
    </row>
    <row r="22" ht="12.75">
      <c r="B22" s="39"/>
    </row>
    <row r="23" ht="12.75">
      <c r="B23" s="39"/>
    </row>
    <row r="24" ht="12.75">
      <c r="B24" s="39"/>
    </row>
    <row r="25" ht="12.75">
      <c r="B25" s="39"/>
    </row>
    <row r="26" ht="12.75">
      <c r="B26" s="16"/>
    </row>
    <row r="27" ht="12.75">
      <c r="B27" s="16"/>
    </row>
    <row r="28" ht="12.75">
      <c r="B28" s="16"/>
    </row>
  </sheetData>
  <printOptions gridLines="1"/>
  <pageMargins left="0.46" right="0.39" top="1" bottom="1" header="0.5" footer="0.5"/>
  <pageSetup fitToHeight="1" fitToWidth="1" horizontalDpi="600" verticalDpi="600" orientation="landscape" paperSize="9" scale="9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15" sqref="B15:E15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54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/>
      <c r="D5" s="16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/>
      <c r="D6" s="16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/>
      <c r="D7" s="16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/>
      <c r="D8" s="16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12"/>
      <c r="C9" s="14"/>
      <c r="D9" s="17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/>
      <c r="D10" s="16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14"/>
      <c r="D11" s="17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14"/>
      <c r="D12" s="17"/>
      <c r="E12" s="6"/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14"/>
      <c r="D13" s="16"/>
      <c r="E13" s="6"/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14"/>
      <c r="D14" s="16"/>
      <c r="E14" s="6"/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14"/>
      <c r="D15" s="16"/>
      <c r="E15" s="6"/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F5" sqref="F5:F11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5" width="16.57421875" style="2" customWidth="1"/>
    <col min="6" max="6" width="18.00390625" style="2" customWidth="1"/>
    <col min="7" max="7" width="16.28125" style="2" customWidth="1"/>
    <col min="8" max="8" width="14.7109375" style="2" customWidth="1"/>
    <col min="9" max="9" width="11.421875" style="2" customWidth="1"/>
    <col min="10" max="10" width="13.7109375" style="2" customWidth="1"/>
    <col min="11" max="11" width="11.7109375" style="4" bestFit="1" customWidth="1"/>
    <col min="12" max="13" width="9.140625" style="2" customWidth="1"/>
    <col min="14" max="14" width="12.28125" style="2" bestFit="1" customWidth="1"/>
    <col min="15" max="15" width="11.7109375" style="2" bestFit="1" customWidth="1"/>
    <col min="16" max="16384" width="9.140625" style="2" customWidth="1"/>
  </cols>
  <sheetData>
    <row r="1" ht="20.25">
      <c r="A1" s="3" t="s">
        <v>6</v>
      </c>
    </row>
    <row r="2" spans="4:5" ht="12.75">
      <c r="D2" s="1"/>
      <c r="E2" s="1"/>
    </row>
    <row r="3" spans="2:6" ht="12.75">
      <c r="B3" s="2" t="s">
        <v>2</v>
      </c>
      <c r="C3" s="2" t="s">
        <v>0</v>
      </c>
      <c r="D3" s="2" t="s">
        <v>1</v>
      </c>
      <c r="E3" s="2" t="s">
        <v>4</v>
      </c>
      <c r="F3" s="2" t="s">
        <v>10</v>
      </c>
    </row>
    <row r="4" spans="1:6" ht="12.75">
      <c r="A4" s="5"/>
      <c r="F4" s="6"/>
    </row>
    <row r="5" spans="1:6" ht="12.75">
      <c r="A5" s="5">
        <v>1998</v>
      </c>
      <c r="B5" s="11"/>
      <c r="F5" s="6"/>
    </row>
    <row r="6" spans="1:6" ht="12.75">
      <c r="A6" s="5">
        <v>1999</v>
      </c>
      <c r="F6" s="6"/>
    </row>
    <row r="7" spans="1:6" ht="12.75">
      <c r="A7" s="5">
        <v>2000</v>
      </c>
      <c r="C7" s="10"/>
      <c r="F7" s="6"/>
    </row>
    <row r="8" spans="1:6" ht="12.75">
      <c r="A8" s="9">
        <v>2001</v>
      </c>
      <c r="B8" s="10"/>
      <c r="C8" s="10"/>
      <c r="D8" s="10"/>
      <c r="E8" s="10"/>
      <c r="F8" s="6"/>
    </row>
    <row r="9" spans="1:6" ht="12.75">
      <c r="A9" s="9">
        <v>2002</v>
      </c>
      <c r="B9" s="10"/>
      <c r="C9" s="8"/>
      <c r="D9" s="10"/>
      <c r="E9" s="10"/>
      <c r="F9" s="6"/>
    </row>
    <row r="10" spans="1:6" ht="12.75">
      <c r="A10" s="9">
        <v>2003</v>
      </c>
      <c r="B10" s="8"/>
      <c r="D10" s="8"/>
      <c r="E10" s="8"/>
      <c r="F10" s="6"/>
    </row>
    <row r="11" spans="1:6" ht="12.75">
      <c r="A11" s="9">
        <v>2004</v>
      </c>
      <c r="B11" s="10"/>
      <c r="F11" s="6"/>
    </row>
    <row r="12" spans="1:6" ht="12.75">
      <c r="A12" s="5">
        <v>2005</v>
      </c>
      <c r="B12" s="15">
        <v>77361.46</v>
      </c>
      <c r="C12" s="14">
        <v>1182980.6133333333</v>
      </c>
      <c r="D12" s="15">
        <v>453750</v>
      </c>
      <c r="E12" s="16">
        <v>26531.98</v>
      </c>
      <c r="F12" s="6">
        <f>B12+C12+D12+E12</f>
        <v>1740624.0533333332</v>
      </c>
    </row>
    <row r="13" spans="1:6" ht="12.75">
      <c r="A13" s="5">
        <v>2006</v>
      </c>
      <c r="B13" s="15">
        <v>337106.1</v>
      </c>
      <c r="C13" s="14">
        <v>3035821.44</v>
      </c>
      <c r="D13" s="15">
        <v>319112.45</v>
      </c>
      <c r="E13" s="16">
        <v>53063.96</v>
      </c>
      <c r="F13" s="6">
        <f>B13+C13+D13+E13</f>
        <v>3745103.95</v>
      </c>
    </row>
    <row r="14" spans="1:6" ht="12.75">
      <c r="A14" s="5">
        <v>2007</v>
      </c>
      <c r="B14" s="15">
        <v>370405.49</v>
      </c>
      <c r="C14" s="14">
        <v>3094759.38</v>
      </c>
      <c r="D14" s="15">
        <v>302500</v>
      </c>
      <c r="E14" s="16">
        <v>53063.96</v>
      </c>
      <c r="F14" s="6">
        <f>B14+C14+D14+E14</f>
        <v>3820728.83</v>
      </c>
    </row>
    <row r="15" spans="1:6" ht="12.75">
      <c r="A15" s="5">
        <v>2008</v>
      </c>
      <c r="B15" s="15">
        <v>377129.57</v>
      </c>
      <c r="C15" s="14">
        <v>3214961.78</v>
      </c>
      <c r="D15" s="15">
        <v>131285.51</v>
      </c>
      <c r="E15" s="16">
        <v>53063.96</v>
      </c>
      <c r="F15" s="6">
        <f>B15+C15+D15+E15</f>
        <v>3776440.8199999994</v>
      </c>
    </row>
    <row r="16" ht="12.75">
      <c r="E16" s="16"/>
    </row>
    <row r="17" ht="12.75">
      <c r="E17" s="17"/>
    </row>
    <row r="19" ht="12.75">
      <c r="E19" s="17"/>
    </row>
  </sheetData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A40" sqref="A40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55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/>
      <c r="D5" s="16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/>
      <c r="D6" s="16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/>
      <c r="D7" s="16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/>
      <c r="D8" s="16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12"/>
      <c r="C9" s="14"/>
      <c r="D9" s="17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/>
      <c r="D10" s="16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14"/>
      <c r="D11" s="17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29"/>
      <c r="C12" s="14">
        <v>60650</v>
      </c>
      <c r="D12" s="15">
        <v>15494.11</v>
      </c>
      <c r="E12" s="6">
        <f>B12+C12+D12</f>
        <v>76144.11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29"/>
      <c r="C13" s="14">
        <v>61156.37</v>
      </c>
      <c r="D13" s="15">
        <v>32104.91</v>
      </c>
      <c r="E13" s="6">
        <f>B13+C13+D13</f>
        <v>93261.28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29"/>
      <c r="C14" s="14">
        <v>62062.64</v>
      </c>
      <c r="D14" s="15">
        <v>41549.16</v>
      </c>
      <c r="E14" s="6">
        <f>B14+C14+D14</f>
        <v>103611.8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29"/>
      <c r="C15" s="14">
        <v>64069.94</v>
      </c>
      <c r="D15" s="15">
        <v>29354.6</v>
      </c>
      <c r="E15" s="6">
        <f>B15+C15+D15</f>
        <v>93424.54000000001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40" sqref="A40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56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12"/>
      <c r="C9" s="14"/>
      <c r="D9" s="14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/>
      <c r="D10" s="14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>
        <v>0</v>
      </c>
      <c r="C11" s="30">
        <v>67485</v>
      </c>
      <c r="D11" s="14">
        <v>17138.736666666664</v>
      </c>
      <c r="E11" s="6">
        <f>B11+C11+D11</f>
        <v>84623.73666666666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14">
        <v>7858.71</v>
      </c>
      <c r="C12" s="30">
        <v>69192.112</v>
      </c>
      <c r="D12" s="15">
        <v>8905.19</v>
      </c>
      <c r="E12" s="6">
        <f>B12+C12+D12</f>
        <v>85956.012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14">
        <v>8077.65</v>
      </c>
      <c r="C13" s="30">
        <v>70616.57</v>
      </c>
      <c r="D13" s="15">
        <v>9782.28</v>
      </c>
      <c r="E13" s="6">
        <f>B13+C13+D13</f>
        <v>88476.5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14">
        <v>8222.52</v>
      </c>
      <c r="C14" s="30">
        <v>71626.82</v>
      </c>
      <c r="D14" s="15">
        <v>10843.25</v>
      </c>
      <c r="E14" s="6">
        <f>B14+C14+D14</f>
        <v>90692.59000000001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4">
        <v>8371.89</v>
      </c>
      <c r="C15" s="30">
        <v>74540.77</v>
      </c>
      <c r="D15" s="15">
        <v>10000</v>
      </c>
      <c r="E15" s="6">
        <f>B15+C15+D15</f>
        <v>92912.66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9">
      <selection activeCell="A41" sqref="A41:A44"/>
    </sheetView>
  </sheetViews>
  <sheetFormatPr defaultColWidth="9.140625" defaultRowHeight="12.75"/>
  <cols>
    <col min="1" max="1" width="9.140625" style="2" customWidth="1"/>
    <col min="2" max="8" width="12.00390625" style="2" customWidth="1"/>
    <col min="9" max="9" width="16.28125" style="2" customWidth="1"/>
    <col min="10" max="10" width="14.7109375" style="2" customWidth="1"/>
    <col min="11" max="11" width="11.421875" style="2" customWidth="1"/>
    <col min="12" max="12" width="13.7109375" style="2" customWidth="1"/>
    <col min="13" max="13" width="11.7109375" style="4" bestFit="1" customWidth="1"/>
    <col min="14" max="15" width="9.140625" style="2" customWidth="1"/>
    <col min="16" max="16" width="12.28125" style="2" bestFit="1" customWidth="1"/>
    <col min="17" max="17" width="11.7109375" style="2" bestFit="1" customWidth="1"/>
    <col min="18" max="16384" width="9.140625" style="2" customWidth="1"/>
  </cols>
  <sheetData>
    <row r="1" spans="1:14" ht="20.25">
      <c r="A1" s="3" t="s">
        <v>57</v>
      </c>
      <c r="B1" s="3"/>
      <c r="I1" s="10"/>
      <c r="J1" s="10"/>
      <c r="K1" s="10"/>
      <c r="L1" s="10"/>
      <c r="M1" s="18"/>
      <c r="N1" s="10"/>
    </row>
    <row r="2" spans="9:14" ht="12.75">
      <c r="I2" s="10"/>
      <c r="J2" s="10"/>
      <c r="K2" s="10"/>
      <c r="L2" s="10"/>
      <c r="M2" s="18"/>
      <c r="N2" s="10"/>
    </row>
    <row r="3" spans="2:14" ht="12.75">
      <c r="B3" s="2" t="s">
        <v>2</v>
      </c>
      <c r="D3" s="2" t="s">
        <v>32</v>
      </c>
      <c r="F3" s="2" t="s">
        <v>1</v>
      </c>
      <c r="G3" s="2" t="s">
        <v>4</v>
      </c>
      <c r="H3" s="2" t="s">
        <v>10</v>
      </c>
      <c r="I3" s="10"/>
      <c r="J3" s="10"/>
      <c r="K3" s="10"/>
      <c r="L3" s="10"/>
      <c r="M3" s="18"/>
      <c r="N3" s="10"/>
    </row>
    <row r="4" spans="2:14" ht="12.75">
      <c r="B4" s="2" t="s">
        <v>58</v>
      </c>
      <c r="C4" s="2" t="s">
        <v>59</v>
      </c>
      <c r="D4" s="2" t="s">
        <v>58</v>
      </c>
      <c r="E4" s="2" t="s">
        <v>59</v>
      </c>
      <c r="I4" s="10"/>
      <c r="J4" s="10"/>
      <c r="K4" s="10"/>
      <c r="L4" s="10"/>
      <c r="M4" s="18"/>
      <c r="N4" s="10"/>
    </row>
    <row r="5" spans="1:14" ht="12.75">
      <c r="A5" s="5"/>
      <c r="H5" s="6"/>
      <c r="I5" s="10"/>
      <c r="J5" s="10"/>
      <c r="K5" s="10"/>
      <c r="L5" s="10"/>
      <c r="M5" s="18"/>
      <c r="N5" s="10"/>
    </row>
    <row r="6" spans="1:14" ht="12.75">
      <c r="A6" s="5">
        <v>1998</v>
      </c>
      <c r="C6" s="29"/>
      <c r="D6" s="14"/>
      <c r="E6" s="14"/>
      <c r="F6" s="14"/>
      <c r="G6" s="14"/>
      <c r="H6" s="6"/>
      <c r="I6" s="10"/>
      <c r="J6" s="10"/>
      <c r="K6" s="10"/>
      <c r="L6" s="10"/>
      <c r="M6" s="18"/>
      <c r="N6" s="10"/>
    </row>
    <row r="7" spans="1:14" ht="12.75">
      <c r="A7" s="5">
        <v>1999</v>
      </c>
      <c r="C7" s="29"/>
      <c r="D7" s="14"/>
      <c r="E7" s="14"/>
      <c r="F7" s="14"/>
      <c r="G7" s="14"/>
      <c r="H7" s="6"/>
      <c r="I7" s="10"/>
      <c r="J7" s="10"/>
      <c r="K7" s="10"/>
      <c r="L7" s="10"/>
      <c r="M7" s="18"/>
      <c r="N7" s="10"/>
    </row>
    <row r="8" spans="1:14" ht="12.75">
      <c r="A8" s="5">
        <v>2000</v>
      </c>
      <c r="C8" s="29"/>
      <c r="D8" s="14"/>
      <c r="E8" s="14"/>
      <c r="F8" s="14"/>
      <c r="G8" s="14"/>
      <c r="H8" s="6"/>
      <c r="I8" s="10"/>
      <c r="J8" s="10"/>
      <c r="K8" s="10"/>
      <c r="L8" s="10"/>
      <c r="M8" s="18"/>
      <c r="N8" s="10"/>
    </row>
    <row r="9" spans="1:14" ht="12.75">
      <c r="A9" s="9">
        <v>2001</v>
      </c>
      <c r="B9" s="10"/>
      <c r="C9" s="29"/>
      <c r="D9" s="14"/>
      <c r="E9" s="14"/>
      <c r="F9" s="14"/>
      <c r="G9" s="14"/>
      <c r="H9" s="6"/>
      <c r="I9" s="10"/>
      <c r="J9" s="10"/>
      <c r="K9" s="10"/>
      <c r="L9" s="10"/>
      <c r="M9" s="18"/>
      <c r="N9" s="10"/>
    </row>
    <row r="10" spans="1:14" ht="12.75">
      <c r="A10" s="9">
        <v>2002</v>
      </c>
      <c r="B10" s="10">
        <v>1942.07</v>
      </c>
      <c r="C10" s="13">
        <v>2501.28</v>
      </c>
      <c r="D10" s="14">
        <v>61602.09</v>
      </c>
      <c r="E10" s="14">
        <v>64271.64</v>
      </c>
      <c r="F10" s="14">
        <v>25752.46</v>
      </c>
      <c r="G10" s="22">
        <v>11195.86</v>
      </c>
      <c r="H10" s="6">
        <f>SUM(B10:G10)</f>
        <v>167265.40000000002</v>
      </c>
      <c r="I10" s="10"/>
      <c r="J10" s="19"/>
      <c r="K10" s="10"/>
      <c r="L10" s="10"/>
      <c r="M10" s="18"/>
      <c r="N10" s="10"/>
    </row>
    <row r="11" spans="1:14" ht="12.75">
      <c r="A11" s="9">
        <v>2003</v>
      </c>
      <c r="B11" s="10">
        <v>5847.35</v>
      </c>
      <c r="C11" s="32">
        <v>6039.45</v>
      </c>
      <c r="D11" s="14">
        <v>62204.53</v>
      </c>
      <c r="E11" s="14">
        <v>64900.18</v>
      </c>
      <c r="F11" s="14">
        <v>29889.82</v>
      </c>
      <c r="G11" s="22">
        <v>22391.72</v>
      </c>
      <c r="H11" s="6">
        <f aca="true" t="shared" si="0" ref="H11:H16">SUM(B11:G11)</f>
        <v>191273.05000000002</v>
      </c>
      <c r="I11" s="10"/>
      <c r="J11" s="10"/>
      <c r="K11" s="10"/>
      <c r="L11" s="10"/>
      <c r="M11" s="18"/>
      <c r="N11" s="10"/>
    </row>
    <row r="12" spans="1:14" ht="12.75">
      <c r="A12" s="9">
        <v>2004</v>
      </c>
      <c r="B12" s="10">
        <v>5638.36</v>
      </c>
      <c r="C12" s="32">
        <v>5823.51</v>
      </c>
      <c r="D12" s="14">
        <v>63230.76</v>
      </c>
      <c r="E12" s="14">
        <v>65970.89</v>
      </c>
      <c r="F12" s="14">
        <v>29600.62</v>
      </c>
      <c r="G12" s="22">
        <v>22391.72</v>
      </c>
      <c r="H12" s="6">
        <f t="shared" si="0"/>
        <v>192655.86000000002</v>
      </c>
      <c r="I12" s="10"/>
      <c r="J12" s="10"/>
      <c r="K12" s="10"/>
      <c r="L12" s="10"/>
      <c r="M12" s="18"/>
      <c r="N12" s="10"/>
    </row>
    <row r="13" spans="1:14" ht="12.75">
      <c r="A13" s="5">
        <v>2005</v>
      </c>
      <c r="B13" s="2">
        <v>5755.86</v>
      </c>
      <c r="C13" s="14">
        <v>5945.65</v>
      </c>
      <c r="D13" s="14">
        <v>64551.94</v>
      </c>
      <c r="E13" s="14">
        <v>67349.32</v>
      </c>
      <c r="F13" s="15">
        <v>33917.4</v>
      </c>
      <c r="G13" s="22">
        <v>22391.72</v>
      </c>
      <c r="H13" s="6">
        <f t="shared" si="0"/>
        <v>199911.89</v>
      </c>
      <c r="I13" s="10"/>
      <c r="J13" s="10"/>
      <c r="K13" s="10"/>
      <c r="L13" s="10"/>
      <c r="M13" s="20"/>
      <c r="N13" s="10"/>
    </row>
    <row r="14" spans="1:14" ht="12.75">
      <c r="A14" s="5">
        <v>2006</v>
      </c>
      <c r="B14" s="2">
        <v>5916.73</v>
      </c>
      <c r="C14" s="14">
        <v>6111.16</v>
      </c>
      <c r="D14" s="14">
        <v>65833.11</v>
      </c>
      <c r="E14" s="14">
        <v>68686.01</v>
      </c>
      <c r="F14" s="15">
        <v>37657.98</v>
      </c>
      <c r="G14" s="22">
        <v>22391.72</v>
      </c>
      <c r="H14" s="6">
        <f t="shared" si="0"/>
        <v>206596.71000000002</v>
      </c>
      <c r="I14" s="10"/>
      <c r="J14" s="10"/>
      <c r="K14" s="10"/>
      <c r="L14" s="10"/>
      <c r="M14" s="18"/>
      <c r="N14" s="10"/>
    </row>
    <row r="15" spans="1:14" ht="12.75">
      <c r="A15" s="5">
        <v>2007</v>
      </c>
      <c r="B15" s="2">
        <v>6023.02</v>
      </c>
      <c r="C15" s="14">
        <v>6220.75</v>
      </c>
      <c r="D15" s="14">
        <v>66770.02</v>
      </c>
      <c r="E15" s="14">
        <v>69663.52</v>
      </c>
      <c r="F15" s="15">
        <v>42069.5</v>
      </c>
      <c r="G15" s="22">
        <v>22391.72</v>
      </c>
      <c r="H15" s="6">
        <f t="shared" si="0"/>
        <v>213138.53</v>
      </c>
      <c r="I15" s="10"/>
      <c r="J15" s="10"/>
      <c r="K15" s="10"/>
      <c r="L15" s="10"/>
      <c r="M15" s="18"/>
      <c r="N15" s="10"/>
    </row>
    <row r="16" spans="1:14" ht="12.75">
      <c r="A16" s="5">
        <v>2008</v>
      </c>
      <c r="B16" s="2">
        <v>6050.01</v>
      </c>
      <c r="C16" s="14">
        <v>6248.78</v>
      </c>
      <c r="D16" s="14">
        <v>69043</v>
      </c>
      <c r="E16" s="14">
        <v>72035</v>
      </c>
      <c r="F16" s="15">
        <v>38800</v>
      </c>
      <c r="G16" s="15"/>
      <c r="H16" s="6">
        <f t="shared" si="0"/>
        <v>192176.79</v>
      </c>
      <c r="I16" s="10"/>
      <c r="J16" s="10"/>
      <c r="K16" s="10"/>
      <c r="L16" s="10"/>
      <c r="M16" s="18"/>
      <c r="N16" s="10"/>
    </row>
    <row r="17" spans="5:14" ht="12.75">
      <c r="E17" s="14"/>
      <c r="F17" s="14"/>
      <c r="G17" s="14"/>
      <c r="I17" s="10"/>
      <c r="J17" s="10"/>
      <c r="K17" s="10"/>
      <c r="L17" s="10"/>
      <c r="M17" s="18"/>
      <c r="N17" s="10"/>
    </row>
    <row r="18" spans="9:14" ht="12.75">
      <c r="I18" s="10"/>
      <c r="J18" s="10"/>
      <c r="K18" s="10"/>
      <c r="L18" s="10"/>
      <c r="M18" s="18"/>
      <c r="N18" s="10"/>
    </row>
  </sheetData>
  <printOptions/>
  <pageMargins left="0.5" right="0.63" top="1" bottom="1" header="0.5" footer="0.5"/>
  <pageSetup fitToHeight="1" fitToWidth="1" horizontalDpi="600" verticalDpi="600" orientation="portrait" paperSize="9" scale="99" r:id="rId2"/>
  <ignoredErrors>
    <ignoredError sqref="H10:H16" formulaRange="1"/>
  </ignoredError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40" sqref="A40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91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12"/>
      <c r="C9" s="14"/>
      <c r="D9" s="14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/>
      <c r="D10" s="14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30"/>
      <c r="D11" s="14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14"/>
      <c r="C12" s="30"/>
      <c r="D12" s="15"/>
      <c r="E12" s="6"/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14">
        <v>0</v>
      </c>
      <c r="C13" s="14">
        <v>55345</v>
      </c>
      <c r="D13" s="15">
        <v>3492.82</v>
      </c>
      <c r="E13" s="6">
        <f>B13+C13+D13</f>
        <v>58837.82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16">
        <v>5471.57</v>
      </c>
      <c r="C14" s="14">
        <v>56695.12</v>
      </c>
      <c r="D14" s="15">
        <v>3702.52</v>
      </c>
      <c r="E14" s="6">
        <f>B14+C14+D14</f>
        <v>65869.21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6">
        <v>5570.93</v>
      </c>
      <c r="C15" s="14">
        <v>57469.12</v>
      </c>
      <c r="D15" s="15">
        <v>2500</v>
      </c>
      <c r="E15" s="6">
        <f>B15+C15+D15</f>
        <v>65540.05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25">
      <selection activeCell="A46" sqref="A46"/>
    </sheetView>
  </sheetViews>
  <sheetFormatPr defaultColWidth="9.140625" defaultRowHeight="12.75"/>
  <cols>
    <col min="1" max="1" width="8.00390625" style="2" customWidth="1"/>
    <col min="2" max="10" width="10.8515625" style="2" customWidth="1"/>
    <col min="11" max="11" width="16.28125" style="2" customWidth="1"/>
    <col min="12" max="12" width="14.7109375" style="2" customWidth="1"/>
    <col min="13" max="13" width="11.421875" style="2" customWidth="1"/>
    <col min="14" max="14" width="13.7109375" style="2" customWidth="1"/>
    <col min="15" max="15" width="11.7109375" style="4" bestFit="1" customWidth="1"/>
    <col min="16" max="17" width="9.140625" style="2" customWidth="1"/>
    <col min="18" max="18" width="12.28125" style="2" bestFit="1" customWidth="1"/>
    <col min="19" max="19" width="11.7109375" style="2" bestFit="1" customWidth="1"/>
    <col min="20" max="16384" width="9.140625" style="2" customWidth="1"/>
  </cols>
  <sheetData>
    <row r="1" spans="1:16" ht="20.25">
      <c r="A1" s="3" t="s">
        <v>90</v>
      </c>
      <c r="K1" s="10"/>
      <c r="L1" s="10"/>
      <c r="M1" s="10"/>
      <c r="N1" s="10"/>
      <c r="O1" s="18"/>
      <c r="P1" s="10"/>
    </row>
    <row r="2" spans="11:16" ht="12.75">
      <c r="K2" s="10"/>
      <c r="L2" s="10"/>
      <c r="M2" s="10"/>
      <c r="N2" s="10"/>
      <c r="O2" s="18"/>
      <c r="P2" s="10"/>
    </row>
    <row r="3" spans="2:16" ht="12.75">
      <c r="B3" s="2" t="s">
        <v>2</v>
      </c>
      <c r="D3" s="2" t="s">
        <v>32</v>
      </c>
      <c r="F3" s="2" t="s">
        <v>1</v>
      </c>
      <c r="H3" s="2" t="s">
        <v>62</v>
      </c>
      <c r="J3" s="2" t="s">
        <v>10</v>
      </c>
      <c r="K3" s="10"/>
      <c r="L3" s="10"/>
      <c r="M3" s="10"/>
      <c r="N3" s="10"/>
      <c r="O3" s="18"/>
      <c r="P3" s="10"/>
    </row>
    <row r="4" spans="2:16" ht="12.75">
      <c r="B4" s="2" t="s">
        <v>60</v>
      </c>
      <c r="C4" s="2" t="s">
        <v>61</v>
      </c>
      <c r="D4" s="2" t="s">
        <v>60</v>
      </c>
      <c r="E4" s="2" t="s">
        <v>61</v>
      </c>
      <c r="F4" s="2" t="s">
        <v>60</v>
      </c>
      <c r="G4" s="2" t="s">
        <v>61</v>
      </c>
      <c r="H4" s="2" t="s">
        <v>60</v>
      </c>
      <c r="I4" s="2" t="s">
        <v>61</v>
      </c>
      <c r="K4" s="10"/>
      <c r="L4" s="10"/>
      <c r="M4" s="10"/>
      <c r="N4" s="10"/>
      <c r="O4" s="18"/>
      <c r="P4" s="10"/>
    </row>
    <row r="5" spans="1:16" ht="12.75">
      <c r="A5" s="5"/>
      <c r="J5" s="6"/>
      <c r="K5" s="10"/>
      <c r="L5" s="10"/>
      <c r="M5" s="10"/>
      <c r="N5" s="10"/>
      <c r="O5" s="18"/>
      <c r="P5" s="10"/>
    </row>
    <row r="6" spans="1:16" ht="12.75">
      <c r="A6" s="5">
        <v>1998</v>
      </c>
      <c r="B6" s="14">
        <v>2020.6049097791517</v>
      </c>
      <c r="C6" s="29">
        <v>1006.5716573417386</v>
      </c>
      <c r="D6" s="14">
        <v>33588.48187526494</v>
      </c>
      <c r="E6" s="14">
        <v>16699.44645375918</v>
      </c>
      <c r="F6" s="40">
        <v>2674.9446577705944</v>
      </c>
      <c r="G6" s="14">
        <v>1337.7574064387863</v>
      </c>
      <c r="H6" s="2">
        <f>B6+D6+F6</f>
        <v>38284.03144281469</v>
      </c>
      <c r="I6" s="2">
        <f>C6+E6+G6</f>
        <v>19043.775517539703</v>
      </c>
      <c r="J6" s="6">
        <f>H6+I6</f>
        <v>57327.80696035439</v>
      </c>
      <c r="K6" s="10"/>
      <c r="L6" s="10"/>
      <c r="M6" s="10"/>
      <c r="N6" s="10"/>
      <c r="O6" s="18"/>
      <c r="P6" s="10"/>
    </row>
    <row r="7" spans="1:16" ht="12.75">
      <c r="A7" s="5">
        <v>1999</v>
      </c>
      <c r="B7" s="14">
        <v>2081.785031693187</v>
      </c>
      <c r="C7" s="29">
        <v>1035.4264636253436</v>
      </c>
      <c r="D7" s="14">
        <v>33993.65997310355</v>
      </c>
      <c r="E7" s="14">
        <v>16906.21422118052</v>
      </c>
      <c r="F7" s="40">
        <v>2650.3784094655666</v>
      </c>
      <c r="G7" s="14">
        <v>1595.3683573831368</v>
      </c>
      <c r="H7" s="2">
        <f aca="true" t="shared" si="0" ref="H7:H16">B7+D7+F7</f>
        <v>38725.823414262304</v>
      </c>
      <c r="I7" s="2">
        <f aca="true" t="shared" si="1" ref="I7:I16">C7+E7+G7</f>
        <v>19537.009042188998</v>
      </c>
      <c r="J7" s="6">
        <f aca="true" t="shared" si="2" ref="J7:J16">H7+I7</f>
        <v>58262.8324564513</v>
      </c>
      <c r="K7" s="10"/>
      <c r="L7" s="10"/>
      <c r="M7" s="10"/>
      <c r="N7" s="10"/>
      <c r="O7" s="18"/>
      <c r="P7" s="10"/>
    </row>
    <row r="8" spans="1:16" ht="12.75">
      <c r="A8" s="5">
        <v>2000</v>
      </c>
      <c r="B8" s="14">
        <v>2069.1920406347067</v>
      </c>
      <c r="C8" s="29">
        <v>1029.7497019080365</v>
      </c>
      <c r="D8" s="14">
        <v>34194.196260699704</v>
      </c>
      <c r="E8" s="14">
        <v>17040.048623100207</v>
      </c>
      <c r="F8" s="40">
        <v>2629.704089499478</v>
      </c>
      <c r="G8" s="14">
        <v>1379.8745162977598</v>
      </c>
      <c r="H8" s="2">
        <f t="shared" si="0"/>
        <v>38893.09239083389</v>
      </c>
      <c r="I8" s="2">
        <f t="shared" si="1"/>
        <v>19449.672841306005</v>
      </c>
      <c r="J8" s="6">
        <f t="shared" si="2"/>
        <v>58342.76523213989</v>
      </c>
      <c r="K8" s="10"/>
      <c r="L8" s="10"/>
      <c r="M8" s="10"/>
      <c r="N8" s="10"/>
      <c r="O8" s="18"/>
      <c r="P8" s="10"/>
    </row>
    <row r="9" spans="1:16" ht="12.75">
      <c r="A9" s="9">
        <v>2001</v>
      </c>
      <c r="B9" s="14">
        <v>2214.8294864389845</v>
      </c>
      <c r="C9" s="29">
        <v>1101.118247690252</v>
      </c>
      <c r="D9" s="14">
        <v>35376.98</v>
      </c>
      <c r="E9" s="14">
        <v>16281.650434421008</v>
      </c>
      <c r="F9" s="40">
        <v>2394.813665527183</v>
      </c>
      <c r="G9" s="14">
        <v>1349.6810849803792</v>
      </c>
      <c r="H9" s="2">
        <f t="shared" si="0"/>
        <v>39986.62315196617</v>
      </c>
      <c r="I9" s="2">
        <f t="shared" si="1"/>
        <v>18732.44976709164</v>
      </c>
      <c r="J9" s="6">
        <f t="shared" si="2"/>
        <v>58719.072919057806</v>
      </c>
      <c r="K9" s="10"/>
      <c r="L9" s="10"/>
      <c r="M9" s="10"/>
      <c r="N9" s="10"/>
      <c r="O9" s="18"/>
      <c r="P9" s="10"/>
    </row>
    <row r="10" spans="1:16" ht="12.75">
      <c r="A10" s="9">
        <v>2002</v>
      </c>
      <c r="B10" s="14">
        <v>2258.05</v>
      </c>
      <c r="C10" s="12">
        <v>1119.36</v>
      </c>
      <c r="D10" s="14">
        <v>36394.71</v>
      </c>
      <c r="E10" s="14">
        <v>19135.665</v>
      </c>
      <c r="F10" s="41">
        <v>2238.14</v>
      </c>
      <c r="G10" s="14">
        <v>1238.8</v>
      </c>
      <c r="H10" s="2">
        <f t="shared" si="0"/>
        <v>40890.9</v>
      </c>
      <c r="I10" s="2">
        <f t="shared" si="1"/>
        <v>21493.825</v>
      </c>
      <c r="J10" s="6">
        <f t="shared" si="2"/>
        <v>62384.725000000006</v>
      </c>
      <c r="K10" s="10"/>
      <c r="L10" s="19"/>
      <c r="M10" s="10"/>
      <c r="N10" s="10"/>
      <c r="O10" s="18"/>
      <c r="P10" s="10"/>
    </row>
    <row r="11" spans="1:16" ht="12.75">
      <c r="A11" s="9">
        <v>2003</v>
      </c>
      <c r="B11" s="14">
        <v>2603.39</v>
      </c>
      <c r="C11" s="29">
        <v>1306.17</v>
      </c>
      <c r="D11" s="14">
        <v>36629.34</v>
      </c>
      <c r="E11" s="14">
        <v>18169</v>
      </c>
      <c r="F11" s="40">
        <v>1544.55</v>
      </c>
      <c r="G11" s="14">
        <v>767.03</v>
      </c>
      <c r="H11" s="2">
        <f t="shared" si="0"/>
        <v>40777.28</v>
      </c>
      <c r="I11" s="2">
        <f t="shared" si="1"/>
        <v>20242.199999999997</v>
      </c>
      <c r="J11" s="6">
        <f t="shared" si="2"/>
        <v>61019.479999999996</v>
      </c>
      <c r="K11" s="10"/>
      <c r="L11" s="10"/>
      <c r="M11" s="10"/>
      <c r="N11" s="10"/>
      <c r="O11" s="18"/>
      <c r="P11" s="10"/>
    </row>
    <row r="12" spans="1:16" ht="12.75">
      <c r="A12" s="9">
        <v>2004</v>
      </c>
      <c r="B12" s="14">
        <v>2492.85</v>
      </c>
      <c r="C12" s="29">
        <v>1250.78</v>
      </c>
      <c r="D12" s="30">
        <v>37305.98</v>
      </c>
      <c r="E12" s="30">
        <v>18481.39</v>
      </c>
      <c r="F12" s="40">
        <v>1413.44</v>
      </c>
      <c r="G12" s="14">
        <v>986.35</v>
      </c>
      <c r="H12" s="2">
        <f t="shared" si="0"/>
        <v>41212.270000000004</v>
      </c>
      <c r="I12" s="2">
        <f t="shared" si="1"/>
        <v>20718.519999999997</v>
      </c>
      <c r="J12" s="6">
        <f t="shared" si="2"/>
        <v>61930.79</v>
      </c>
      <c r="K12" s="10"/>
      <c r="L12" s="10"/>
      <c r="M12" s="10"/>
      <c r="N12" s="10"/>
      <c r="O12" s="18"/>
      <c r="P12" s="10"/>
    </row>
    <row r="13" spans="1:16" ht="12.75">
      <c r="A13" s="5">
        <v>2005</v>
      </c>
      <c r="B13" s="15">
        <v>2563.74</v>
      </c>
      <c r="C13" s="14">
        <v>1272.03</v>
      </c>
      <c r="D13" s="30">
        <v>37794.38</v>
      </c>
      <c r="E13" s="30">
        <v>18902.85</v>
      </c>
      <c r="F13" s="40">
        <v>2410.31</v>
      </c>
      <c r="G13" s="15">
        <v>1199.78</v>
      </c>
      <c r="H13" s="2">
        <f t="shared" si="0"/>
        <v>42768.42999999999</v>
      </c>
      <c r="I13" s="2">
        <f t="shared" si="1"/>
        <v>21374.659999999996</v>
      </c>
      <c r="J13" s="6">
        <f t="shared" si="2"/>
        <v>64143.08999999999</v>
      </c>
      <c r="K13" s="10"/>
      <c r="L13" s="10"/>
      <c r="M13" s="10"/>
      <c r="N13" s="10"/>
      <c r="O13" s="20"/>
      <c r="P13" s="10"/>
    </row>
    <row r="14" spans="1:16" ht="12.75">
      <c r="A14" s="5">
        <v>2006</v>
      </c>
      <c r="B14" s="15">
        <v>3841.88</v>
      </c>
      <c r="C14" s="14">
        <v>1319.77</v>
      </c>
      <c r="D14" s="14">
        <v>19607.96</v>
      </c>
      <c r="E14" s="14">
        <v>19203.87</v>
      </c>
      <c r="F14" s="40">
        <v>1422.29</v>
      </c>
      <c r="G14" s="15">
        <v>1173.99</v>
      </c>
      <c r="H14" s="2">
        <f t="shared" si="0"/>
        <v>24872.13</v>
      </c>
      <c r="I14" s="2">
        <f t="shared" si="1"/>
        <v>21697.63</v>
      </c>
      <c r="J14" s="6">
        <f t="shared" si="2"/>
        <v>46569.76</v>
      </c>
      <c r="K14" s="10"/>
      <c r="L14" s="10"/>
      <c r="M14" s="10"/>
      <c r="N14" s="10"/>
      <c r="O14" s="18"/>
      <c r="P14" s="10"/>
    </row>
    <row r="15" spans="1:16" ht="12.75">
      <c r="A15" s="5">
        <v>2007</v>
      </c>
      <c r="B15" s="16"/>
      <c r="C15" s="16">
        <v>1517.92</v>
      </c>
      <c r="D15" s="14"/>
      <c r="E15" s="14">
        <v>19583.35</v>
      </c>
      <c r="F15" s="15"/>
      <c r="G15" s="15">
        <v>1326.15</v>
      </c>
      <c r="H15" s="2">
        <f t="shared" si="0"/>
        <v>0</v>
      </c>
      <c r="I15" s="2">
        <f t="shared" si="1"/>
        <v>22427.42</v>
      </c>
      <c r="J15" s="6">
        <f t="shared" si="2"/>
        <v>22427.42</v>
      </c>
      <c r="K15" s="10"/>
      <c r="L15" s="10"/>
      <c r="M15" s="10"/>
      <c r="N15" s="10"/>
      <c r="O15" s="18"/>
      <c r="P15" s="10"/>
    </row>
    <row r="16" spans="1:16" ht="12.75">
      <c r="A16" s="5">
        <v>2008</v>
      </c>
      <c r="B16" s="16"/>
      <c r="C16" s="16">
        <v>1545.46</v>
      </c>
      <c r="D16" s="14"/>
      <c r="E16" s="14">
        <v>19925.12</v>
      </c>
      <c r="F16" s="15"/>
      <c r="G16" s="15">
        <v>800</v>
      </c>
      <c r="H16" s="2">
        <f t="shared" si="0"/>
        <v>0</v>
      </c>
      <c r="I16" s="2">
        <f t="shared" si="1"/>
        <v>22270.579999999998</v>
      </c>
      <c r="J16" s="6">
        <f t="shared" si="2"/>
        <v>22270.579999999998</v>
      </c>
      <c r="K16" s="10"/>
      <c r="L16" s="10"/>
      <c r="M16" s="10"/>
      <c r="N16" s="10"/>
      <c r="O16" s="18"/>
      <c r="P16" s="10"/>
    </row>
    <row r="17" spans="6:16" ht="12.75">
      <c r="F17" s="14"/>
      <c r="G17" s="14"/>
      <c r="H17" s="14"/>
      <c r="I17" s="14"/>
      <c r="K17" s="10"/>
      <c r="L17" s="10"/>
      <c r="M17" s="10"/>
      <c r="N17" s="10"/>
      <c r="O17" s="18"/>
      <c r="P17" s="10"/>
    </row>
    <row r="18" spans="11:16" ht="12.75">
      <c r="K18" s="10"/>
      <c r="L18" s="10"/>
      <c r="M18" s="10"/>
      <c r="N18" s="10"/>
      <c r="O18" s="18"/>
      <c r="P18" s="10"/>
    </row>
  </sheetData>
  <printOptions/>
  <pageMargins left="0.75" right="0.75" top="1" bottom="1" header="0.5" footer="0.5"/>
  <pageSetup fitToHeight="1" fitToWidth="1" horizontalDpi="600" verticalDpi="600" orientation="portrait" paperSize="9" scale="82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39" sqref="A39:A43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63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9"/>
      <c r="C8" s="14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12"/>
      <c r="C9" s="14"/>
      <c r="D9" s="14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9"/>
      <c r="C10" s="14"/>
      <c r="D10" s="14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29"/>
      <c r="C11" s="14">
        <v>218574.93</v>
      </c>
      <c r="D11" s="15">
        <v>41697.31</v>
      </c>
      <c r="E11" s="6">
        <f>B11+C11+D11</f>
        <v>260272.24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14"/>
      <c r="C12" s="14">
        <v>222668.28</v>
      </c>
      <c r="D12" s="15">
        <v>48177.61</v>
      </c>
      <c r="E12" s="6">
        <f>B12+C12+D12</f>
        <v>270845.89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14"/>
      <c r="C13" s="14">
        <v>227589.98</v>
      </c>
      <c r="D13" s="15">
        <v>46324.68</v>
      </c>
      <c r="E13" s="6">
        <f>B13+C13+D13</f>
        <v>273914.66000000003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16"/>
      <c r="C14" s="14">
        <v>307117.142</v>
      </c>
      <c r="D14" s="15">
        <v>62206.19</v>
      </c>
      <c r="E14" s="6">
        <f>B14+C14+D14</f>
        <v>369323.332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6"/>
      <c r="C15" s="14">
        <v>315161.77</v>
      </c>
      <c r="D15" s="15">
        <v>80000</v>
      </c>
      <c r="E15" s="6">
        <f>B15+C15+D15</f>
        <v>395161.77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A40" sqref="A40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64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14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40">
        <v>2621.91</v>
      </c>
      <c r="C8" s="14">
        <v>41646.11608095211</v>
      </c>
      <c r="D8" s="14">
        <v>3964.9576238661966</v>
      </c>
      <c r="E8" s="6">
        <f aca="true" t="shared" si="0" ref="E8:E15">B8+C8+D8</f>
        <v>48232.98370481831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0">
        <v>2806.87</v>
      </c>
      <c r="C9" s="14">
        <v>43220.35</v>
      </c>
      <c r="D9" s="14">
        <v>4322.99</v>
      </c>
      <c r="E9" s="6">
        <f t="shared" si="0"/>
        <v>50350.21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>
        <v>2852.6</v>
      </c>
      <c r="C10" s="14">
        <v>43456.34</v>
      </c>
      <c r="D10" s="14">
        <v>4281.87</v>
      </c>
      <c r="E10" s="6">
        <f t="shared" si="0"/>
        <v>50590.81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>
        <v>2721.99</v>
      </c>
      <c r="C11" s="14">
        <v>44179.89</v>
      </c>
      <c r="D11" s="14">
        <v>4288.87</v>
      </c>
      <c r="E11" s="6">
        <f t="shared" si="0"/>
        <v>51190.75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>
        <v>3311.6</v>
      </c>
      <c r="C12" s="14">
        <v>44984.29</v>
      </c>
      <c r="D12" s="14">
        <v>6255.61</v>
      </c>
      <c r="E12" s="6">
        <f t="shared" si="0"/>
        <v>54551.5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>
        <v>3403.86</v>
      </c>
      <c r="C13" s="14">
        <v>45902.77</v>
      </c>
      <c r="D13" s="14">
        <v>4227.73</v>
      </c>
      <c r="E13" s="6">
        <f t="shared" si="0"/>
        <v>53534.36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>
        <v>3465.07</v>
      </c>
      <c r="C14" s="14">
        <v>46843.39</v>
      </c>
      <c r="D14" s="14">
        <v>5725.5</v>
      </c>
      <c r="E14" s="6">
        <f t="shared" si="0"/>
        <v>56033.96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>
        <v>3528.25</v>
      </c>
      <c r="C15" s="14">
        <v>48207.09</v>
      </c>
      <c r="D15" s="14">
        <v>8470.88</v>
      </c>
      <c r="E15" s="6">
        <f t="shared" si="0"/>
        <v>60206.219999999994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G21" sqref="G21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65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42">
        <v>5622.919243726434</v>
      </c>
      <c r="D5" s="14"/>
      <c r="E5" s="6">
        <f>B5+C5+D5</f>
        <v>5622.919243726434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42">
        <v>5693.072894008166</v>
      </c>
      <c r="D6" s="14"/>
      <c r="E6" s="6">
        <f aca="true" t="shared" si="0" ref="E6:E15">B6+C6+D6</f>
        <v>5693.072894008166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42">
        <v>5736.085019447246</v>
      </c>
      <c r="D7" s="14"/>
      <c r="E7" s="6">
        <f t="shared" si="0"/>
        <v>5736.085019447246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42">
        <v>5907.85</v>
      </c>
      <c r="D8" s="14"/>
      <c r="E8" s="6">
        <f t="shared" si="0"/>
        <v>5907.85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0"/>
      <c r="C9" s="42">
        <v>6105.25</v>
      </c>
      <c r="D9" s="14"/>
      <c r="E9" s="6">
        <f t="shared" si="0"/>
        <v>6105.25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/>
      <c r="C10" s="42">
        <v>6117.6</v>
      </c>
      <c r="D10" s="14"/>
      <c r="E10" s="6">
        <f t="shared" si="0"/>
        <v>6117.6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/>
      <c r="C11" s="42">
        <v>6226.14</v>
      </c>
      <c r="D11" s="14"/>
      <c r="E11" s="6">
        <f t="shared" si="0"/>
        <v>6226.14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/>
      <c r="C12" s="42">
        <v>6426.5</v>
      </c>
      <c r="D12" s="14"/>
      <c r="E12" s="6">
        <f t="shared" si="0"/>
        <v>6426.5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/>
      <c r="C13" s="42">
        <v>6477.67</v>
      </c>
      <c r="D13" s="14"/>
      <c r="E13" s="6">
        <f t="shared" si="0"/>
        <v>6477.67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/>
      <c r="C14" s="42">
        <v>6597.39</v>
      </c>
      <c r="D14" s="14"/>
      <c r="E14" s="6">
        <f t="shared" si="0"/>
        <v>6597.39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42">
        <v>6815.81</v>
      </c>
      <c r="D15" s="14"/>
      <c r="E15" s="6">
        <f t="shared" si="0"/>
        <v>6815.81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E5" sqref="E5:E6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66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42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42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>
        <v>10411.526030357041</v>
      </c>
      <c r="D7" s="14"/>
      <c r="E7" s="6">
        <f aca="true" t="shared" si="0" ref="E7:E15">B7+C7+D7</f>
        <v>10411.526030357041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14">
        <v>10558.72</v>
      </c>
      <c r="D8" s="14"/>
      <c r="E8" s="6">
        <f t="shared" si="0"/>
        <v>10558.72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0"/>
      <c r="C9" s="14">
        <v>10879.36</v>
      </c>
      <c r="D9" s="14"/>
      <c r="E9" s="6">
        <f t="shared" si="0"/>
        <v>10879.36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/>
      <c r="C10" s="14">
        <v>10972.64</v>
      </c>
      <c r="D10" s="14"/>
      <c r="E10" s="6">
        <f t="shared" si="0"/>
        <v>10972.64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/>
      <c r="C11" s="14">
        <v>11158.93</v>
      </c>
      <c r="D11" s="14"/>
      <c r="E11" s="6">
        <f t="shared" si="0"/>
        <v>11158.93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/>
      <c r="C12" s="14">
        <v>11353.87</v>
      </c>
      <c r="D12" s="14"/>
      <c r="E12" s="6">
        <f t="shared" si="0"/>
        <v>11353.87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/>
      <c r="C13" s="14">
        <v>11635.17</v>
      </c>
      <c r="D13" s="14"/>
      <c r="E13" s="6">
        <f t="shared" si="0"/>
        <v>11635.17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/>
      <c r="C14" s="14">
        <v>11839.01</v>
      </c>
      <c r="D14" s="14"/>
      <c r="E14" s="6">
        <f t="shared" si="0"/>
        <v>11839.01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14">
        <v>12173.5</v>
      </c>
      <c r="D15" s="14"/>
      <c r="E15" s="6">
        <f t="shared" si="0"/>
        <v>12173.5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A39" sqref="A39:A41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67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>
        <v>1203.0024863720535</v>
      </c>
      <c r="C5" s="42">
        <v>25383.97467519751</v>
      </c>
      <c r="D5" s="14">
        <v>1982.5532537264594</v>
      </c>
      <c r="E5" s="6">
        <f>B5+C5+D5</f>
        <v>28569.530415296023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>
        <v>1214.5791139789637</v>
      </c>
      <c r="C6" s="42">
        <v>25613.57731218967</v>
      </c>
      <c r="D6" s="14">
        <v>1420.5786330655258</v>
      </c>
      <c r="E6" s="6">
        <f aca="true" t="shared" si="0" ref="E6:E15">B6+C6+D6</f>
        <v>28248.73505923416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>
        <v>1232.7992880497968</v>
      </c>
      <c r="C7" s="14">
        <v>25957.803110741475</v>
      </c>
      <c r="D7" s="14">
        <v>1583.9404658910905</v>
      </c>
      <c r="E7" s="6">
        <f t="shared" si="0"/>
        <v>28774.54286468236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>
        <v>1305.0602505211962</v>
      </c>
      <c r="C8" s="14">
        <v>26605.68</v>
      </c>
      <c r="D8" s="14">
        <v>1441.8478974910697</v>
      </c>
      <c r="E8" s="6">
        <f t="shared" si="0"/>
        <v>29352.588148012266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0">
        <v>1392.32</v>
      </c>
      <c r="C9" s="14">
        <v>27332.83</v>
      </c>
      <c r="D9" s="14">
        <v>1282.56</v>
      </c>
      <c r="E9" s="6">
        <f t="shared" si="0"/>
        <v>30007.710000000003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>
        <v>1407.5</v>
      </c>
      <c r="C10" s="14">
        <v>27582.78</v>
      </c>
      <c r="D10" s="14">
        <v>0</v>
      </c>
      <c r="E10" s="6">
        <f t="shared" si="0"/>
        <v>28990.28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>
        <v>0</v>
      </c>
      <c r="C11" s="14">
        <v>28045.68</v>
      </c>
      <c r="D11" s="14">
        <v>689.24</v>
      </c>
      <c r="E11" s="6">
        <f t="shared" si="0"/>
        <v>28734.920000000002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>
        <v>1459.55</v>
      </c>
      <c r="C12" s="14">
        <v>28535.24</v>
      </c>
      <c r="D12" s="14">
        <v>528.85</v>
      </c>
      <c r="E12" s="6">
        <f t="shared" si="0"/>
        <v>30523.64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>
        <v>1500.58</v>
      </c>
      <c r="C13" s="14">
        <v>29235.73</v>
      </c>
      <c r="D13" s="14">
        <v>618.44</v>
      </c>
      <c r="E13" s="6">
        <f t="shared" si="0"/>
        <v>31354.749999999996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>
        <v>1527.21</v>
      </c>
      <c r="C14" s="14">
        <v>29753.68</v>
      </c>
      <c r="D14" s="14">
        <v>0</v>
      </c>
      <c r="E14" s="6">
        <f t="shared" si="0"/>
        <v>31280.89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>
        <v>1647.1</v>
      </c>
      <c r="C15" s="14">
        <v>30585.91</v>
      </c>
      <c r="D15" s="14">
        <v>0</v>
      </c>
      <c r="E15" s="6">
        <f t="shared" si="0"/>
        <v>32233.01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7">
      <selection activeCell="F1" sqref="F1:M16384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hidden="1" customWidth="1"/>
    <col min="7" max="7" width="14.7109375" style="2" hidden="1" customWidth="1"/>
    <col min="8" max="8" width="11.421875" style="2" hidden="1" customWidth="1"/>
    <col min="9" max="9" width="13.7109375" style="2" hidden="1" customWidth="1"/>
    <col min="10" max="10" width="11.7109375" style="4" hidden="1" customWidth="1"/>
    <col min="11" max="12" width="9.140625" style="2" hidden="1" customWidth="1"/>
    <col min="13" max="13" width="12.28125" style="2" hidden="1" customWidth="1"/>
    <col min="14" max="14" width="11.7109375" style="2" bestFit="1" customWidth="1"/>
    <col min="15" max="16384" width="9.140625" style="2" customWidth="1"/>
  </cols>
  <sheetData>
    <row r="1" ht="20.25">
      <c r="A1" s="3" t="s">
        <v>3</v>
      </c>
    </row>
    <row r="2" ht="12.75">
      <c r="D2" s="1"/>
    </row>
    <row r="3" spans="2:5" ht="12.75">
      <c r="B3" s="2" t="s">
        <v>2</v>
      </c>
      <c r="C3" s="2" t="s">
        <v>0</v>
      </c>
      <c r="D3" s="2" t="s">
        <v>9</v>
      </c>
      <c r="E3" s="2" t="s">
        <v>10</v>
      </c>
    </row>
    <row r="4" spans="1:5" ht="12.75">
      <c r="A4" s="5"/>
      <c r="E4" s="6"/>
    </row>
    <row r="5" spans="1:10" ht="12.75">
      <c r="A5" s="5">
        <v>1998</v>
      </c>
      <c r="B5" s="2">
        <f>712858.237129988+47.84</f>
        <v>712906.077129988</v>
      </c>
      <c r="C5" s="2">
        <f>F5+H5</f>
        <v>12547561.273081986</v>
      </c>
      <c r="D5" s="2">
        <f>642612.525068233+19905.3294628891</f>
        <v>662517.8545311221</v>
      </c>
      <c r="E5" s="6">
        <f>B5+C5+D5</f>
        <v>13922985.204743097</v>
      </c>
      <c r="F5" s="2">
        <v>12060218.93956108</v>
      </c>
      <c r="G5" s="2" t="s">
        <v>11</v>
      </c>
      <c r="H5" s="2">
        <v>487342.3335209061</v>
      </c>
      <c r="I5" s="2" t="s">
        <v>12</v>
      </c>
      <c r="J5" s="4" t="s">
        <v>13</v>
      </c>
    </row>
    <row r="6" spans="1:5" ht="12.75">
      <c r="A6" s="5">
        <v>1999</v>
      </c>
      <c r="B6" s="2">
        <f>719706.965064366+48.09*2</f>
        <v>719803.145064366</v>
      </c>
      <c r="C6" s="2">
        <f>341336168/40.3399</f>
        <v>8461502.581811061</v>
      </c>
      <c r="D6" s="2">
        <f>27220113/40.3399</f>
        <v>674768.9756295875</v>
      </c>
      <c r="E6" s="6">
        <f aca="true" t="shared" si="0" ref="E6:E14">B6+C6+D6</f>
        <v>9856074.702505015</v>
      </c>
    </row>
    <row r="7" spans="1:5" ht="12.75">
      <c r="A7" s="5">
        <v>2000</v>
      </c>
      <c r="B7" s="2">
        <f>727776.048031849+49.08*2</f>
        <v>727874.208031849</v>
      </c>
      <c r="C7" s="2">
        <f>258148542/40.3399</f>
        <v>6399335.199145263</v>
      </c>
      <c r="D7" s="2">
        <f>27178022/40.3399</f>
        <v>673725.5669944645</v>
      </c>
      <c r="E7" s="6">
        <f t="shared" si="0"/>
        <v>7800934.974171577</v>
      </c>
    </row>
    <row r="8" spans="1:5" ht="12.75">
      <c r="A8" s="9">
        <v>2001</v>
      </c>
      <c r="B8" s="10">
        <f>769554.783229507+60.39</f>
        <v>769615.173229507</v>
      </c>
      <c r="C8" s="2">
        <f>279490983/40.3399</f>
        <v>6928400.491820754</v>
      </c>
      <c r="D8" s="7">
        <f>27931933/40.3399</f>
        <v>692414.5325099963</v>
      </c>
      <c r="E8" s="6">
        <f t="shared" si="0"/>
        <v>8390430.197560256</v>
      </c>
    </row>
    <row r="9" spans="1:5" ht="12.75">
      <c r="A9" s="9">
        <v>2002</v>
      </c>
      <c r="B9" s="10">
        <f>165+788587.68</f>
        <v>788752.68</v>
      </c>
      <c r="C9" s="8">
        <v>7066711.049999999</v>
      </c>
      <c r="D9" s="2">
        <f>540255.2+59287.34*3</f>
        <v>718117.22</v>
      </c>
      <c r="E9" s="6">
        <f t="shared" si="0"/>
        <v>8573580.95</v>
      </c>
    </row>
    <row r="10" spans="1:5" ht="12.75">
      <c r="A10" s="9">
        <v>2003</v>
      </c>
      <c r="B10" s="8">
        <f>801516.59+167.3</f>
        <v>801683.89</v>
      </c>
      <c r="C10" s="2">
        <v>7148255.29</v>
      </c>
      <c r="D10" s="8">
        <f>25209.49+780442.5-60644.38</f>
        <v>745007.61</v>
      </c>
      <c r="E10" s="6">
        <f t="shared" si="0"/>
        <v>8694946.79</v>
      </c>
    </row>
    <row r="11" spans="1:5" ht="12.75">
      <c r="A11" s="9">
        <v>2004</v>
      </c>
      <c r="B11" s="10">
        <f>814265.37+200.76</f>
        <v>814466.13</v>
      </c>
      <c r="C11" s="2">
        <v>7268177.669999999</v>
      </c>
      <c r="D11" s="2">
        <f>788808.9-25209.49</f>
        <v>763599.41</v>
      </c>
      <c r="E11" s="6">
        <f t="shared" si="0"/>
        <v>8846243.209999999</v>
      </c>
    </row>
    <row r="12" spans="1:5" ht="12.75">
      <c r="A12" s="5">
        <v>2005</v>
      </c>
      <c r="B12" s="2">
        <f>831324.09+174.1*2</f>
        <v>831672.2899999999</v>
      </c>
      <c r="C12" s="2">
        <v>7456330.67</v>
      </c>
      <c r="D12" s="2">
        <v>784363.1</v>
      </c>
      <c r="E12" s="6">
        <f t="shared" si="0"/>
        <v>9072366.06</v>
      </c>
    </row>
    <row r="13" spans="1:5" ht="12.75">
      <c r="A13" s="5">
        <v>2006</v>
      </c>
      <c r="B13" s="6">
        <v>854488.15</v>
      </c>
      <c r="C13" s="6">
        <v>7656729.370000001</v>
      </c>
      <c r="D13" s="6">
        <f>678154.28+2*65653.68</f>
        <v>809461.64</v>
      </c>
      <c r="E13" s="6">
        <f t="shared" si="0"/>
        <v>9320679.160000002</v>
      </c>
    </row>
    <row r="14" spans="1:5" ht="12.75">
      <c r="A14" s="5">
        <v>2007</v>
      </c>
      <c r="B14" s="6">
        <v>869811.07</v>
      </c>
      <c r="C14" s="6">
        <v>7818064.649999999</v>
      </c>
      <c r="D14" s="8">
        <f>66717.54*12+21435.91</f>
        <v>822046.39</v>
      </c>
      <c r="E14" s="6">
        <f t="shared" si="0"/>
        <v>9509922.11</v>
      </c>
    </row>
    <row r="15" spans="1:5" ht="12.75">
      <c r="A15" s="5">
        <v>2008</v>
      </c>
      <c r="B15" s="6">
        <v>885612.51</v>
      </c>
      <c r="C15" s="8">
        <f>199467.6+40004.26+3795730.73+3795730.73+199467.6+9825.45</f>
        <v>8040226.37</v>
      </c>
      <c r="D15" s="6">
        <f>67680.24+22126.93+67832.26+67901.72+68472.61+68605.49+68689.16+69126.45+69054.62+68995.69*4</f>
        <v>845472.24</v>
      </c>
      <c r="E15" s="6">
        <f>B15+C15+D15</f>
        <v>9771311.120000001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68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24">
        <v>16450.63572294428</v>
      </c>
      <c r="D5" s="14"/>
      <c r="E5" s="6">
        <f>B5+C5+D5</f>
        <v>16450.63572294428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24">
        <v>16610.16019179522</v>
      </c>
      <c r="D6" s="14"/>
      <c r="E6" s="6">
        <f aca="true" t="shared" si="0" ref="E6:E15">B6+C6+D6</f>
        <v>16610.16019179522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24">
        <v>16872.09278052251</v>
      </c>
      <c r="D7" s="14"/>
      <c r="E7" s="6">
        <f t="shared" si="0"/>
        <v>16872.09278052251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24">
        <v>17313.57</v>
      </c>
      <c r="D8" s="14"/>
      <c r="E8" s="6">
        <f t="shared" si="0"/>
        <v>17313.57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3">
        <v>37.81</v>
      </c>
      <c r="C9" s="24">
        <v>17688.66</v>
      </c>
      <c r="D9" s="14"/>
      <c r="E9" s="6">
        <f t="shared" si="0"/>
        <v>17726.47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/>
      <c r="C10" s="24">
        <v>17901.17</v>
      </c>
      <c r="D10" s="14"/>
      <c r="E10" s="6">
        <f t="shared" si="0"/>
        <v>17901.17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/>
      <c r="C11" s="24">
        <v>18219.25</v>
      </c>
      <c r="D11" s="14"/>
      <c r="E11" s="6">
        <f t="shared" si="0"/>
        <v>18219.25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/>
      <c r="C12" s="24">
        <v>18572.97</v>
      </c>
      <c r="D12" s="14"/>
      <c r="E12" s="6">
        <f t="shared" si="0"/>
        <v>18572.97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/>
      <c r="C13" s="24">
        <v>18940.05</v>
      </c>
      <c r="D13" s="14"/>
      <c r="E13" s="6">
        <f t="shared" si="0"/>
        <v>18940.05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/>
      <c r="C14" s="24">
        <v>19315.6</v>
      </c>
      <c r="D14" s="14"/>
      <c r="E14" s="6">
        <f t="shared" si="0"/>
        <v>19315.6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24">
        <v>19857.33</v>
      </c>
      <c r="D15" s="14"/>
      <c r="E15" s="6">
        <f t="shared" si="0"/>
        <v>19857.33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E5" sqref="E5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69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24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>
        <v>11898.88918911549</v>
      </c>
      <c r="D6" s="14"/>
      <c r="E6" s="6">
        <f aca="true" t="shared" si="0" ref="E6:E15">B6+C6+D6</f>
        <v>11898.88918911549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>
        <v>12068.18</v>
      </c>
      <c r="D7" s="14"/>
      <c r="E7" s="6">
        <f t="shared" si="0"/>
        <v>12068.18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14">
        <v>12338.82</v>
      </c>
      <c r="D8" s="14"/>
      <c r="E8" s="6">
        <f t="shared" si="0"/>
        <v>12338.82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3"/>
      <c r="C9" s="14">
        <v>12706.2</v>
      </c>
      <c r="D9" s="14"/>
      <c r="E9" s="6">
        <f t="shared" si="0"/>
        <v>12706.2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/>
      <c r="C10" s="14">
        <v>12877.8</v>
      </c>
      <c r="D10" s="14"/>
      <c r="E10" s="6">
        <f t="shared" si="0"/>
        <v>12877.8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/>
      <c r="C11" s="14">
        <v>13019.44</v>
      </c>
      <c r="D11" s="14"/>
      <c r="E11" s="6">
        <f t="shared" si="0"/>
        <v>13019.44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/>
      <c r="C12" s="14">
        <v>13347.67</v>
      </c>
      <c r="D12" s="14"/>
      <c r="E12" s="6">
        <f t="shared" si="0"/>
        <v>13347.67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/>
      <c r="C13" s="14">
        <v>13525.02</v>
      </c>
      <c r="D13" s="14"/>
      <c r="E13" s="6">
        <f t="shared" si="0"/>
        <v>13525.02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/>
      <c r="C14" s="14">
        <v>13787.6</v>
      </c>
      <c r="D14" s="14"/>
      <c r="E14" s="6">
        <f t="shared" si="0"/>
        <v>13787.6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14">
        <v>14323.12</v>
      </c>
      <c r="D15" s="14"/>
      <c r="E15" s="6">
        <f t="shared" si="0"/>
        <v>14323.12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25">
      <selection activeCell="A41" sqref="A41"/>
    </sheetView>
  </sheetViews>
  <sheetFormatPr defaultColWidth="9.140625" defaultRowHeight="12.75"/>
  <cols>
    <col min="1" max="1" width="9.140625" style="2" customWidth="1"/>
    <col min="2" max="2" width="10.8515625" style="2" customWidth="1"/>
    <col min="3" max="8" width="12.0039062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70</v>
      </c>
      <c r="F1" s="10"/>
      <c r="G1" s="10"/>
      <c r="H1" s="10"/>
      <c r="I1" s="10"/>
      <c r="J1" s="18"/>
      <c r="K1" s="10"/>
    </row>
    <row r="2" spans="6:28" ht="12.75">
      <c r="F2" s="10"/>
      <c r="G2" s="10"/>
      <c r="H2" s="10"/>
      <c r="I2" s="10"/>
      <c r="J2" s="18"/>
      <c r="K2" s="10"/>
      <c r="AB2" s="2" t="s">
        <v>71</v>
      </c>
    </row>
    <row r="3" spans="2:11" ht="12.75">
      <c r="B3" s="2" t="s">
        <v>2</v>
      </c>
      <c r="C3" s="2" t="s">
        <v>32</v>
      </c>
      <c r="D3" s="2" t="s">
        <v>0</v>
      </c>
      <c r="E3" s="2" t="s">
        <v>1</v>
      </c>
      <c r="F3" s="10"/>
      <c r="G3" s="10" t="s">
        <v>10</v>
      </c>
      <c r="H3" s="10" t="s">
        <v>10</v>
      </c>
      <c r="I3" s="10" t="s">
        <v>10</v>
      </c>
      <c r="J3" s="18"/>
      <c r="K3" s="10"/>
    </row>
    <row r="4" spans="1:11" ht="12.75">
      <c r="A4" s="5"/>
      <c r="C4" s="2" t="s">
        <v>41</v>
      </c>
      <c r="D4" s="2" t="s">
        <v>72</v>
      </c>
      <c r="E4" s="6" t="s">
        <v>41</v>
      </c>
      <c r="F4" s="10" t="s">
        <v>72</v>
      </c>
      <c r="G4" s="10" t="s">
        <v>0</v>
      </c>
      <c r="H4" s="10" t="s">
        <v>1</v>
      </c>
      <c r="I4" s="10"/>
      <c r="J4" s="18"/>
      <c r="K4" s="10"/>
    </row>
    <row r="5" spans="1:11" ht="12.75">
      <c r="A5" s="5"/>
      <c r="E5" s="6"/>
      <c r="F5" s="10"/>
      <c r="G5" s="10"/>
      <c r="H5" s="10"/>
      <c r="I5" s="10"/>
      <c r="J5" s="18"/>
      <c r="K5" s="10"/>
    </row>
    <row r="6" spans="1:29" ht="12.75">
      <c r="A6" s="5">
        <v>1998</v>
      </c>
      <c r="B6" s="29"/>
      <c r="C6" s="24">
        <v>140849.15</v>
      </c>
      <c r="D6" s="14">
        <v>0</v>
      </c>
      <c r="E6" s="16">
        <v>46800.239960931984</v>
      </c>
      <c r="F6" s="10"/>
      <c r="G6" s="10">
        <f>C6+D6</f>
        <v>140849.15</v>
      </c>
      <c r="H6" s="10">
        <f>E6+F6</f>
        <v>46800.239960931984</v>
      </c>
      <c r="I6" s="10">
        <f>G6+H6</f>
        <v>187649.38996093196</v>
      </c>
      <c r="J6" s="18"/>
      <c r="K6" s="10"/>
      <c r="AB6" s="2">
        <v>140067.15435586107</v>
      </c>
      <c r="AC6" s="2">
        <f aca="true" t="shared" si="0" ref="AC6:AC16">C6-AB6</f>
        <v>781.9956441389222</v>
      </c>
    </row>
    <row r="7" spans="1:29" ht="12.75">
      <c r="A7" s="5">
        <v>1999</v>
      </c>
      <c r="B7" s="29"/>
      <c r="C7" s="14">
        <v>143133.6</v>
      </c>
      <c r="D7" s="14">
        <v>0</v>
      </c>
      <c r="E7" s="16">
        <v>45807.50076227259</v>
      </c>
      <c r="F7" s="10"/>
      <c r="G7" s="10">
        <f aca="true" t="shared" si="1" ref="G7:G16">C7+D7</f>
        <v>143133.6</v>
      </c>
      <c r="H7" s="10">
        <f aca="true" t="shared" si="2" ref="H7:H16">E7+F7</f>
        <v>45807.50076227259</v>
      </c>
      <c r="I7" s="10">
        <f aca="true" t="shared" si="3" ref="I7:I16">G7+H7</f>
        <v>188941.1007622726</v>
      </c>
      <c r="J7" s="18"/>
      <c r="K7" s="10"/>
      <c r="AB7" s="2">
        <v>142583.57110453918</v>
      </c>
      <c r="AC7" s="2">
        <f t="shared" si="0"/>
        <v>550.0288954608259</v>
      </c>
    </row>
    <row r="8" spans="1:29" ht="12.75">
      <c r="A8" s="5">
        <v>2000</v>
      </c>
      <c r="B8" s="29"/>
      <c r="C8" s="14">
        <v>144412.49</v>
      </c>
      <c r="D8" s="14">
        <v>0</v>
      </c>
      <c r="E8" s="16">
        <v>45523.68746575971</v>
      </c>
      <c r="F8" s="10"/>
      <c r="G8" s="10">
        <f t="shared" si="1"/>
        <v>144412.49</v>
      </c>
      <c r="H8" s="10">
        <f t="shared" si="2"/>
        <v>45523.68746575971</v>
      </c>
      <c r="I8" s="10">
        <f t="shared" si="3"/>
        <v>189936.17746575968</v>
      </c>
      <c r="J8" s="18"/>
      <c r="K8" s="10"/>
      <c r="AB8" s="2">
        <v>143905.4946876418</v>
      </c>
      <c r="AC8" s="2">
        <f t="shared" si="0"/>
        <v>506.9953123581945</v>
      </c>
    </row>
    <row r="9" spans="1:29" ht="12.75">
      <c r="A9" s="9">
        <v>2001</v>
      </c>
      <c r="B9" s="40"/>
      <c r="C9" s="14">
        <v>147773.92</v>
      </c>
      <c r="D9" s="14">
        <v>0</v>
      </c>
      <c r="E9" s="16">
        <v>48068.85346825352</v>
      </c>
      <c r="F9" s="10"/>
      <c r="G9" s="10">
        <f t="shared" si="1"/>
        <v>147773.92</v>
      </c>
      <c r="H9" s="10">
        <f t="shared" si="2"/>
        <v>48068.85346825352</v>
      </c>
      <c r="I9" s="10">
        <f t="shared" si="3"/>
        <v>195842.77346825352</v>
      </c>
      <c r="J9" s="18"/>
      <c r="K9" s="10"/>
      <c r="AB9" s="2">
        <v>146651.5</v>
      </c>
      <c r="AC9" s="2">
        <f t="shared" si="0"/>
        <v>1122.4200000000128</v>
      </c>
    </row>
    <row r="10" spans="1:29" ht="12.75">
      <c r="A10" s="9">
        <v>2002</v>
      </c>
      <c r="B10" s="43"/>
      <c r="C10" s="14">
        <v>151245.95</v>
      </c>
      <c r="D10" s="14">
        <v>7486.25</v>
      </c>
      <c r="E10" s="16">
        <v>59406.97</v>
      </c>
      <c r="F10" s="10"/>
      <c r="G10" s="10">
        <f t="shared" si="1"/>
        <v>158732.2</v>
      </c>
      <c r="H10" s="10">
        <f t="shared" si="2"/>
        <v>59406.97</v>
      </c>
      <c r="I10" s="10">
        <f t="shared" si="3"/>
        <v>218139.17</v>
      </c>
      <c r="J10" s="18"/>
      <c r="K10" s="10"/>
      <c r="AB10" s="2">
        <v>150593.22</v>
      </c>
      <c r="AC10" s="2">
        <f t="shared" si="0"/>
        <v>652.7300000000105</v>
      </c>
    </row>
    <row r="11" spans="1:29" ht="12.75">
      <c r="A11" s="9">
        <v>2003</v>
      </c>
      <c r="B11" s="40"/>
      <c r="C11" s="14">
        <v>153355.55</v>
      </c>
      <c r="D11" s="14">
        <v>30184.36</v>
      </c>
      <c r="E11" s="16">
        <v>68330.16</v>
      </c>
      <c r="F11" s="39">
        <v>4375</v>
      </c>
      <c r="G11" s="10">
        <f t="shared" si="1"/>
        <v>183539.90999999997</v>
      </c>
      <c r="H11" s="10">
        <f t="shared" si="2"/>
        <v>72705.16</v>
      </c>
      <c r="I11" s="10">
        <f t="shared" si="3"/>
        <v>256245.06999999998</v>
      </c>
      <c r="J11" s="18"/>
      <c r="K11" s="10"/>
      <c r="AB11" s="2">
        <v>152934.21</v>
      </c>
      <c r="AC11" s="2">
        <f t="shared" si="0"/>
        <v>421.3399999999965</v>
      </c>
    </row>
    <row r="12" spans="1:29" ht="12.75">
      <c r="A12" s="9">
        <v>2004</v>
      </c>
      <c r="B12" s="40"/>
      <c r="C12" s="14">
        <v>155699.4</v>
      </c>
      <c r="D12" s="14">
        <v>30668.52</v>
      </c>
      <c r="E12" s="16">
        <v>64805.76</v>
      </c>
      <c r="F12" s="39">
        <f>2*4375</f>
        <v>8750</v>
      </c>
      <c r="G12" s="10">
        <f t="shared" si="1"/>
        <v>186367.91999999998</v>
      </c>
      <c r="H12" s="10">
        <f t="shared" si="2"/>
        <v>73555.76000000001</v>
      </c>
      <c r="I12" s="10">
        <f t="shared" si="3"/>
        <v>259923.68</v>
      </c>
      <c r="J12" s="18"/>
      <c r="K12" s="10"/>
      <c r="AB12" s="2">
        <v>154974.14</v>
      </c>
      <c r="AC12" s="2">
        <f t="shared" si="0"/>
        <v>725.2599999999802</v>
      </c>
    </row>
    <row r="13" spans="1:29" ht="12.75">
      <c r="A13" s="5">
        <v>2005</v>
      </c>
      <c r="B13" s="40"/>
      <c r="C13" s="14">
        <v>158839.88</v>
      </c>
      <c r="D13" s="14">
        <v>31272.37</v>
      </c>
      <c r="E13" s="16">
        <v>57856.22</v>
      </c>
      <c r="F13" s="39">
        <f>2*4375</f>
        <v>8750</v>
      </c>
      <c r="G13" s="10">
        <f t="shared" si="1"/>
        <v>190112.25</v>
      </c>
      <c r="H13" s="10">
        <f t="shared" si="2"/>
        <v>66606.22</v>
      </c>
      <c r="I13" s="10">
        <f t="shared" si="3"/>
        <v>256718.47</v>
      </c>
      <c r="J13" s="20"/>
      <c r="K13" s="10"/>
      <c r="AB13" s="2">
        <v>158004.11</v>
      </c>
      <c r="AC13" s="2">
        <f t="shared" si="0"/>
        <v>835.7700000000186</v>
      </c>
    </row>
    <row r="14" spans="1:29" ht="12.75">
      <c r="A14" s="5">
        <v>2006</v>
      </c>
      <c r="B14" s="40"/>
      <c r="C14" s="14">
        <v>161995.91</v>
      </c>
      <c r="D14" s="14">
        <v>31896.62</v>
      </c>
      <c r="E14" s="16">
        <v>55296.63</v>
      </c>
      <c r="F14" s="39">
        <f>2*4375</f>
        <v>8750</v>
      </c>
      <c r="G14" s="10">
        <f t="shared" si="1"/>
        <v>193892.53</v>
      </c>
      <c r="H14" s="10">
        <f t="shared" si="2"/>
        <v>64046.63</v>
      </c>
      <c r="I14" s="10">
        <f t="shared" si="3"/>
        <v>257939.16</v>
      </c>
      <c r="J14" s="18"/>
      <c r="K14" s="10"/>
      <c r="AB14" s="2">
        <v>161246.48</v>
      </c>
      <c r="AC14" s="2">
        <f t="shared" si="0"/>
        <v>749.429999999993</v>
      </c>
    </row>
    <row r="15" spans="1:29" ht="12.75">
      <c r="A15" s="5">
        <v>2007</v>
      </c>
      <c r="B15" s="40"/>
      <c r="C15" s="14">
        <v>164559.95</v>
      </c>
      <c r="D15" s="14">
        <v>32371.28</v>
      </c>
      <c r="E15" s="16">
        <v>69958.21</v>
      </c>
      <c r="F15" s="39">
        <f>2*4375</f>
        <v>8750</v>
      </c>
      <c r="G15" s="10">
        <f t="shared" si="1"/>
        <v>196931.23</v>
      </c>
      <c r="H15" s="10">
        <f t="shared" si="2"/>
        <v>78708.21</v>
      </c>
      <c r="I15" s="10">
        <f t="shared" si="3"/>
        <v>275639.44</v>
      </c>
      <c r="J15" s="18"/>
      <c r="K15" s="10"/>
      <c r="AB15" s="2">
        <v>164010.53</v>
      </c>
      <c r="AC15" s="2">
        <f t="shared" si="0"/>
        <v>549.4200000000128</v>
      </c>
    </row>
    <row r="16" spans="1:29" ht="12.75">
      <c r="A16" s="5">
        <v>2008</v>
      </c>
      <c r="B16" s="40"/>
      <c r="C16" s="14">
        <v>169696.9</v>
      </c>
      <c r="D16" s="14">
        <v>33406.36</v>
      </c>
      <c r="E16" s="16">
        <v>69625</v>
      </c>
      <c r="F16" s="39">
        <f>2*4375</f>
        <v>8750</v>
      </c>
      <c r="G16" s="10">
        <f t="shared" si="1"/>
        <v>203103.26</v>
      </c>
      <c r="H16" s="10">
        <f t="shared" si="2"/>
        <v>78375</v>
      </c>
      <c r="I16" s="10">
        <f t="shared" si="3"/>
        <v>281478.26</v>
      </c>
      <c r="J16" s="18"/>
      <c r="K16" s="10"/>
      <c r="AB16" s="2">
        <v>167790.51</v>
      </c>
      <c r="AC16" s="2">
        <f t="shared" si="0"/>
        <v>1906.3899999999849</v>
      </c>
    </row>
    <row r="17" spans="4:28" ht="12.75">
      <c r="D17" s="14"/>
      <c r="F17" s="10"/>
      <c r="G17" s="10"/>
      <c r="H17" s="10"/>
      <c r="I17" s="10"/>
      <c r="J17" s="18"/>
      <c r="K17" s="10"/>
      <c r="AB17" s="2">
        <v>173191.98</v>
      </c>
    </row>
    <row r="18" spans="6:11" ht="12.75">
      <c r="F18" s="10"/>
      <c r="G18" s="10"/>
      <c r="H18" s="10"/>
      <c r="I18" s="10"/>
      <c r="J18" s="18"/>
      <c r="K18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39" sqref="A39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73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>
        <v>18349.153071772613</v>
      </c>
      <c r="C5" s="24">
        <v>326748.5045823118</v>
      </c>
      <c r="D5" s="14">
        <v>66960.0569163533</v>
      </c>
      <c r="E5" s="6">
        <f>B5+C5+D5</f>
        <v>412057.7145704377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>
        <v>18525.41</v>
      </c>
      <c r="C6" s="14">
        <v>331134.58387353463</v>
      </c>
      <c r="D6" s="14">
        <v>66960.0569163533</v>
      </c>
      <c r="E6" s="6">
        <f aca="true" t="shared" si="0" ref="E6:E15">B6+C6+D6</f>
        <v>416620.0507898879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>
        <v>18733.29</v>
      </c>
      <c r="C7" s="14">
        <v>335866.2214323784</v>
      </c>
      <c r="D7" s="14">
        <v>55338.90763239373</v>
      </c>
      <c r="E7" s="6">
        <f t="shared" si="0"/>
        <v>409938.4190647721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>
        <v>21358.56</v>
      </c>
      <c r="C8" s="14">
        <v>343388.98</v>
      </c>
      <c r="D8" s="14">
        <v>57631.64763239373</v>
      </c>
      <c r="E8" s="6">
        <f t="shared" si="0"/>
        <v>422379.18763239373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3">
        <v>23894.11</v>
      </c>
      <c r="C9" s="14">
        <v>353596.54</v>
      </c>
      <c r="D9" s="14">
        <v>64718.93</v>
      </c>
      <c r="E9" s="6">
        <f t="shared" si="0"/>
        <v>442209.57999999996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>
        <v>24285.56</v>
      </c>
      <c r="C10" s="14">
        <v>358381.34</v>
      </c>
      <c r="D10" s="14">
        <v>64277.75</v>
      </c>
      <c r="E10" s="6">
        <f t="shared" si="0"/>
        <v>446944.65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>
        <v>23334.59</v>
      </c>
      <c r="C11" s="14">
        <v>362315.52</v>
      </c>
      <c r="D11" s="14">
        <v>69579.08</v>
      </c>
      <c r="E11" s="6">
        <f t="shared" si="0"/>
        <v>455229.19000000006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>
        <v>23823.55</v>
      </c>
      <c r="C12" s="14">
        <v>371459.8</v>
      </c>
      <c r="D12" s="14">
        <v>71890.28</v>
      </c>
      <c r="E12" s="6">
        <f t="shared" si="0"/>
        <v>467173.63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>
        <v>24487.12</v>
      </c>
      <c r="C13" s="14">
        <v>376404.08</v>
      </c>
      <c r="D13" s="14">
        <v>90474.16</v>
      </c>
      <c r="E13" s="6">
        <f t="shared" si="0"/>
        <v>491365.36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>
        <v>24926.3</v>
      </c>
      <c r="C14" s="14">
        <v>383687.6</v>
      </c>
      <c r="D14" s="14">
        <v>72420.84</v>
      </c>
      <c r="E14" s="6">
        <f t="shared" si="0"/>
        <v>481034.74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>
        <v>25379.17</v>
      </c>
      <c r="C15" s="14">
        <v>398600.22</v>
      </c>
      <c r="D15" s="14">
        <v>55338.9</v>
      </c>
      <c r="E15" s="6">
        <f t="shared" si="0"/>
        <v>479318.29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25">
      <selection activeCell="E39" sqref="E39"/>
    </sheetView>
  </sheetViews>
  <sheetFormatPr defaultColWidth="9.140625" defaultRowHeight="12.75"/>
  <cols>
    <col min="1" max="1" width="9.140625" style="2" customWidth="1"/>
    <col min="2" max="2" width="10.8515625" style="2" customWidth="1"/>
    <col min="3" max="9" width="11.8515625" style="2" customWidth="1"/>
    <col min="10" max="10" width="11.421875" style="2" customWidth="1"/>
    <col min="11" max="11" width="13.7109375" style="2" customWidth="1"/>
    <col min="12" max="12" width="11.7109375" style="4" bestFit="1" customWidth="1"/>
    <col min="13" max="14" width="9.140625" style="2" customWidth="1"/>
    <col min="15" max="15" width="12.28125" style="2" bestFit="1" customWidth="1"/>
    <col min="16" max="16" width="11.7109375" style="2" bestFit="1" customWidth="1"/>
    <col min="17" max="16384" width="9.140625" style="2" customWidth="1"/>
  </cols>
  <sheetData>
    <row r="1" spans="1:13" ht="20.25">
      <c r="A1" s="3" t="s">
        <v>74</v>
      </c>
      <c r="H1" s="10"/>
      <c r="I1" s="10"/>
      <c r="J1" s="10"/>
      <c r="K1" s="10"/>
      <c r="L1" s="18"/>
      <c r="M1" s="10"/>
    </row>
    <row r="2" spans="8:13" ht="12.75">
      <c r="H2" s="10"/>
      <c r="I2" s="10"/>
      <c r="J2" s="10"/>
      <c r="K2" s="10"/>
      <c r="L2" s="18"/>
      <c r="M2" s="10"/>
    </row>
    <row r="3" spans="2:13" ht="12.75">
      <c r="B3" s="2" t="s">
        <v>2</v>
      </c>
      <c r="C3" s="2" t="s">
        <v>32</v>
      </c>
      <c r="D3" s="2" t="s">
        <v>32</v>
      </c>
      <c r="E3" s="2" t="s">
        <v>1</v>
      </c>
      <c r="F3" s="2" t="s">
        <v>1</v>
      </c>
      <c r="G3" s="2" t="s">
        <v>10</v>
      </c>
      <c r="H3" s="2" t="s">
        <v>10</v>
      </c>
      <c r="I3" s="2" t="s">
        <v>10</v>
      </c>
      <c r="J3" s="10"/>
      <c r="K3" s="10"/>
      <c r="L3" s="18"/>
      <c r="M3" s="10"/>
    </row>
    <row r="4" spans="1:13" ht="12.75">
      <c r="A4" s="5"/>
      <c r="C4" s="2" t="s">
        <v>41</v>
      </c>
      <c r="D4" s="2" t="s">
        <v>72</v>
      </c>
      <c r="E4" s="2" t="s">
        <v>41</v>
      </c>
      <c r="F4" s="2" t="s">
        <v>72</v>
      </c>
      <c r="G4" s="6" t="s">
        <v>0</v>
      </c>
      <c r="H4" s="10" t="s">
        <v>1</v>
      </c>
      <c r="I4" s="10"/>
      <c r="J4" s="10"/>
      <c r="K4" s="10"/>
      <c r="L4" s="18"/>
      <c r="M4" s="10"/>
    </row>
    <row r="5" spans="1:13" ht="12.75">
      <c r="A5" s="5"/>
      <c r="G5" s="6"/>
      <c r="H5" s="10"/>
      <c r="I5" s="10"/>
      <c r="J5" s="10"/>
      <c r="K5" s="10"/>
      <c r="L5" s="18"/>
      <c r="M5" s="10"/>
    </row>
    <row r="6" spans="1:13" ht="12.75">
      <c r="A6" s="5">
        <v>1998</v>
      </c>
      <c r="B6" s="29"/>
      <c r="C6" s="30">
        <v>267027.0129573946</v>
      </c>
      <c r="D6" s="24"/>
      <c r="E6" s="40">
        <v>30986.690596654924</v>
      </c>
      <c r="F6" s="40"/>
      <c r="G6" s="6">
        <f>C6+D6</f>
        <v>267027.0129573946</v>
      </c>
      <c r="H6" s="10">
        <f>E6+F6</f>
        <v>30986.690596654924</v>
      </c>
      <c r="I6" s="10">
        <f>B6+G6+H6</f>
        <v>298013.7035540495</v>
      </c>
      <c r="J6" s="10"/>
      <c r="K6" s="10"/>
      <c r="L6" s="18"/>
      <c r="M6" s="10"/>
    </row>
    <row r="7" spans="1:13" ht="12.75">
      <c r="A7" s="5">
        <v>1999</v>
      </c>
      <c r="B7" s="29"/>
      <c r="C7" s="30">
        <v>269471.61495194584</v>
      </c>
      <c r="D7" s="14"/>
      <c r="E7" s="40">
        <v>30986.690596654924</v>
      </c>
      <c r="F7" s="40"/>
      <c r="G7" s="6">
        <f aca="true" t="shared" si="0" ref="G7:G16">C7+D7</f>
        <v>269471.61495194584</v>
      </c>
      <c r="H7" s="10">
        <f aca="true" t="shared" si="1" ref="H7:H16">E7+F7</f>
        <v>30986.690596654924</v>
      </c>
      <c r="I7" s="10">
        <f aca="true" t="shared" si="2" ref="I7:I16">B7+G7+H7</f>
        <v>300458.30554860074</v>
      </c>
      <c r="J7" s="10"/>
      <c r="K7" s="10"/>
      <c r="L7" s="18"/>
      <c r="M7" s="10"/>
    </row>
    <row r="8" spans="1:13" ht="12.75">
      <c r="A8" s="5">
        <v>2000</v>
      </c>
      <c r="B8" s="29"/>
      <c r="C8" s="30">
        <v>272976.7116671087</v>
      </c>
      <c r="D8" s="14"/>
      <c r="E8" s="40">
        <v>30986.690596654924</v>
      </c>
      <c r="F8" s="40"/>
      <c r="G8" s="6">
        <f t="shared" si="0"/>
        <v>272976.7116671087</v>
      </c>
      <c r="H8" s="10">
        <f t="shared" si="1"/>
        <v>30986.690596654924</v>
      </c>
      <c r="I8" s="10">
        <f t="shared" si="2"/>
        <v>303963.4022637636</v>
      </c>
      <c r="J8" s="10"/>
      <c r="K8" s="10"/>
      <c r="L8" s="18"/>
      <c r="M8" s="10"/>
    </row>
    <row r="9" spans="1:13" ht="12.75">
      <c r="A9" s="9">
        <v>2001</v>
      </c>
      <c r="B9" s="40"/>
      <c r="C9" s="30">
        <v>280659.15</v>
      </c>
      <c r="D9" s="14"/>
      <c r="E9" s="40">
        <v>30986.690596654924</v>
      </c>
      <c r="F9" s="40"/>
      <c r="G9" s="6">
        <f t="shared" si="0"/>
        <v>280659.15</v>
      </c>
      <c r="H9" s="10">
        <f t="shared" si="1"/>
        <v>30986.690596654924</v>
      </c>
      <c r="I9" s="10">
        <f t="shared" si="2"/>
        <v>311645.8405966549</v>
      </c>
      <c r="J9" s="10"/>
      <c r="K9" s="10"/>
      <c r="L9" s="18"/>
      <c r="M9" s="10"/>
    </row>
    <row r="10" spans="1:13" ht="12.75">
      <c r="A10" s="9">
        <v>2002</v>
      </c>
      <c r="B10" s="43"/>
      <c r="C10" s="30">
        <v>286166.64</v>
      </c>
      <c r="D10" s="30">
        <v>63185.59</v>
      </c>
      <c r="E10" s="40">
        <v>61973.38</v>
      </c>
      <c r="F10" s="40"/>
      <c r="G10" s="6">
        <f t="shared" si="0"/>
        <v>349352.23</v>
      </c>
      <c r="H10" s="10">
        <f t="shared" si="1"/>
        <v>61973.38</v>
      </c>
      <c r="I10" s="10">
        <f t="shared" si="2"/>
        <v>411325.61</v>
      </c>
      <c r="J10" s="10"/>
      <c r="K10" s="10"/>
      <c r="L10" s="18"/>
      <c r="M10" s="10"/>
    </row>
    <row r="11" spans="1:13" ht="12.75">
      <c r="A11" s="9">
        <v>2003</v>
      </c>
      <c r="B11" s="40"/>
      <c r="C11" s="30">
        <v>289628.6</v>
      </c>
      <c r="D11" s="30">
        <v>64140.05</v>
      </c>
      <c r="E11" s="40">
        <v>0</v>
      </c>
      <c r="F11" s="40">
        <v>7436.8</v>
      </c>
      <c r="G11" s="6">
        <f t="shared" si="0"/>
        <v>353768.64999999997</v>
      </c>
      <c r="H11" s="10">
        <f t="shared" si="1"/>
        <v>7436.8</v>
      </c>
      <c r="I11" s="10">
        <f t="shared" si="2"/>
        <v>361205.44999999995</v>
      </c>
      <c r="J11" s="10"/>
      <c r="K11" s="10"/>
      <c r="L11" s="18"/>
      <c r="M11" s="10"/>
    </row>
    <row r="12" spans="1:13" ht="12.75">
      <c r="A12" s="9">
        <v>2004</v>
      </c>
      <c r="B12" s="40"/>
      <c r="C12" s="30">
        <v>294704.69</v>
      </c>
      <c r="D12" s="30">
        <v>65229.01</v>
      </c>
      <c r="E12" s="40">
        <v>30626.23</v>
      </c>
      <c r="F12" s="40">
        <v>7436.8</v>
      </c>
      <c r="G12" s="6">
        <f t="shared" si="0"/>
        <v>359933.7</v>
      </c>
      <c r="H12" s="10">
        <f t="shared" si="1"/>
        <v>38063.03</v>
      </c>
      <c r="I12" s="10">
        <f t="shared" si="2"/>
        <v>397996.73</v>
      </c>
      <c r="J12" s="10"/>
      <c r="K12" s="10"/>
      <c r="L12" s="18"/>
      <c r="M12" s="10"/>
    </row>
    <row r="13" spans="1:13" ht="12.75">
      <c r="A13" s="5">
        <v>2005</v>
      </c>
      <c r="B13" s="40"/>
      <c r="C13" s="30">
        <v>300862.87</v>
      </c>
      <c r="D13" s="30">
        <v>66368.59</v>
      </c>
      <c r="E13" s="40">
        <v>31925.87</v>
      </c>
      <c r="F13" s="40">
        <v>7436.8</v>
      </c>
      <c r="G13" s="6">
        <f t="shared" si="0"/>
        <v>367231.45999999996</v>
      </c>
      <c r="H13" s="10">
        <f t="shared" si="1"/>
        <v>39362.67</v>
      </c>
      <c r="I13" s="10">
        <f t="shared" si="2"/>
        <v>406594.12999999995</v>
      </c>
      <c r="J13" s="10"/>
      <c r="K13" s="10"/>
      <c r="L13" s="20"/>
      <c r="M13" s="10"/>
    </row>
    <row r="14" spans="1:13" ht="12.75">
      <c r="A14" s="5">
        <v>2006</v>
      </c>
      <c r="B14" s="40"/>
      <c r="C14" s="30">
        <v>306622.01</v>
      </c>
      <c r="D14" s="30">
        <v>68012.88</v>
      </c>
      <c r="E14" s="40">
        <v>39079.35</v>
      </c>
      <c r="F14" s="40">
        <v>7436.8</v>
      </c>
      <c r="G14" s="6">
        <f t="shared" si="0"/>
        <v>374634.89</v>
      </c>
      <c r="H14" s="10">
        <f t="shared" si="1"/>
        <v>46516.15</v>
      </c>
      <c r="I14" s="10">
        <f t="shared" si="2"/>
        <v>421151.04000000004</v>
      </c>
      <c r="J14" s="10"/>
      <c r="K14" s="10"/>
      <c r="L14" s="18"/>
      <c r="M14" s="10"/>
    </row>
    <row r="15" spans="1:13" ht="12.75">
      <c r="A15" s="5">
        <v>2007</v>
      </c>
      <c r="B15" s="40"/>
      <c r="C15" s="30">
        <v>310979.11</v>
      </c>
      <c r="D15" s="30">
        <v>69204.5</v>
      </c>
      <c r="E15" s="40">
        <v>60027.11</v>
      </c>
      <c r="F15" s="40">
        <v>7436.8</v>
      </c>
      <c r="G15" s="6">
        <f t="shared" si="0"/>
        <v>380183.61</v>
      </c>
      <c r="H15" s="10">
        <f t="shared" si="1"/>
        <v>67463.91</v>
      </c>
      <c r="I15" s="10">
        <f t="shared" si="2"/>
        <v>447647.52</v>
      </c>
      <c r="J15" s="10"/>
      <c r="K15" s="10"/>
      <c r="L15" s="18"/>
      <c r="M15" s="10"/>
    </row>
    <row r="16" spans="1:13" ht="12.75">
      <c r="A16" s="5">
        <v>2008</v>
      </c>
      <c r="B16" s="40"/>
      <c r="C16" s="30">
        <v>323651.38</v>
      </c>
      <c r="D16" s="30">
        <v>71159.71</v>
      </c>
      <c r="E16" s="40">
        <v>61973.38</v>
      </c>
      <c r="F16" s="40">
        <v>7436.8</v>
      </c>
      <c r="G16" s="6">
        <f t="shared" si="0"/>
        <v>394811.09</v>
      </c>
      <c r="H16" s="10">
        <f t="shared" si="1"/>
        <v>69410.18</v>
      </c>
      <c r="I16" s="10">
        <f t="shared" si="2"/>
        <v>464221.27</v>
      </c>
      <c r="J16" s="10"/>
      <c r="K16" s="10"/>
      <c r="L16" s="18"/>
      <c r="M16" s="10"/>
    </row>
    <row r="17" spans="5:13" ht="12.75">
      <c r="E17" s="14"/>
      <c r="F17" s="14"/>
      <c r="H17" s="10"/>
      <c r="I17" s="10"/>
      <c r="J17" s="10"/>
      <c r="K17" s="10"/>
      <c r="L17" s="18"/>
      <c r="M17" s="10"/>
    </row>
    <row r="18" spans="8:13" ht="12.75">
      <c r="H18" s="10"/>
      <c r="I18" s="10"/>
      <c r="J18" s="10"/>
      <c r="K18" s="10"/>
      <c r="L18" s="18"/>
      <c r="M18" s="10"/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22">
      <selection activeCell="A41" sqref="A41"/>
    </sheetView>
  </sheetViews>
  <sheetFormatPr defaultColWidth="9.140625" defaultRowHeight="12.75"/>
  <cols>
    <col min="1" max="1" width="9.140625" style="2" customWidth="1"/>
    <col min="2" max="11" width="10.421875" style="2" hidden="1" customWidth="1"/>
    <col min="12" max="12" width="12.57421875" style="2" customWidth="1"/>
    <col min="13" max="14" width="10.421875" style="2" customWidth="1"/>
    <col min="15" max="16" width="8.28125" style="2" customWidth="1"/>
    <col min="17" max="17" width="11.7109375" style="4" bestFit="1" customWidth="1"/>
    <col min="18" max="19" width="9.140625" style="2" customWidth="1"/>
    <col min="20" max="20" width="12.28125" style="2" bestFit="1" customWidth="1"/>
    <col min="21" max="21" width="11.7109375" style="2" bestFit="1" customWidth="1"/>
    <col min="22" max="16384" width="9.140625" style="2" customWidth="1"/>
  </cols>
  <sheetData>
    <row r="1" spans="1:18" ht="20.25">
      <c r="A1" s="3" t="s">
        <v>75</v>
      </c>
      <c r="M1" s="10"/>
      <c r="N1" s="10"/>
      <c r="O1" s="10"/>
      <c r="P1" s="10"/>
      <c r="Q1" s="18"/>
      <c r="R1" s="10"/>
    </row>
    <row r="2" spans="13:18" ht="12.75">
      <c r="M2" s="10"/>
      <c r="N2" s="10"/>
      <c r="O2" s="10"/>
      <c r="P2" s="10"/>
      <c r="Q2" s="18"/>
      <c r="R2" s="10"/>
    </row>
    <row r="3" spans="2:18" ht="12.75">
      <c r="B3" s="2" t="s">
        <v>32</v>
      </c>
      <c r="C3" s="2" t="s">
        <v>32</v>
      </c>
      <c r="D3" s="2" t="s">
        <v>32</v>
      </c>
      <c r="E3" s="2" t="s">
        <v>32</v>
      </c>
      <c r="F3" s="2" t="s">
        <v>32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10</v>
      </c>
      <c r="M3" s="2" t="s">
        <v>10</v>
      </c>
      <c r="N3" s="2" t="s">
        <v>10</v>
      </c>
      <c r="O3" s="10"/>
      <c r="P3" s="10"/>
      <c r="Q3" s="18"/>
      <c r="R3" s="10"/>
    </row>
    <row r="4" spans="1:18" ht="12.75">
      <c r="A4" s="5"/>
      <c r="B4" s="2" t="s">
        <v>41</v>
      </c>
      <c r="C4" s="2" t="s">
        <v>72</v>
      </c>
      <c r="D4" s="2" t="s">
        <v>77</v>
      </c>
      <c r="E4" s="2" t="s">
        <v>78</v>
      </c>
      <c r="F4" s="2" t="s">
        <v>79</v>
      </c>
      <c r="G4" s="2" t="s">
        <v>41</v>
      </c>
      <c r="H4" s="2" t="s">
        <v>72</v>
      </c>
      <c r="I4" s="2" t="s">
        <v>77</v>
      </c>
      <c r="J4" s="2" t="s">
        <v>78</v>
      </c>
      <c r="K4" s="2" t="s">
        <v>79</v>
      </c>
      <c r="L4" s="6" t="s">
        <v>0</v>
      </c>
      <c r="M4" s="10" t="s">
        <v>1</v>
      </c>
      <c r="N4" s="10"/>
      <c r="O4" s="10"/>
      <c r="P4" s="10"/>
      <c r="Q4" s="18"/>
      <c r="R4" s="10"/>
    </row>
    <row r="5" spans="1:18" ht="12.75">
      <c r="A5" s="5"/>
      <c r="L5" s="6"/>
      <c r="M5" s="10"/>
      <c r="N5" s="10"/>
      <c r="O5" s="10"/>
      <c r="P5" s="10"/>
      <c r="Q5" s="18"/>
      <c r="R5" s="10"/>
    </row>
    <row r="6" spans="1:18" ht="12.75">
      <c r="A6" s="5">
        <v>1998</v>
      </c>
      <c r="B6" s="24">
        <v>347563.0331260117</v>
      </c>
      <c r="C6" s="24">
        <v>151269.735423241</v>
      </c>
      <c r="D6" s="24">
        <v>60705.05876316005</v>
      </c>
      <c r="E6" s="14">
        <v>10057.783980624641</v>
      </c>
      <c r="F6" s="24">
        <v>23992.944950284953</v>
      </c>
      <c r="G6" s="16">
        <v>52355.11243210816</v>
      </c>
      <c r="H6" s="14">
        <v>22305.45935909608</v>
      </c>
      <c r="I6" s="14">
        <v>2478.935247732394</v>
      </c>
      <c r="J6" s="24">
        <v>2478.935247732394</v>
      </c>
      <c r="K6" s="14">
        <v>5453.657545011267</v>
      </c>
      <c r="L6" s="6">
        <f>SUM(B6:F6)</f>
        <v>593588.5562433223</v>
      </c>
      <c r="M6" s="10">
        <f>SUM(G6:K6)</f>
        <v>85072.09983168032</v>
      </c>
      <c r="N6" s="10">
        <f>L6+M6</f>
        <v>678660.6560750026</v>
      </c>
      <c r="O6" s="10"/>
      <c r="P6" s="10"/>
      <c r="Q6" s="18"/>
      <c r="R6" s="10"/>
    </row>
    <row r="7" spans="1:18" ht="12.75">
      <c r="A7" s="5">
        <v>1999</v>
      </c>
      <c r="B7" s="14">
        <v>352228.48841965396</v>
      </c>
      <c r="C7" s="14">
        <v>153300.2808633636</v>
      </c>
      <c r="D7" s="14">
        <v>61296.35918780166</v>
      </c>
      <c r="E7" s="14">
        <v>10147.918066232192</v>
      </c>
      <c r="F7" s="14">
        <v>24235.880604562728</v>
      </c>
      <c r="G7" s="16">
        <v>52355.11243210816</v>
      </c>
      <c r="H7" s="14">
        <v>22305.45935909608</v>
      </c>
      <c r="I7" s="14">
        <v>2478.935247732394</v>
      </c>
      <c r="J7" s="24">
        <v>2478.935247732394</v>
      </c>
      <c r="K7" s="14">
        <v>5453.657545011267</v>
      </c>
      <c r="L7" s="6">
        <f aca="true" t="shared" si="0" ref="L7:L16">SUM(B7:F7)</f>
        <v>601208.9271416141</v>
      </c>
      <c r="M7" s="10">
        <f aca="true" t="shared" si="1" ref="M7:M16">SUM(G7:K7)</f>
        <v>85072.09983168032</v>
      </c>
      <c r="N7" s="10">
        <f aca="true" t="shared" si="2" ref="N7:N16">L7+M7</f>
        <v>686281.0269732944</v>
      </c>
      <c r="O7" s="10"/>
      <c r="P7" s="10"/>
      <c r="Q7" s="18"/>
      <c r="R7" s="10"/>
    </row>
    <row r="8" spans="1:18" ht="12.75">
      <c r="A8" s="5">
        <v>2000</v>
      </c>
      <c r="B8" s="14">
        <v>357261.52023183</v>
      </c>
      <c r="C8" s="14">
        <v>155490.8079605056</v>
      </c>
      <c r="D8" s="14">
        <v>62229.4</v>
      </c>
      <c r="E8" s="14">
        <v>10285.676512113318</v>
      </c>
      <c r="F8" s="14">
        <v>24599.28972213615</v>
      </c>
      <c r="G8" s="16">
        <v>52355.11243210816</v>
      </c>
      <c r="H8" s="14">
        <v>22305.45935909608</v>
      </c>
      <c r="I8" s="14">
        <v>2478.935247732394</v>
      </c>
      <c r="J8" s="24">
        <v>2478.935247732394</v>
      </c>
      <c r="K8" s="14">
        <v>5453.657545011267</v>
      </c>
      <c r="L8" s="6">
        <f t="shared" si="0"/>
        <v>609866.694426585</v>
      </c>
      <c r="M8" s="10">
        <f t="shared" si="1"/>
        <v>85072.09983168032</v>
      </c>
      <c r="N8" s="10">
        <f t="shared" si="2"/>
        <v>694938.7942582653</v>
      </c>
      <c r="O8" s="10"/>
      <c r="P8" s="10"/>
      <c r="Q8" s="18"/>
      <c r="R8" s="10"/>
    </row>
    <row r="9" spans="1:18" ht="12.75">
      <c r="A9" s="9">
        <v>2001</v>
      </c>
      <c r="B9" s="14">
        <v>365263.52</v>
      </c>
      <c r="C9" s="14">
        <v>158973.5</v>
      </c>
      <c r="D9" s="14">
        <v>64008.19</v>
      </c>
      <c r="E9" s="14">
        <v>10546.66</v>
      </c>
      <c r="F9" s="14">
        <v>25267.78</v>
      </c>
      <c r="G9" s="16">
        <v>26177.55621605408</v>
      </c>
      <c r="H9" s="14">
        <v>11152.72967954804</v>
      </c>
      <c r="I9" s="14">
        <v>1239.467623866197</v>
      </c>
      <c r="J9" s="24">
        <v>1239.467623866197</v>
      </c>
      <c r="K9" s="14">
        <v>2726.8287725056334</v>
      </c>
      <c r="L9" s="6">
        <f t="shared" si="0"/>
        <v>624059.65</v>
      </c>
      <c r="M9" s="10">
        <f t="shared" si="1"/>
        <v>42536.04991584016</v>
      </c>
      <c r="N9" s="10">
        <f t="shared" si="2"/>
        <v>666595.6999158402</v>
      </c>
      <c r="O9" s="10"/>
      <c r="P9" s="10"/>
      <c r="Q9" s="18"/>
      <c r="R9" s="10"/>
    </row>
    <row r="10" spans="1:18" ht="12.75">
      <c r="A10" s="9">
        <v>2002</v>
      </c>
      <c r="B10" s="14">
        <v>376121.32</v>
      </c>
      <c r="C10" s="14">
        <v>163699.14</v>
      </c>
      <c r="D10" s="14">
        <v>65080.14</v>
      </c>
      <c r="E10" s="14">
        <v>10836.48</v>
      </c>
      <c r="F10" s="14">
        <v>25579.36</v>
      </c>
      <c r="G10" s="16">
        <v>52355.12</v>
      </c>
      <c r="H10" s="14">
        <v>22305.46</v>
      </c>
      <c r="I10" s="14">
        <v>2478.94</v>
      </c>
      <c r="J10" s="24">
        <v>2478.94</v>
      </c>
      <c r="K10" s="14">
        <v>5453.66</v>
      </c>
      <c r="L10" s="6">
        <f t="shared" si="0"/>
        <v>641316.44</v>
      </c>
      <c r="M10" s="10">
        <f t="shared" si="1"/>
        <v>85072.12000000001</v>
      </c>
      <c r="N10" s="10">
        <f t="shared" si="2"/>
        <v>726388.5599999999</v>
      </c>
      <c r="O10" s="10"/>
      <c r="P10" s="10"/>
      <c r="Q10" s="18"/>
      <c r="R10" s="10"/>
    </row>
    <row r="11" spans="1:18" ht="12.75">
      <c r="A11" s="9">
        <v>2003</v>
      </c>
      <c r="B11" s="14">
        <v>381210.92</v>
      </c>
      <c r="C11" s="14">
        <v>165914.3</v>
      </c>
      <c r="D11" s="14">
        <v>66052.51</v>
      </c>
      <c r="E11" s="14">
        <v>10929.26</v>
      </c>
      <c r="F11" s="14">
        <v>26129.97</v>
      </c>
      <c r="G11" s="16">
        <v>52355.12</v>
      </c>
      <c r="H11" s="14">
        <v>22305.46</v>
      </c>
      <c r="I11" s="14">
        <v>2478.94</v>
      </c>
      <c r="J11" s="24">
        <v>2478.94</v>
      </c>
      <c r="K11" s="14">
        <v>2726.83</v>
      </c>
      <c r="L11" s="6">
        <f t="shared" si="0"/>
        <v>650236.96</v>
      </c>
      <c r="M11" s="10">
        <f t="shared" si="1"/>
        <v>82345.29000000001</v>
      </c>
      <c r="N11" s="10">
        <f t="shared" si="2"/>
        <v>732582.25</v>
      </c>
      <c r="O11" s="10"/>
      <c r="P11" s="10"/>
      <c r="Q11" s="18"/>
      <c r="R11" s="10"/>
    </row>
    <row r="12" spans="1:18" ht="12.75">
      <c r="A12" s="9">
        <v>2004</v>
      </c>
      <c r="B12" s="14">
        <v>385395.7</v>
      </c>
      <c r="C12" s="14">
        <v>167735.64</v>
      </c>
      <c r="D12" s="14">
        <v>67113.39</v>
      </c>
      <c r="E12" s="14">
        <v>11114.44</v>
      </c>
      <c r="F12" s="14">
        <v>26559.44</v>
      </c>
      <c r="G12" s="16">
        <v>52355.12</v>
      </c>
      <c r="H12" s="14">
        <v>22305.46</v>
      </c>
      <c r="I12" s="14">
        <v>2478.94</v>
      </c>
      <c r="J12" s="24">
        <v>2478.94</v>
      </c>
      <c r="K12" s="14">
        <v>5453.66</v>
      </c>
      <c r="L12" s="6">
        <f t="shared" si="0"/>
        <v>657918.61</v>
      </c>
      <c r="M12" s="10">
        <f t="shared" si="1"/>
        <v>85072.12000000001</v>
      </c>
      <c r="N12" s="10">
        <f t="shared" si="2"/>
        <v>742990.73</v>
      </c>
      <c r="O12" s="10"/>
      <c r="P12" s="10"/>
      <c r="Q12" s="18"/>
      <c r="R12" s="10"/>
    </row>
    <row r="13" spans="1:18" ht="12.75">
      <c r="A13" s="5">
        <v>2005</v>
      </c>
      <c r="B13" s="14">
        <v>395122.5</v>
      </c>
      <c r="C13" s="14">
        <v>171969.02</v>
      </c>
      <c r="D13" s="14">
        <v>68552.89</v>
      </c>
      <c r="E13" s="14">
        <v>11392.59</v>
      </c>
      <c r="F13" s="14">
        <v>27142.45</v>
      </c>
      <c r="G13" s="16">
        <v>52355.12</v>
      </c>
      <c r="H13" s="14">
        <v>22305.46</v>
      </c>
      <c r="I13" s="14">
        <v>2478.94</v>
      </c>
      <c r="J13" s="24">
        <v>1239.47</v>
      </c>
      <c r="K13" s="14">
        <v>5453.66</v>
      </c>
      <c r="L13" s="6">
        <f t="shared" si="0"/>
        <v>674179.45</v>
      </c>
      <c r="M13" s="10">
        <f t="shared" si="1"/>
        <v>83832.65000000001</v>
      </c>
      <c r="N13" s="10">
        <f t="shared" si="2"/>
        <v>758012.1</v>
      </c>
      <c r="O13" s="10"/>
      <c r="P13" s="10"/>
      <c r="Q13" s="20"/>
      <c r="R13" s="10"/>
    </row>
    <row r="14" spans="1:18" ht="12.75">
      <c r="A14" s="5">
        <v>2006</v>
      </c>
      <c r="B14" s="14">
        <v>400381.74</v>
      </c>
      <c r="C14" s="14">
        <v>174258</v>
      </c>
      <c r="D14" s="14">
        <v>69810.46</v>
      </c>
      <c r="E14" s="14">
        <v>11523.8</v>
      </c>
      <c r="F14" s="14">
        <v>27645.77</v>
      </c>
      <c r="G14" s="16">
        <v>52355.12</v>
      </c>
      <c r="H14" s="14">
        <v>22305.46</v>
      </c>
      <c r="I14" s="14">
        <v>2478.94</v>
      </c>
      <c r="J14" s="14"/>
      <c r="K14" s="14">
        <v>5453.66</v>
      </c>
      <c r="L14" s="6">
        <f t="shared" si="0"/>
        <v>683619.77</v>
      </c>
      <c r="M14" s="10">
        <f t="shared" si="1"/>
        <v>82593.18000000001</v>
      </c>
      <c r="N14" s="10">
        <f t="shared" si="2"/>
        <v>766212.9500000001</v>
      </c>
      <c r="O14" s="10"/>
      <c r="P14" s="10"/>
      <c r="Q14" s="18"/>
      <c r="R14" s="10"/>
    </row>
    <row r="15" spans="1:18" ht="12.75">
      <c r="A15" s="5">
        <v>2007</v>
      </c>
      <c r="B15" s="14">
        <v>408129.24</v>
      </c>
      <c r="C15" s="14">
        <v>177629.94</v>
      </c>
      <c r="D15" s="14">
        <v>70781.6</v>
      </c>
      <c r="E15" s="14">
        <v>11792.57</v>
      </c>
      <c r="F15" s="14">
        <v>28047.39</v>
      </c>
      <c r="G15" s="16">
        <v>52355.12</v>
      </c>
      <c r="H15" s="14">
        <v>22305.46</v>
      </c>
      <c r="I15" s="14">
        <v>2478.94</v>
      </c>
      <c r="J15" s="14"/>
      <c r="K15" s="14">
        <v>5453.66</v>
      </c>
      <c r="L15" s="6">
        <f t="shared" si="0"/>
        <v>696380.7399999999</v>
      </c>
      <c r="M15" s="10">
        <f t="shared" si="1"/>
        <v>82593.18000000001</v>
      </c>
      <c r="N15" s="10">
        <f t="shared" si="2"/>
        <v>778973.9199999999</v>
      </c>
      <c r="O15" s="10"/>
      <c r="P15" s="10"/>
      <c r="Q15" s="18"/>
      <c r="R15" s="10"/>
    </row>
    <row r="16" spans="1:18" ht="12.75">
      <c r="A16" s="5">
        <v>2008</v>
      </c>
      <c r="B16" s="14">
        <v>423991.82</v>
      </c>
      <c r="C16" s="14">
        <v>184533.8</v>
      </c>
      <c r="D16" s="14">
        <v>73712.25</v>
      </c>
      <c r="E16" s="14">
        <v>12126.12</v>
      </c>
      <c r="F16" s="14">
        <v>29157.03</v>
      </c>
      <c r="G16" s="16">
        <v>52355.12</v>
      </c>
      <c r="H16" s="14">
        <v>22305.46</v>
      </c>
      <c r="I16" s="14">
        <v>2478.94</v>
      </c>
      <c r="J16" s="14"/>
      <c r="K16" s="14">
        <v>5453.66</v>
      </c>
      <c r="L16" s="6">
        <f t="shared" si="0"/>
        <v>723521.02</v>
      </c>
      <c r="M16" s="10">
        <f t="shared" si="1"/>
        <v>82593.18000000001</v>
      </c>
      <c r="N16" s="10">
        <f t="shared" si="2"/>
        <v>806114.2000000001</v>
      </c>
      <c r="O16" s="10"/>
      <c r="P16" s="10"/>
      <c r="Q16" s="18"/>
      <c r="R16" s="10"/>
    </row>
    <row r="17" spans="7:18" ht="12.75">
      <c r="G17" s="14"/>
      <c r="H17" s="14"/>
      <c r="I17" s="14"/>
      <c r="J17" s="14"/>
      <c r="K17" s="14"/>
      <c r="M17" s="10"/>
      <c r="N17" s="10"/>
      <c r="O17" s="10"/>
      <c r="P17" s="10"/>
      <c r="Q17" s="18"/>
      <c r="R17" s="10"/>
    </row>
    <row r="18" spans="13:18" ht="12.75">
      <c r="M18" s="10"/>
      <c r="N18" s="10"/>
      <c r="O18" s="10"/>
      <c r="P18" s="10"/>
      <c r="Q18" s="18"/>
      <c r="R18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G22" sqref="G2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76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24">
        <v>31863.093364138236</v>
      </c>
      <c r="D5" s="14"/>
      <c r="E5" s="6">
        <f>B5+C5+D5</f>
        <v>31863.093364138236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14">
        <v>32252.01351515497</v>
      </c>
      <c r="D6" s="14"/>
      <c r="E6" s="6">
        <f aca="true" t="shared" si="0" ref="E6:E15">B6+C6+D6</f>
        <v>32252.01351515497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14">
        <v>32643.273727971562</v>
      </c>
      <c r="D7" s="39">
        <v>67.16</v>
      </c>
      <c r="E7" s="6">
        <f t="shared" si="0"/>
        <v>32710.433727971562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14">
        <v>33375.73</v>
      </c>
      <c r="D8" s="14"/>
      <c r="E8" s="6">
        <f t="shared" si="0"/>
        <v>33375.73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3"/>
      <c r="C9" s="14">
        <v>34420.99</v>
      </c>
      <c r="D9" s="14"/>
      <c r="E9" s="6">
        <f t="shared" si="0"/>
        <v>34420.99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/>
      <c r="C10" s="14">
        <v>34832.06</v>
      </c>
      <c r="D10" s="14"/>
      <c r="E10" s="6">
        <f t="shared" si="0"/>
        <v>34832.06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/>
      <c r="C11" s="14">
        <v>35287.1</v>
      </c>
      <c r="D11" s="14"/>
      <c r="E11" s="6">
        <f t="shared" si="0"/>
        <v>35287.1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/>
      <c r="C12" s="14">
        <v>36011.39</v>
      </c>
      <c r="D12" s="14"/>
      <c r="E12" s="6">
        <f t="shared" si="0"/>
        <v>36011.39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/>
      <c r="C13" s="14">
        <v>36714.97</v>
      </c>
      <c r="D13" s="14"/>
      <c r="E13" s="6">
        <f t="shared" si="0"/>
        <v>36714.97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/>
      <c r="C14" s="14">
        <v>37483.01</v>
      </c>
      <c r="D14" s="14"/>
      <c r="E14" s="6">
        <f t="shared" si="0"/>
        <v>37483.01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14">
        <v>38669.24</v>
      </c>
      <c r="D15" s="14"/>
      <c r="E15" s="6">
        <f t="shared" si="0"/>
        <v>38669.24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G23" sqref="G23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80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44">
        <v>17997.069898537182</v>
      </c>
      <c r="D5" s="14"/>
      <c r="E5" s="6">
        <f>B5+C5+D5</f>
        <v>17997.069898537182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44">
        <v>17997.069898537182</v>
      </c>
      <c r="D6" s="14"/>
      <c r="E6" s="6">
        <f aca="true" t="shared" si="0" ref="E6:E15">B6+C6+D6</f>
        <v>17997.069898537182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44">
        <v>17997.069898537182</v>
      </c>
      <c r="D7" s="14"/>
      <c r="E7" s="6">
        <f t="shared" si="0"/>
        <v>17997.069898537182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44">
        <v>19966.807057032864</v>
      </c>
      <c r="D8" s="14"/>
      <c r="E8" s="6">
        <f t="shared" si="0"/>
        <v>19966.807057032864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3"/>
      <c r="C9" s="44">
        <v>22073.83</v>
      </c>
      <c r="D9" s="14"/>
      <c r="E9" s="6">
        <f t="shared" si="0"/>
        <v>22073.83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/>
      <c r="C10" s="44">
        <v>22411.1</v>
      </c>
      <c r="D10" s="14"/>
      <c r="E10" s="6">
        <f t="shared" si="0"/>
        <v>22411.1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/>
      <c r="C11" s="44">
        <v>22839.2</v>
      </c>
      <c r="D11" s="14"/>
      <c r="E11" s="6">
        <f t="shared" si="0"/>
        <v>22839.2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/>
      <c r="C12" s="45">
        <v>22978.78</v>
      </c>
      <c r="D12" s="14"/>
      <c r="E12" s="6">
        <f t="shared" si="0"/>
        <v>22978.78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/>
      <c r="C13" s="45">
        <v>23089.45</v>
      </c>
      <c r="D13" s="14"/>
      <c r="E13" s="6">
        <f t="shared" si="0"/>
        <v>23089.45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/>
      <c r="C14" s="45">
        <v>25727.37</v>
      </c>
      <c r="D14" s="14"/>
      <c r="E14" s="6">
        <f t="shared" si="0"/>
        <v>25727.37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45">
        <v>24673.7</v>
      </c>
      <c r="D15" s="14"/>
      <c r="E15" s="6">
        <f t="shared" si="0"/>
        <v>24673.7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E5" sqref="E5:E8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81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44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44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44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44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43"/>
      <c r="C9" s="30">
        <v>236040</v>
      </c>
      <c r="D9" s="15">
        <v>2724.85</v>
      </c>
      <c r="E9" s="6">
        <f aca="true" t="shared" si="0" ref="E9:E15">B9+C9+D9</f>
        <v>238764.85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12">
        <v>14827.74</v>
      </c>
      <c r="C10" s="30">
        <v>238591.44</v>
      </c>
      <c r="D10" s="15">
        <v>8000</v>
      </c>
      <c r="E10" s="6">
        <f t="shared" si="0"/>
        <v>261419.18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12">
        <v>14246.9</v>
      </c>
      <c r="C11" s="30">
        <v>242868.85</v>
      </c>
      <c r="D11" s="15">
        <v>15135.01</v>
      </c>
      <c r="E11" s="6">
        <f t="shared" si="0"/>
        <v>272250.76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12">
        <v>14544.95</v>
      </c>
      <c r="C12" s="30">
        <v>247349.94</v>
      </c>
      <c r="D12" s="15">
        <v>10107.85</v>
      </c>
      <c r="E12" s="6">
        <f t="shared" si="0"/>
        <v>272002.74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12">
        <v>14950.14</v>
      </c>
      <c r="C13" s="30">
        <v>252334.89</v>
      </c>
      <c r="D13" s="15">
        <v>8736.76</v>
      </c>
      <c r="E13" s="6">
        <f t="shared" si="0"/>
        <v>276021.79000000004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12">
        <v>15218.86</v>
      </c>
      <c r="C14" s="30">
        <v>256215.65</v>
      </c>
      <c r="D14" s="15">
        <v>5847.28</v>
      </c>
      <c r="E14" s="6">
        <f t="shared" si="0"/>
        <v>277281.79000000004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2">
        <v>15495.11</v>
      </c>
      <c r="C15" s="30">
        <v>264502.45</v>
      </c>
      <c r="D15" s="15">
        <v>9983.66</v>
      </c>
      <c r="E15" s="6">
        <f t="shared" si="0"/>
        <v>289981.22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E5" sqref="E5:E1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82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29"/>
      <c r="C5" s="44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29"/>
      <c r="C6" s="44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9"/>
      <c r="C7" s="44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44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43"/>
      <c r="C9" s="30"/>
      <c r="D9" s="15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12"/>
      <c r="C10" s="30"/>
      <c r="D10" s="15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12"/>
      <c r="C11" s="30"/>
      <c r="D11" s="15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12"/>
      <c r="C12" s="30"/>
      <c r="D12" s="15"/>
      <c r="E12" s="6"/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12"/>
      <c r="C13" s="30">
        <v>436433</v>
      </c>
      <c r="D13" s="12">
        <v>3907.81</v>
      </c>
      <c r="E13" s="6">
        <f>B13+C13+D13</f>
        <v>440340.81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16">
        <v>42563.17</v>
      </c>
      <c r="C14" s="30">
        <v>444933.84</v>
      </c>
      <c r="D14" s="12">
        <v>4071.43</v>
      </c>
      <c r="E14" s="6">
        <f>B14+C14+D14</f>
        <v>491568.44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6">
        <v>43336.73</v>
      </c>
      <c r="C15" s="30">
        <v>456644.46</v>
      </c>
      <c r="D15" s="12">
        <v>4287.73</v>
      </c>
      <c r="E15" s="6">
        <f>B15+C15+D15</f>
        <v>504268.92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5" sqref="E5:E1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ht="20.25">
      <c r="A1" s="3" t="s">
        <v>7</v>
      </c>
    </row>
    <row r="2" ht="12.75">
      <c r="D2" s="1"/>
    </row>
    <row r="3" spans="2:5" ht="12.75">
      <c r="B3" s="2" t="s">
        <v>2</v>
      </c>
      <c r="C3" s="2" t="s">
        <v>0</v>
      </c>
      <c r="D3" s="2" t="s">
        <v>9</v>
      </c>
      <c r="E3" s="2" t="s">
        <v>10</v>
      </c>
    </row>
    <row r="4" spans="1:5" ht="12.75">
      <c r="A4" s="5"/>
      <c r="E4" s="6"/>
    </row>
    <row r="5" spans="1:5" ht="12.75">
      <c r="A5" s="5">
        <v>1998</v>
      </c>
      <c r="B5" s="11"/>
      <c r="E5" s="6"/>
    </row>
    <row r="6" spans="1:5" ht="12.75">
      <c r="A6" s="5">
        <v>1999</v>
      </c>
      <c r="E6" s="6"/>
    </row>
    <row r="7" spans="1:5" ht="12.75">
      <c r="A7" s="5">
        <v>2000</v>
      </c>
      <c r="C7" s="10"/>
      <c r="E7" s="6"/>
    </row>
    <row r="8" spans="1:5" ht="12.75">
      <c r="A8" s="9">
        <v>2001</v>
      </c>
      <c r="B8" s="10"/>
      <c r="C8" s="10"/>
      <c r="D8" s="10"/>
      <c r="E8" s="6"/>
    </row>
    <row r="9" spans="1:5" ht="12.75">
      <c r="A9" s="9">
        <v>2002</v>
      </c>
      <c r="B9" s="10"/>
      <c r="C9" s="8"/>
      <c r="D9" s="10"/>
      <c r="E9" s="6"/>
    </row>
    <row r="10" spans="1:5" ht="12.75">
      <c r="A10" s="9">
        <v>2003</v>
      </c>
      <c r="B10" s="8"/>
      <c r="D10" s="8"/>
      <c r="E10" s="6"/>
    </row>
    <row r="11" spans="1:5" ht="12.75">
      <c r="A11" s="9">
        <v>2004</v>
      </c>
      <c r="B11" s="10"/>
      <c r="E11" s="6"/>
    </row>
    <row r="12" spans="1:5" ht="12.75">
      <c r="A12" s="5">
        <v>2005</v>
      </c>
      <c r="E12" s="6"/>
    </row>
    <row r="13" spans="1:5" ht="12.75">
      <c r="A13" s="5">
        <v>2006</v>
      </c>
      <c r="B13" s="6"/>
      <c r="C13" s="6"/>
      <c r="D13" s="6"/>
      <c r="E13" s="6"/>
    </row>
    <row r="14" spans="1:5" ht="12.75">
      <c r="A14" s="5">
        <v>2007</v>
      </c>
      <c r="B14" s="6"/>
      <c r="C14" s="12">
        <v>111138.5</v>
      </c>
      <c r="D14" s="8"/>
      <c r="E14" s="6">
        <f>B14+C14+D14</f>
        <v>111138.5</v>
      </c>
    </row>
    <row r="15" spans="1:5" ht="12.75">
      <c r="A15" s="5">
        <v>2008</v>
      </c>
      <c r="B15" s="6"/>
      <c r="C15" s="12">
        <v>121242</v>
      </c>
      <c r="D15" s="6"/>
      <c r="E15" s="6">
        <f>B15+C15+D15</f>
        <v>121242</v>
      </c>
    </row>
  </sheetData>
  <printOptions/>
  <pageMargins left="0.75" right="0.65" top="1" bottom="1" header="0.5" footer="0.5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83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0">
        <v>4329.931407861695</v>
      </c>
      <c r="C5" s="46">
        <v>119846.85138039509</v>
      </c>
      <c r="D5" s="14"/>
      <c r="E5" s="6">
        <f>B5+C5+D5</f>
        <v>124176.7827882568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40">
        <v>4371.577520023599</v>
      </c>
      <c r="C6" s="46">
        <v>120803.00149479795</v>
      </c>
      <c r="D6" s="14"/>
      <c r="E6" s="6">
        <f aca="true" t="shared" si="0" ref="E6:E15">B6+C6+D6</f>
        <v>125174.57901482155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40">
        <v>4616.669847966901</v>
      </c>
      <c r="C7" s="46">
        <v>121577.14523432135</v>
      </c>
      <c r="D7" s="14"/>
      <c r="E7" s="6">
        <f t="shared" si="0"/>
        <v>126193.81508228825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0">
        <v>5263.67</v>
      </c>
      <c r="C8" s="46">
        <v>124398.73</v>
      </c>
      <c r="D8" s="14"/>
      <c r="E8" s="6">
        <f t="shared" si="0"/>
        <v>129662.4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0">
        <v>5888.53</v>
      </c>
      <c r="C9" s="14">
        <v>127245.18</v>
      </c>
      <c r="D9" s="15"/>
      <c r="E9" s="6">
        <f t="shared" si="0"/>
        <v>133133.71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>
        <v>5985.12</v>
      </c>
      <c r="C10" s="14">
        <v>128906.82</v>
      </c>
      <c r="D10" s="15"/>
      <c r="E10" s="6">
        <f t="shared" si="0"/>
        <v>134891.94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>
        <v>5750.74</v>
      </c>
      <c r="C11" s="14">
        <v>131006.74</v>
      </c>
      <c r="D11" s="15"/>
      <c r="E11" s="6">
        <f t="shared" si="0"/>
        <v>136757.48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>
        <v>5871.19</v>
      </c>
      <c r="C12" s="14">
        <v>133423.06</v>
      </c>
      <c r="D12" s="15"/>
      <c r="E12" s="6">
        <f t="shared" si="0"/>
        <v>139294.25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>
        <v>6034.82</v>
      </c>
      <c r="C13" s="14">
        <v>136415.49</v>
      </c>
      <c r="D13" s="12"/>
      <c r="E13" s="6">
        <f t="shared" si="0"/>
        <v>142450.31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>
        <v>6142.99</v>
      </c>
      <c r="C14" s="14">
        <v>139228.22</v>
      </c>
      <c r="D14" s="12"/>
      <c r="E14" s="6">
        <f t="shared" si="0"/>
        <v>145371.21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>
        <v>6254.59</v>
      </c>
      <c r="C15" s="14">
        <v>143220.96</v>
      </c>
      <c r="D15" s="12"/>
      <c r="E15" s="6">
        <f t="shared" si="0"/>
        <v>149475.55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E5" sqref="E5:E8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99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0"/>
      <c r="C5" s="46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40"/>
      <c r="C6" s="46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40"/>
      <c r="C7" s="46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40"/>
      <c r="C8" s="46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40"/>
      <c r="C9" s="14">
        <v>38670</v>
      </c>
      <c r="D9" s="15"/>
      <c r="E9" s="6">
        <f aca="true" t="shared" si="0" ref="E9:E15">B9+C9+D9</f>
        <v>38670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0"/>
      <c r="C10" s="14">
        <v>39191.53</v>
      </c>
      <c r="D10" s="15"/>
      <c r="E10" s="6">
        <f t="shared" si="0"/>
        <v>39191.53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0"/>
      <c r="C11" s="14">
        <v>39808.74</v>
      </c>
      <c r="D11" s="15"/>
      <c r="E11" s="6">
        <f t="shared" si="0"/>
        <v>39808.74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0"/>
      <c r="C12" s="14">
        <v>40623.52</v>
      </c>
      <c r="D12" s="15"/>
      <c r="E12" s="6">
        <f t="shared" si="0"/>
        <v>40623.52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0"/>
      <c r="C13" s="14">
        <v>41336.73</v>
      </c>
      <c r="D13" s="12"/>
      <c r="E13" s="6">
        <f t="shared" si="0"/>
        <v>41336.73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0"/>
      <c r="C14" s="14">
        <v>42119.61</v>
      </c>
      <c r="D14" s="12"/>
      <c r="E14" s="6">
        <f t="shared" si="0"/>
        <v>42119.61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14">
        <v>43618.03</v>
      </c>
      <c r="D15" s="12"/>
      <c r="E15" s="6">
        <f t="shared" si="0"/>
        <v>43618.03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84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2">
        <f>A9/40.3399</f>
        <v>49.62828365960253</v>
      </c>
      <c r="C5" s="46">
        <v>9453.27083111262</v>
      </c>
      <c r="D5" s="14">
        <v>90.85297682939223</v>
      </c>
      <c r="E5" s="6">
        <f aca="true" t="shared" si="0" ref="E5:E15">B5+C5+D5</f>
        <v>9593.752091601615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12">
        <f>A10/40.3399</f>
        <v>49.65307301207985</v>
      </c>
      <c r="C6" s="46">
        <v>9654.510794523536</v>
      </c>
      <c r="D6" s="14">
        <v>365.4694235731868</v>
      </c>
      <c r="E6" s="6">
        <f t="shared" si="0"/>
        <v>10069.633291108803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12">
        <f>A11/40.3399</f>
        <v>49.67786236455718</v>
      </c>
      <c r="C7" s="46">
        <v>9757.922312053326</v>
      </c>
      <c r="D7" s="14">
        <v>365.4</v>
      </c>
      <c r="E7" s="6">
        <f t="shared" si="0"/>
        <v>10173.000174417883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12">
        <f>A12/40.3399</f>
        <v>49.7026517170345</v>
      </c>
      <c r="C8" s="46">
        <v>9978.31</v>
      </c>
      <c r="D8" s="14">
        <v>442.14</v>
      </c>
      <c r="E8" s="6">
        <f t="shared" si="0"/>
        <v>10470.152651717033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12">
        <v>374.95</v>
      </c>
      <c r="C9" s="14">
        <v>10218.45</v>
      </c>
      <c r="D9" s="15">
        <v>137.78</v>
      </c>
      <c r="E9" s="6">
        <f t="shared" si="0"/>
        <v>10731.180000000002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12">
        <v>435.7</v>
      </c>
      <c r="C10" s="14">
        <v>10363.7</v>
      </c>
      <c r="D10" s="15">
        <v>469.94</v>
      </c>
      <c r="E10" s="6">
        <f t="shared" si="0"/>
        <v>11269.340000000002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C11" s="14">
        <v>10518.63</v>
      </c>
      <c r="D11" s="15">
        <v>191.4</v>
      </c>
      <c r="E11" s="6">
        <f t="shared" si="0"/>
        <v>10710.029999999999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C12" s="14">
        <v>10206.14</v>
      </c>
      <c r="D12" s="15">
        <v>125.64</v>
      </c>
      <c r="E12" s="6">
        <f t="shared" si="0"/>
        <v>10331.779999999999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C13" s="14">
        <v>10097.99</v>
      </c>
      <c r="D13" s="13">
        <v>141.93</v>
      </c>
      <c r="E13" s="6">
        <f t="shared" si="0"/>
        <v>10239.92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C14" s="14">
        <v>10259.52</v>
      </c>
      <c r="D14" s="13">
        <v>136.05</v>
      </c>
      <c r="E14" s="6">
        <f t="shared" si="0"/>
        <v>10395.57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0"/>
      <c r="C15" s="14">
        <v>8629.5</v>
      </c>
      <c r="D15" s="13">
        <v>90.7</v>
      </c>
      <c r="E15" s="6">
        <f t="shared" si="0"/>
        <v>8720.2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2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86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>
        <v>1827.7437475055715</v>
      </c>
      <c r="C5" s="46">
        <v>32943.80997473965</v>
      </c>
      <c r="D5" s="14"/>
      <c r="E5" s="6">
        <f aca="true" t="shared" si="0" ref="E5:E15">B5+C5+D5</f>
        <v>34771.55372224522</v>
      </c>
      <c r="F5" s="10"/>
      <c r="G5" s="10"/>
      <c r="H5" s="10"/>
      <c r="I5" s="10"/>
      <c r="J5" s="18"/>
      <c r="K5" s="10"/>
    </row>
    <row r="6" spans="1:11" ht="12.75">
      <c r="A6" s="5">
        <v>1999</v>
      </c>
      <c r="B6" s="46">
        <v>1776.0083688853963</v>
      </c>
      <c r="C6" s="46">
        <v>33239.02570735178</v>
      </c>
      <c r="D6" s="14"/>
      <c r="E6" s="6">
        <f t="shared" si="0"/>
        <v>35015.03407623718</v>
      </c>
      <c r="F6" s="10"/>
      <c r="G6" s="10"/>
      <c r="H6" s="10"/>
      <c r="I6" s="10"/>
      <c r="J6" s="18"/>
      <c r="K6" s="10"/>
    </row>
    <row r="7" spans="1:11" ht="12.75">
      <c r="A7" s="5">
        <v>2000</v>
      </c>
      <c r="B7" s="46">
        <v>1795.8646402197328</v>
      </c>
      <c r="C7" s="46">
        <v>33690.23916710254</v>
      </c>
      <c r="D7" s="14"/>
      <c r="E7" s="6">
        <f t="shared" si="0"/>
        <v>35486.10380732227</v>
      </c>
      <c r="F7" s="10"/>
      <c r="G7" s="10"/>
      <c r="H7" s="10"/>
      <c r="I7" s="10"/>
      <c r="J7" s="18"/>
      <c r="K7" s="10"/>
    </row>
    <row r="8" spans="1:11" ht="12.75">
      <c r="A8" s="9">
        <v>2001</v>
      </c>
      <c r="B8" s="46">
        <v>1896.3854645152815</v>
      </c>
      <c r="C8" s="46">
        <v>34545.09</v>
      </c>
      <c r="D8" s="14"/>
      <c r="E8" s="6">
        <f t="shared" si="0"/>
        <v>36441.47546451528</v>
      </c>
      <c r="F8" s="10"/>
      <c r="G8" s="10"/>
      <c r="H8" s="10"/>
      <c r="I8" s="10"/>
      <c r="J8" s="18"/>
      <c r="K8" s="10"/>
    </row>
    <row r="9" spans="1:11" ht="12.75">
      <c r="A9" s="9">
        <v>2002</v>
      </c>
      <c r="B9" s="46">
        <v>1962.9454645152814</v>
      </c>
      <c r="C9" s="14">
        <v>35494.36</v>
      </c>
      <c r="D9" s="15"/>
      <c r="E9" s="6">
        <f t="shared" si="0"/>
        <v>37457.30546451528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6">
        <v>1975.08</v>
      </c>
      <c r="C10" s="14">
        <v>35798.28</v>
      </c>
      <c r="D10" s="15"/>
      <c r="E10" s="6">
        <f t="shared" si="0"/>
        <v>37773.36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6">
        <v>2006.38</v>
      </c>
      <c r="C11" s="14">
        <v>36404.81</v>
      </c>
      <c r="D11" s="15"/>
      <c r="E11" s="6">
        <f t="shared" si="0"/>
        <v>38411.189999999995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6">
        <v>2048.53</v>
      </c>
      <c r="C12" s="14">
        <v>37042.1</v>
      </c>
      <c r="D12" s="15"/>
      <c r="E12" s="6">
        <f t="shared" si="0"/>
        <v>39090.63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6">
        <v>2105.8</v>
      </c>
      <c r="C13" s="14">
        <v>37960.64</v>
      </c>
      <c r="D13" s="13"/>
      <c r="E13" s="6">
        <f t="shared" si="0"/>
        <v>40066.44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6">
        <v>2143.12</v>
      </c>
      <c r="C14" s="14">
        <v>38626</v>
      </c>
      <c r="D14" s="13"/>
      <c r="E14" s="6">
        <f t="shared" si="0"/>
        <v>40769.12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6">
        <v>2182.34</v>
      </c>
      <c r="C15" s="14">
        <v>39718.52</v>
      </c>
      <c r="D15" s="13"/>
      <c r="E15" s="6">
        <f t="shared" si="0"/>
        <v>41900.86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9">
      <selection activeCell="B51" sqref="B51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87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46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46"/>
      <c r="C6" s="46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46"/>
      <c r="C7" s="46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46"/>
      <c r="C8" s="46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46"/>
      <c r="C9" s="14"/>
      <c r="D9" s="15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6"/>
      <c r="C10" s="14">
        <v>18000</v>
      </c>
      <c r="D10" s="15"/>
      <c r="E10" s="6">
        <f aca="true" t="shared" si="0" ref="E10:E15">B10+C10+D10</f>
        <v>18000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6"/>
      <c r="C11" s="14">
        <v>18282.33</v>
      </c>
      <c r="D11" s="15"/>
      <c r="E11" s="6">
        <f t="shared" si="0"/>
        <v>18282.33</v>
      </c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46"/>
      <c r="C12" s="14">
        <v>18664.15</v>
      </c>
      <c r="D12" s="15"/>
      <c r="E12" s="6">
        <f t="shared" si="0"/>
        <v>18664.15</v>
      </c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46"/>
      <c r="C13" s="14">
        <v>19020.97</v>
      </c>
      <c r="D13" s="13"/>
      <c r="E13" s="6">
        <f t="shared" si="0"/>
        <v>19020.97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46"/>
      <c r="C14" s="14">
        <v>19293.09</v>
      </c>
      <c r="D14" s="13"/>
      <c r="E14" s="6">
        <f t="shared" si="0"/>
        <v>19293.09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46"/>
      <c r="C15" s="14">
        <v>20077.97</v>
      </c>
      <c r="D15" s="13"/>
      <c r="E15" s="6">
        <f t="shared" si="0"/>
        <v>20077.97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85</v>
      </c>
    </row>
  </sheetData>
  <printOptions/>
  <pageMargins left="0.75" right="0.75" top="1" bottom="1" header="0.5" footer="0.5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2">
      <selection activeCell="A40" sqref="A40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88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46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46"/>
      <c r="C6" s="46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46"/>
      <c r="C7" s="46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46"/>
      <c r="C8" s="46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46"/>
      <c r="C9" s="14"/>
      <c r="D9" s="15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6"/>
      <c r="C10" s="14"/>
      <c r="D10" s="15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6"/>
      <c r="C11" s="14"/>
      <c r="D11" s="15"/>
      <c r="E11" s="6"/>
      <c r="F11" s="10"/>
      <c r="H11" s="10"/>
      <c r="I11" s="10"/>
      <c r="J11" s="18"/>
      <c r="K11" s="10"/>
    </row>
    <row r="12" spans="1:11" ht="12.75">
      <c r="A12" s="5">
        <v>2005</v>
      </c>
      <c r="B12" s="46">
        <f>2*21225.75</f>
        <v>42451.5</v>
      </c>
      <c r="C12" s="10">
        <f>2*126780</f>
        <v>253560</v>
      </c>
      <c r="D12" s="47">
        <v>647.05</v>
      </c>
      <c r="E12" s="6">
        <f>B12+C12+D12</f>
        <v>296658.55</v>
      </c>
      <c r="F12" s="10"/>
      <c r="H12" s="10"/>
      <c r="I12" s="10"/>
      <c r="J12" s="20"/>
      <c r="K12" s="10"/>
    </row>
    <row r="13" spans="1:11" ht="12.75">
      <c r="A13" s="5">
        <v>2006</v>
      </c>
      <c r="B13" s="46">
        <f>2*12555.42</f>
        <v>25110.84</v>
      </c>
      <c r="C13" s="10">
        <f>2*130469.65</f>
        <v>260939.3</v>
      </c>
      <c r="D13" s="13"/>
      <c r="E13" s="6">
        <f>B13+C13+D13</f>
        <v>286050.14</v>
      </c>
      <c r="F13" s="10"/>
      <c r="H13" s="10"/>
      <c r="I13" s="10"/>
      <c r="J13" s="18"/>
      <c r="K13" s="10"/>
    </row>
    <row r="14" spans="1:11" ht="12.75">
      <c r="A14" s="5">
        <v>2007</v>
      </c>
      <c r="B14" s="46">
        <f>2*12607.73</f>
        <v>25215.46</v>
      </c>
      <c r="C14" s="10">
        <f>2*132755.59</f>
        <v>265511.18</v>
      </c>
      <c r="D14" s="13"/>
      <c r="E14" s="6">
        <f>B14+C14+D14</f>
        <v>290726.64</v>
      </c>
      <c r="F14" s="10"/>
      <c r="H14" s="10"/>
      <c r="I14" s="10"/>
      <c r="J14" s="18"/>
      <c r="K14" s="10"/>
    </row>
    <row r="15" spans="1:11" ht="12.75">
      <c r="A15" s="5">
        <v>2008</v>
      </c>
      <c r="B15" s="46"/>
      <c r="C15" s="10">
        <f>2*136506.27</f>
        <v>273012.54</v>
      </c>
      <c r="D15" s="13"/>
      <c r="E15" s="6">
        <f>B15+C15+D15</f>
        <v>273012.54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4" sqref="E4:E8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89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46"/>
      <c r="D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B6" s="46"/>
      <c r="C6" s="46"/>
      <c r="D6" s="14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46"/>
      <c r="C7" s="46"/>
      <c r="D7" s="14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46"/>
      <c r="C8" s="46"/>
      <c r="D8" s="14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46"/>
      <c r="C9" s="14">
        <v>223132</v>
      </c>
      <c r="D9" s="14">
        <v>10460</v>
      </c>
      <c r="E9" s="6">
        <f aca="true" t="shared" si="0" ref="E9:E15">B9+C9+D9</f>
        <v>233592</v>
      </c>
      <c r="F9" s="10"/>
      <c r="G9" s="19"/>
      <c r="H9" s="10"/>
      <c r="I9" s="10"/>
      <c r="J9" s="18"/>
      <c r="K9" s="10"/>
    </row>
    <row r="10" spans="1:11" ht="12.75">
      <c r="A10" s="9">
        <v>2003</v>
      </c>
      <c r="B10" s="46">
        <v>20211.46</v>
      </c>
      <c r="C10" s="14">
        <v>226481.11</v>
      </c>
      <c r="D10" s="14">
        <v>26735.08</v>
      </c>
      <c r="E10" s="6">
        <f t="shared" si="0"/>
        <v>273427.64999999997</v>
      </c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46">
        <v>19618.24</v>
      </c>
      <c r="C11" s="14">
        <v>230078.87</v>
      </c>
      <c r="D11" s="14">
        <v>29113.39</v>
      </c>
      <c r="E11" s="6">
        <f t="shared" si="0"/>
        <v>278810.5</v>
      </c>
      <c r="F11" s="10"/>
      <c r="H11" s="10"/>
      <c r="I11" s="10"/>
      <c r="J11" s="18"/>
      <c r="K11" s="10"/>
    </row>
    <row r="12" spans="1:11" ht="12.75">
      <c r="A12" s="5">
        <v>2005</v>
      </c>
      <c r="B12" s="46">
        <v>20029.37</v>
      </c>
      <c r="C12" s="10">
        <v>234787.92</v>
      </c>
      <c r="D12" s="10">
        <v>30664.74</v>
      </c>
      <c r="E12" s="6">
        <f t="shared" si="0"/>
        <v>285482.03</v>
      </c>
      <c r="F12" s="10"/>
      <c r="H12" s="10"/>
      <c r="I12" s="10"/>
      <c r="J12" s="20"/>
      <c r="K12" s="10"/>
    </row>
    <row r="13" spans="1:11" ht="12.75">
      <c r="A13" s="5">
        <v>2006</v>
      </c>
      <c r="B13" s="46">
        <v>20587.32</v>
      </c>
      <c r="C13" s="10">
        <v>238910.03</v>
      </c>
      <c r="D13" s="10">
        <v>42357.49</v>
      </c>
      <c r="E13" s="6">
        <f t="shared" si="0"/>
        <v>301854.84</v>
      </c>
      <c r="F13" s="10"/>
      <c r="H13" s="10"/>
      <c r="I13" s="10"/>
      <c r="J13" s="18"/>
      <c r="K13" s="10"/>
    </row>
    <row r="14" spans="1:11" ht="12.75">
      <c r="A14" s="5">
        <v>2007</v>
      </c>
      <c r="B14" s="46">
        <v>20956.57</v>
      </c>
      <c r="C14" s="10">
        <v>243434.72</v>
      </c>
      <c r="D14" s="10">
        <v>43493.48</v>
      </c>
      <c r="E14" s="6">
        <f t="shared" si="0"/>
        <v>307884.76999999996</v>
      </c>
      <c r="F14" s="10"/>
      <c r="H14" s="10"/>
      <c r="I14" s="10"/>
      <c r="J14" s="18"/>
      <c r="K14" s="10"/>
    </row>
    <row r="15" spans="1:11" ht="12.75">
      <c r="A15" s="5">
        <v>2008</v>
      </c>
      <c r="B15" s="46">
        <v>21613.55</v>
      </c>
      <c r="C15" s="10">
        <v>252095.05</v>
      </c>
      <c r="D15" s="10">
        <v>42050.22</v>
      </c>
      <c r="E15" s="6">
        <f t="shared" si="0"/>
        <v>315758.81999999995</v>
      </c>
      <c r="F15" s="10"/>
      <c r="G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85</v>
      </c>
    </row>
  </sheetData>
  <printOptions/>
  <pageMargins left="0.75" right="0.75" top="1" bottom="1" header="0.5" footer="0.5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6">
      <selection activeCell="D2" sqref="D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108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>
        <f>4*1580.07332690463</f>
        <v>6320.29330761852</v>
      </c>
      <c r="C5" s="10">
        <f>4*60939.2437760133</f>
        <v>243756.9751040532</v>
      </c>
      <c r="D5" s="48">
        <f>4*5416.96930334483</f>
        <v>21667.87721337932</v>
      </c>
      <c r="E5" s="6">
        <f>SUM(B5:D5)</f>
        <v>271745.14562505105</v>
      </c>
      <c r="F5" s="10"/>
      <c r="H5" s="10"/>
      <c r="I5" s="10"/>
      <c r="J5" s="18"/>
      <c r="K5" s="10"/>
    </row>
    <row r="6" spans="1:11" ht="12.75">
      <c r="A6" s="5">
        <v>1999</v>
      </c>
      <c r="B6" s="46">
        <f>4*1599.53296859933</f>
        <v>6398.13187439732</v>
      </c>
      <c r="C6" s="10">
        <f>4*61606.0267752027</f>
        <v>246424.1071008108</v>
      </c>
      <c r="D6" s="48">
        <f>4*4975.91714406828</f>
        <v>19903.66857627312</v>
      </c>
      <c r="E6" s="6">
        <f aca="true" t="shared" si="0" ref="E6:E15">SUM(B6:D6)</f>
        <v>272725.9075514812</v>
      </c>
      <c r="F6" s="10"/>
      <c r="H6" s="10"/>
      <c r="I6" s="10"/>
      <c r="J6" s="18"/>
      <c r="K6" s="10"/>
    </row>
    <row r="7" spans="1:11" ht="12.75">
      <c r="A7" s="5">
        <v>2000</v>
      </c>
      <c r="B7" s="46">
        <f>4*1611.77890872313</f>
        <v>6447.11563489252</v>
      </c>
      <c r="C7" s="10">
        <f>4*62488.4569621392</f>
        <v>249953.8278485568</v>
      </c>
      <c r="D7" s="48">
        <f>4*2548.24627725899</f>
        <v>10192.98510903596</v>
      </c>
      <c r="E7" s="6">
        <f t="shared" si="0"/>
        <v>266593.92859248526</v>
      </c>
      <c r="F7" s="10"/>
      <c r="H7" s="10"/>
      <c r="I7" s="10"/>
      <c r="J7" s="18"/>
      <c r="K7" s="10"/>
    </row>
    <row r="8" spans="1:11" ht="12.75">
      <c r="A8" s="9">
        <v>2001</v>
      </c>
      <c r="B8" s="46">
        <f>4*1728.73018073917</f>
        <v>6914.92072295668</v>
      </c>
      <c r="C8" s="10">
        <f>4*64094.65</f>
        <v>256378.6</v>
      </c>
      <c r="D8" s="48">
        <f>4*5230.95000235499</f>
        <v>20923.80000941996</v>
      </c>
      <c r="E8" s="6">
        <f t="shared" si="0"/>
        <v>284217.32073237665</v>
      </c>
      <c r="F8" s="10"/>
      <c r="H8" s="10"/>
      <c r="I8" s="10"/>
      <c r="J8" s="18"/>
      <c r="K8" s="10"/>
    </row>
    <row r="9" spans="1:11" ht="12.75">
      <c r="A9" s="9">
        <v>2002</v>
      </c>
      <c r="B9" s="46">
        <f>4*1962.61</f>
        <v>7850.44</v>
      </c>
      <c r="C9" s="10">
        <f>4*65555.86</f>
        <v>262223.44</v>
      </c>
      <c r="D9" s="48">
        <f>4*6096.49</f>
        <v>24385.96</v>
      </c>
      <c r="E9" s="6">
        <f t="shared" si="0"/>
        <v>294459.84</v>
      </c>
      <c r="F9" s="10"/>
      <c r="H9" s="10"/>
      <c r="I9" s="10"/>
      <c r="J9" s="18"/>
      <c r="K9" s="10"/>
    </row>
    <row r="10" spans="1:11" ht="12.75">
      <c r="A10" s="9">
        <v>2003</v>
      </c>
      <c r="B10" s="46">
        <f>4*1994.87</f>
        <v>7979.48</v>
      </c>
      <c r="C10" s="10">
        <f>4*66393.04</f>
        <v>265572.16</v>
      </c>
      <c r="D10" s="48">
        <f>4*6352.7</f>
        <v>25410.8</v>
      </c>
      <c r="E10" s="6">
        <f t="shared" si="0"/>
        <v>298962.43999999994</v>
      </c>
      <c r="F10" s="10"/>
      <c r="H10" s="10"/>
      <c r="I10" s="10"/>
      <c r="J10" s="18"/>
      <c r="K10" s="10"/>
    </row>
    <row r="11" spans="1:11" ht="12.75">
      <c r="A11" s="9">
        <v>2004</v>
      </c>
      <c r="B11" s="46">
        <f>4*1936.27</f>
        <v>7745.08</v>
      </c>
      <c r="C11" s="10">
        <f>4*67558.67</f>
        <v>270234.68</v>
      </c>
      <c r="D11" s="48">
        <f>4*6206.01</f>
        <v>24824.04</v>
      </c>
      <c r="E11" s="6">
        <f t="shared" si="0"/>
        <v>302803.8</v>
      </c>
      <c r="F11" s="10"/>
      <c r="H11" s="10"/>
      <c r="I11" s="10"/>
      <c r="J11" s="18"/>
      <c r="K11" s="10"/>
    </row>
    <row r="12" spans="1:11" ht="12.75">
      <c r="A12" s="5">
        <v>2005</v>
      </c>
      <c r="B12" s="46">
        <f>3*1976.64</f>
        <v>5929.92</v>
      </c>
      <c r="C12" s="10">
        <f>3*68874.85</f>
        <v>206624.55000000002</v>
      </c>
      <c r="D12" s="48">
        <f>3*7395.25</f>
        <v>22185.75</v>
      </c>
      <c r="E12" s="6">
        <f t="shared" si="0"/>
        <v>234740.22000000003</v>
      </c>
      <c r="F12" s="10"/>
      <c r="H12" s="10"/>
      <c r="I12" s="10"/>
      <c r="J12" s="20"/>
      <c r="K12" s="10"/>
    </row>
    <row r="13" spans="1:11" ht="12.75">
      <c r="A13" s="5">
        <v>2006</v>
      </c>
      <c r="B13" s="46">
        <f>3*2031.92</f>
        <v>6095.76</v>
      </c>
      <c r="C13" s="10">
        <f>3*70110.5</f>
        <v>210331.5</v>
      </c>
      <c r="D13" s="48">
        <f>3*8235.46</f>
        <v>24706.379999999997</v>
      </c>
      <c r="E13" s="6">
        <f t="shared" si="0"/>
        <v>241133.64</v>
      </c>
      <c r="F13" s="10"/>
      <c r="H13" s="10"/>
      <c r="I13" s="10"/>
      <c r="J13" s="18"/>
      <c r="K13" s="10"/>
    </row>
    <row r="14" spans="1:11" ht="12.75">
      <c r="A14" s="5">
        <v>2007</v>
      </c>
      <c r="B14" s="46">
        <f>3*2068.13</f>
        <v>6204.39</v>
      </c>
      <c r="C14" s="10">
        <f>3*71416.79</f>
        <v>214250.37</v>
      </c>
      <c r="D14" s="48">
        <f>3*8268.34</f>
        <v>24805.02</v>
      </c>
      <c r="E14" s="6">
        <f t="shared" si="0"/>
        <v>245259.78</v>
      </c>
      <c r="F14" s="10"/>
      <c r="H14" s="10"/>
      <c r="I14" s="10"/>
      <c r="J14" s="18"/>
      <c r="K14" s="10"/>
    </row>
    <row r="15" spans="1:11" ht="12.75">
      <c r="A15" s="5">
        <v>2008</v>
      </c>
      <c r="B15" s="46">
        <f>3*197.1</f>
        <v>591.3</v>
      </c>
      <c r="C15" s="10">
        <f>3*73511.3</f>
        <v>220533.90000000002</v>
      </c>
      <c r="D15" s="48">
        <f>3*8631.44</f>
        <v>25894.32</v>
      </c>
      <c r="E15" s="6">
        <f t="shared" si="0"/>
        <v>247019.52000000002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5">
      <selection activeCell="E5" sqref="E5:E1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93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10"/>
      <c r="D5" s="48"/>
      <c r="E5" s="6"/>
      <c r="F5" s="10"/>
      <c r="H5" s="10"/>
      <c r="I5" s="10"/>
      <c r="J5" s="18"/>
      <c r="K5" s="10"/>
    </row>
    <row r="6" spans="1:11" ht="12.75">
      <c r="A6" s="5">
        <v>1999</v>
      </c>
      <c r="B6" s="46"/>
      <c r="C6" s="10"/>
      <c r="D6" s="48"/>
      <c r="E6" s="6"/>
      <c r="F6" s="10"/>
      <c r="H6" s="10"/>
      <c r="I6" s="10"/>
      <c r="J6" s="18"/>
      <c r="K6" s="10"/>
    </row>
    <row r="7" spans="1:11" ht="12.75">
      <c r="A7" s="5">
        <v>2000</v>
      </c>
      <c r="B7" s="46"/>
      <c r="C7" s="10"/>
      <c r="D7" s="48"/>
      <c r="E7" s="6"/>
      <c r="F7" s="10"/>
      <c r="H7" s="10"/>
      <c r="I7" s="10"/>
      <c r="J7" s="18"/>
      <c r="K7" s="10"/>
    </row>
    <row r="8" spans="1:11" ht="12.75">
      <c r="A8" s="9">
        <v>2001</v>
      </c>
      <c r="B8" s="46"/>
      <c r="C8" s="10"/>
      <c r="D8" s="48"/>
      <c r="E8" s="6"/>
      <c r="F8" s="10"/>
      <c r="H8" s="10"/>
      <c r="I8" s="10"/>
      <c r="J8" s="18"/>
      <c r="K8" s="10"/>
    </row>
    <row r="9" spans="1:11" ht="12.75">
      <c r="A9" s="9">
        <v>2002</v>
      </c>
      <c r="B9" s="46"/>
      <c r="C9" s="10"/>
      <c r="D9" s="48"/>
      <c r="E9" s="6"/>
      <c r="F9" s="10"/>
      <c r="H9" s="10"/>
      <c r="I9" s="10"/>
      <c r="J9" s="18"/>
      <c r="K9" s="10"/>
    </row>
    <row r="10" spans="1:11" ht="12.75">
      <c r="A10" s="9">
        <v>2003</v>
      </c>
      <c r="B10" s="46"/>
      <c r="C10" s="10"/>
      <c r="D10" s="48"/>
      <c r="E10" s="6"/>
      <c r="F10" s="10"/>
      <c r="H10" s="10"/>
      <c r="I10" s="10"/>
      <c r="J10" s="18"/>
      <c r="K10" s="10"/>
    </row>
    <row r="11" spans="1:11" ht="12.75">
      <c r="A11" s="9">
        <v>2004</v>
      </c>
      <c r="B11" s="46"/>
      <c r="C11" s="10"/>
      <c r="D11" s="48"/>
      <c r="E11" s="6"/>
      <c r="F11" s="10"/>
      <c r="H11" s="10"/>
      <c r="I11" s="10"/>
      <c r="J11" s="18"/>
      <c r="K11" s="10"/>
    </row>
    <row r="12" spans="1:11" ht="12.75">
      <c r="A12" s="5">
        <v>2005</v>
      </c>
      <c r="B12" s="46"/>
      <c r="C12" s="10"/>
      <c r="D12" s="48"/>
      <c r="E12" s="6"/>
      <c r="F12" s="10"/>
      <c r="H12" s="10"/>
      <c r="I12" s="10"/>
      <c r="J12" s="20"/>
      <c r="K12" s="10"/>
    </row>
    <row r="13" spans="1:11" ht="12.75">
      <c r="A13" s="5">
        <v>2006</v>
      </c>
      <c r="B13" s="46"/>
      <c r="C13" s="10">
        <f>203877*10/9</f>
        <v>226530</v>
      </c>
      <c r="D13" s="16">
        <v>10355.52</v>
      </c>
      <c r="E13" s="6">
        <f>SUM(B13:D13)</f>
        <v>236885.52</v>
      </c>
      <c r="F13" s="10"/>
      <c r="H13" s="10"/>
      <c r="I13" s="10"/>
      <c r="J13" s="18"/>
      <c r="K13" s="10"/>
    </row>
    <row r="14" spans="1:11" ht="12.75">
      <c r="A14" s="5">
        <v>2007</v>
      </c>
      <c r="B14" s="46"/>
      <c r="C14" s="10">
        <f>207838.66*10/9</f>
        <v>230931.84444444446</v>
      </c>
      <c r="D14" s="16">
        <v>38462.07</v>
      </c>
      <c r="E14" s="6">
        <f>SUM(B14:D14)</f>
        <v>269393.91444444447</v>
      </c>
      <c r="F14" s="10"/>
      <c r="H14" s="10"/>
      <c r="I14" s="10"/>
      <c r="J14" s="18"/>
      <c r="K14" s="10"/>
    </row>
    <row r="15" spans="1:11" ht="12.75">
      <c r="A15" s="5">
        <v>2008</v>
      </c>
      <c r="B15" s="46"/>
      <c r="C15" s="10">
        <f>213318.66*10/9</f>
        <v>237020.73333333334</v>
      </c>
      <c r="D15" s="16">
        <v>53584.43</v>
      </c>
      <c r="E15" s="6">
        <f>SUM(B15:D15)</f>
        <v>290605.16333333333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2">
      <selection activeCell="E5" sqref="E5:E1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94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10"/>
      <c r="D5" s="48"/>
      <c r="E5" s="6"/>
      <c r="F5" s="10"/>
      <c r="H5" s="10"/>
      <c r="I5" s="10"/>
      <c r="J5" s="18"/>
      <c r="K5" s="10"/>
    </row>
    <row r="6" spans="1:11" ht="12.75">
      <c r="A6" s="5">
        <v>1999</v>
      </c>
      <c r="B6" s="46"/>
      <c r="C6" s="10"/>
      <c r="D6" s="48"/>
      <c r="E6" s="6"/>
      <c r="F6" s="10"/>
      <c r="H6" s="10"/>
      <c r="I6" s="10"/>
      <c r="J6" s="18"/>
      <c r="K6" s="10"/>
    </row>
    <row r="7" spans="1:11" ht="12.75">
      <c r="A7" s="5">
        <v>2000</v>
      </c>
      <c r="B7" s="46"/>
      <c r="C7" s="10"/>
      <c r="D7" s="48"/>
      <c r="E7" s="6"/>
      <c r="F7" s="10"/>
      <c r="H7" s="10"/>
      <c r="I7" s="10"/>
      <c r="J7" s="18"/>
      <c r="K7" s="10"/>
    </row>
    <row r="8" spans="1:11" ht="12.75">
      <c r="A8" s="9">
        <v>2001</v>
      </c>
      <c r="B8" s="46"/>
      <c r="C8" s="10"/>
      <c r="D8" s="48"/>
      <c r="E8" s="6"/>
      <c r="F8" s="10"/>
      <c r="H8" s="10"/>
      <c r="I8" s="10"/>
      <c r="J8" s="18"/>
      <c r="K8" s="10"/>
    </row>
    <row r="9" spans="1:11" ht="12.75">
      <c r="A9" s="9">
        <v>2002</v>
      </c>
      <c r="B9" s="46"/>
      <c r="C9" s="10"/>
      <c r="D9" s="48"/>
      <c r="E9" s="6"/>
      <c r="F9" s="10"/>
      <c r="H9" s="10"/>
      <c r="I9" s="10"/>
      <c r="J9" s="18"/>
      <c r="K9" s="10"/>
    </row>
    <row r="10" spans="1:11" ht="12.75">
      <c r="A10" s="9">
        <v>2003</v>
      </c>
      <c r="B10" s="46"/>
      <c r="C10" s="10"/>
      <c r="D10" s="48"/>
      <c r="E10" s="6"/>
      <c r="F10" s="10"/>
      <c r="H10" s="10"/>
      <c r="I10" s="10"/>
      <c r="J10" s="18"/>
      <c r="K10" s="10"/>
    </row>
    <row r="11" spans="1:11" ht="12.75">
      <c r="A11" s="9">
        <v>2004</v>
      </c>
      <c r="B11" s="46"/>
      <c r="C11" s="10"/>
      <c r="D11" s="48"/>
      <c r="E11" s="6"/>
      <c r="F11" s="10"/>
      <c r="H11" s="10"/>
      <c r="I11" s="10"/>
      <c r="J11" s="18"/>
      <c r="K11" s="10"/>
    </row>
    <row r="12" spans="1:11" ht="12.75">
      <c r="A12" s="5">
        <v>2005</v>
      </c>
      <c r="B12" s="46"/>
      <c r="C12" s="10"/>
      <c r="D12" s="48"/>
      <c r="E12" s="6"/>
      <c r="F12" s="10"/>
      <c r="H12" s="10"/>
      <c r="I12" s="10"/>
      <c r="J12" s="20"/>
      <c r="K12" s="10"/>
    </row>
    <row r="13" spans="1:11" ht="12.75">
      <c r="A13" s="5">
        <v>2006</v>
      </c>
      <c r="B13" s="46">
        <v>0</v>
      </c>
      <c r="C13" s="30">
        <f>76274.4*10/6</f>
        <v>127124</v>
      </c>
      <c r="D13" s="16"/>
      <c r="E13" s="6">
        <f>SUM(B13:D13)</f>
        <v>127124</v>
      </c>
      <c r="F13" s="10"/>
      <c r="H13" s="10"/>
      <c r="I13" s="10"/>
      <c r="J13" s="18"/>
      <c r="K13" s="10"/>
    </row>
    <row r="14" spans="1:11" ht="12.75">
      <c r="A14" s="5">
        <v>2007</v>
      </c>
      <c r="B14" s="16">
        <v>1963.96</v>
      </c>
      <c r="C14" s="30">
        <f>77756.54*10/6</f>
        <v>129594.23333333332</v>
      </c>
      <c r="D14" s="16"/>
      <c r="E14" s="6">
        <f>SUM(B14:D14)</f>
        <v>131558.19333333333</v>
      </c>
      <c r="F14" s="10"/>
      <c r="H14" s="10"/>
      <c r="I14" s="10"/>
      <c r="J14" s="18"/>
      <c r="K14" s="10"/>
    </row>
    <row r="15" spans="1:11" ht="12.75">
      <c r="A15" s="5">
        <v>2008</v>
      </c>
      <c r="B15" s="16">
        <v>2024.6</v>
      </c>
      <c r="C15" s="30">
        <f>79806.72*10/6</f>
        <v>133011.19999999998</v>
      </c>
      <c r="D15" s="16"/>
      <c r="E15" s="6">
        <f>SUM(B15:D15)</f>
        <v>135035.8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4">
      <selection activeCell="G17" sqref="G17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ht="20.25">
      <c r="A1" s="3" t="s">
        <v>8</v>
      </c>
    </row>
    <row r="2" ht="12.75">
      <c r="D2" s="1"/>
    </row>
    <row r="3" spans="2:5" ht="12.75">
      <c r="B3" s="2" t="s">
        <v>2</v>
      </c>
      <c r="C3" s="2" t="s">
        <v>0</v>
      </c>
      <c r="D3" s="2" t="s">
        <v>9</v>
      </c>
      <c r="E3" s="2" t="s">
        <v>10</v>
      </c>
    </row>
    <row r="4" spans="1:5" ht="12.75">
      <c r="A4" s="5"/>
      <c r="E4" s="6"/>
    </row>
    <row r="5" spans="1:5" ht="12.75">
      <c r="A5" s="5">
        <v>1998</v>
      </c>
      <c r="B5" s="11"/>
      <c r="C5" s="14">
        <v>296852.96691365127</v>
      </c>
      <c r="E5" s="6">
        <f>B5+C5+D5</f>
        <v>296852.96691365127</v>
      </c>
    </row>
    <row r="6" spans="1:5" ht="12.75">
      <c r="A6" s="5">
        <v>1999</v>
      </c>
      <c r="C6" s="14">
        <v>299659.8403789796</v>
      </c>
      <c r="E6" s="6">
        <f aca="true" t="shared" si="0" ref="E6:E15">B6+C6+D6</f>
        <v>299659.8403789796</v>
      </c>
    </row>
    <row r="7" spans="1:5" ht="12.75">
      <c r="A7" s="5">
        <v>2000</v>
      </c>
      <c r="C7" s="14">
        <v>304438.8594430576</v>
      </c>
      <c r="E7" s="6">
        <f t="shared" si="0"/>
        <v>304438.8594430576</v>
      </c>
    </row>
    <row r="8" spans="1:5" ht="12.75">
      <c r="A8" s="9">
        <v>2001</v>
      </c>
      <c r="B8" s="10"/>
      <c r="C8" s="14">
        <v>312163.83</v>
      </c>
      <c r="D8" s="10"/>
      <c r="E8" s="6">
        <f t="shared" si="0"/>
        <v>312163.83</v>
      </c>
    </row>
    <row r="9" spans="1:5" ht="12.75">
      <c r="A9" s="9">
        <v>2002</v>
      </c>
      <c r="B9" s="10"/>
      <c r="C9" s="14">
        <v>320741.79</v>
      </c>
      <c r="D9" s="10"/>
      <c r="E9" s="6">
        <f t="shared" si="0"/>
        <v>320741.79</v>
      </c>
    </row>
    <row r="10" spans="1:5" ht="12.75">
      <c r="A10" s="9">
        <v>2003</v>
      </c>
      <c r="B10" s="8"/>
      <c r="C10" s="14">
        <v>323488.2</v>
      </c>
      <c r="D10" s="8"/>
      <c r="E10" s="6">
        <f t="shared" si="0"/>
        <v>323488.2</v>
      </c>
    </row>
    <row r="11" spans="1:5" ht="12.75">
      <c r="A11" s="9">
        <v>2004</v>
      </c>
      <c r="B11" s="10"/>
      <c r="C11" s="14">
        <v>328968.89</v>
      </c>
      <c r="E11" s="6">
        <f t="shared" si="0"/>
        <v>328968.89</v>
      </c>
    </row>
    <row r="12" spans="1:5" ht="12.75">
      <c r="A12" s="5">
        <v>2005</v>
      </c>
      <c r="C12" s="14">
        <v>334727.86</v>
      </c>
      <c r="E12" s="6">
        <f t="shared" si="0"/>
        <v>334727.86</v>
      </c>
    </row>
    <row r="13" spans="1:5" ht="12.75">
      <c r="A13" s="5">
        <v>2006</v>
      </c>
      <c r="B13" s="6"/>
      <c r="C13" s="14">
        <v>343027.55</v>
      </c>
      <c r="D13" s="6"/>
      <c r="E13" s="6">
        <f t="shared" si="0"/>
        <v>343027.55</v>
      </c>
    </row>
    <row r="14" spans="1:5" ht="12.75">
      <c r="A14" s="5">
        <v>2007</v>
      </c>
      <c r="B14" s="6"/>
      <c r="C14" s="14">
        <v>349040.79</v>
      </c>
      <c r="D14" s="8"/>
      <c r="E14" s="6">
        <f t="shared" si="0"/>
        <v>349040.79</v>
      </c>
    </row>
    <row r="15" spans="1:5" ht="12.75">
      <c r="A15" s="5">
        <v>2008</v>
      </c>
      <c r="B15" s="6"/>
      <c r="C15" s="14">
        <v>358913.05</v>
      </c>
      <c r="D15" s="6"/>
      <c r="E15" s="6">
        <f t="shared" si="0"/>
        <v>358913.05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6">
      <selection activeCell="E5" sqref="E5:E1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95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10"/>
      <c r="D5" s="48"/>
      <c r="E5" s="6"/>
      <c r="F5" s="10"/>
      <c r="H5" s="10"/>
      <c r="I5" s="10"/>
      <c r="J5" s="18"/>
      <c r="K5" s="10"/>
    </row>
    <row r="6" spans="1:11" ht="12.75">
      <c r="A6" s="5">
        <v>1999</v>
      </c>
      <c r="B6" s="46"/>
      <c r="C6" s="10"/>
      <c r="D6" s="48"/>
      <c r="E6" s="6"/>
      <c r="F6" s="10"/>
      <c r="H6" s="10"/>
      <c r="I6" s="10"/>
      <c r="J6" s="18"/>
      <c r="K6" s="10"/>
    </row>
    <row r="7" spans="1:11" ht="12.75">
      <c r="A7" s="5">
        <v>2000</v>
      </c>
      <c r="B7" s="46"/>
      <c r="C7" s="10"/>
      <c r="D7" s="48"/>
      <c r="E7" s="6"/>
      <c r="F7" s="10"/>
      <c r="H7" s="10"/>
      <c r="I7" s="10"/>
      <c r="J7" s="18"/>
      <c r="K7" s="10"/>
    </row>
    <row r="8" spans="1:11" ht="12.75">
      <c r="A8" s="9">
        <v>2001</v>
      </c>
      <c r="B8" s="46"/>
      <c r="C8" s="10"/>
      <c r="D8" s="48"/>
      <c r="E8" s="6"/>
      <c r="F8" s="10"/>
      <c r="H8" s="10"/>
      <c r="I8" s="10"/>
      <c r="J8" s="18"/>
      <c r="K8" s="10"/>
    </row>
    <row r="9" spans="1:11" ht="12.75">
      <c r="A9" s="9">
        <v>2002</v>
      </c>
      <c r="B9" s="46"/>
      <c r="C9" s="10"/>
      <c r="D9" s="48"/>
      <c r="E9" s="6"/>
      <c r="F9" s="10"/>
      <c r="H9" s="10"/>
      <c r="I9" s="10"/>
      <c r="J9" s="18"/>
      <c r="K9" s="10"/>
    </row>
    <row r="10" spans="1:11" ht="12.75">
      <c r="A10" s="9">
        <v>2003</v>
      </c>
      <c r="B10" s="46"/>
      <c r="C10" s="10"/>
      <c r="D10" s="48"/>
      <c r="E10" s="6"/>
      <c r="F10" s="10"/>
      <c r="H10" s="10"/>
      <c r="I10" s="10"/>
      <c r="J10" s="18"/>
      <c r="K10" s="10"/>
    </row>
    <row r="11" spans="1:11" ht="12.75">
      <c r="A11" s="9">
        <v>2004</v>
      </c>
      <c r="B11" s="46"/>
      <c r="C11" s="10"/>
      <c r="D11" s="48"/>
      <c r="E11" s="6"/>
      <c r="F11" s="10"/>
      <c r="H11" s="10"/>
      <c r="I11" s="10"/>
      <c r="J11" s="18"/>
      <c r="K11" s="10"/>
    </row>
    <row r="12" spans="1:11" ht="12.75">
      <c r="A12" s="5">
        <v>2005</v>
      </c>
      <c r="B12" s="46"/>
      <c r="C12" s="10"/>
      <c r="D12" s="48"/>
      <c r="E12" s="6"/>
      <c r="F12" s="10"/>
      <c r="H12" s="10"/>
      <c r="I12" s="10"/>
      <c r="J12" s="20"/>
      <c r="K12" s="10"/>
    </row>
    <row r="13" spans="1:11" ht="12.75">
      <c r="A13" s="5">
        <v>2006</v>
      </c>
      <c r="B13" s="46"/>
      <c r="C13" s="30">
        <v>275490</v>
      </c>
      <c r="D13" s="12">
        <v>6919.54</v>
      </c>
      <c r="E13" s="6">
        <f>SUM(B13:D13)</f>
        <v>282409.54</v>
      </c>
      <c r="F13" s="10"/>
      <c r="H13" s="10"/>
      <c r="I13" s="10"/>
      <c r="J13" s="18"/>
      <c r="K13" s="10"/>
    </row>
    <row r="14" spans="1:11" ht="12.75">
      <c r="A14" s="5">
        <v>2007</v>
      </c>
      <c r="B14" s="16">
        <v>22667.34</v>
      </c>
      <c r="C14" s="30">
        <v>280843.22</v>
      </c>
      <c r="D14" s="12">
        <v>6407.9</v>
      </c>
      <c r="E14" s="6">
        <f>SUM(B14:D14)</f>
        <v>309918.46</v>
      </c>
      <c r="F14" s="10"/>
      <c r="H14" s="10"/>
      <c r="I14" s="10"/>
      <c r="J14" s="18"/>
      <c r="K14" s="10"/>
    </row>
    <row r="15" spans="1:11" ht="12.75">
      <c r="A15" s="5">
        <v>2008</v>
      </c>
      <c r="B15" s="16">
        <v>23378.51</v>
      </c>
      <c r="C15" s="30">
        <v>288248.1</v>
      </c>
      <c r="D15" s="16"/>
      <c r="E15" s="6">
        <f>SUM(B15:D15)</f>
        <v>311626.61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2">
      <selection activeCell="E5" sqref="E5:E12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96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10"/>
      <c r="D5" s="48"/>
      <c r="E5" s="6"/>
      <c r="F5" s="10"/>
      <c r="H5" s="10"/>
      <c r="I5" s="10"/>
      <c r="J5" s="18"/>
      <c r="K5" s="10"/>
    </row>
    <row r="6" spans="1:11" ht="12.75">
      <c r="A6" s="5">
        <v>1999</v>
      </c>
      <c r="B6" s="46"/>
      <c r="C6" s="10"/>
      <c r="D6" s="48"/>
      <c r="E6" s="6"/>
      <c r="F6" s="10"/>
      <c r="H6" s="10"/>
      <c r="I6" s="10"/>
      <c r="J6" s="18"/>
      <c r="K6" s="10"/>
    </row>
    <row r="7" spans="1:11" ht="12.75">
      <c r="A7" s="5">
        <v>2000</v>
      </c>
      <c r="B7" s="46"/>
      <c r="C7" s="10"/>
      <c r="D7" s="48"/>
      <c r="E7" s="6"/>
      <c r="F7" s="10"/>
      <c r="H7" s="10"/>
      <c r="I7" s="10"/>
      <c r="J7" s="18"/>
      <c r="K7" s="10"/>
    </row>
    <row r="8" spans="1:11" ht="12.75">
      <c r="A8" s="9">
        <v>2001</v>
      </c>
      <c r="B8" s="46"/>
      <c r="C8" s="10"/>
      <c r="D8" s="48"/>
      <c r="E8" s="6"/>
      <c r="F8" s="10"/>
      <c r="H8" s="10"/>
      <c r="I8" s="10"/>
      <c r="J8" s="18"/>
      <c r="K8" s="10"/>
    </row>
    <row r="9" spans="1:11" ht="12.75">
      <c r="A9" s="9">
        <v>2002</v>
      </c>
      <c r="B9" s="46"/>
      <c r="C9" s="10"/>
      <c r="D9" s="48"/>
      <c r="E9" s="6"/>
      <c r="F9" s="10"/>
      <c r="H9" s="10"/>
      <c r="I9" s="10"/>
      <c r="J9" s="18"/>
      <c r="K9" s="10"/>
    </row>
    <row r="10" spans="1:11" ht="12.75">
      <c r="A10" s="9">
        <v>2003</v>
      </c>
      <c r="B10" s="46"/>
      <c r="C10" s="10"/>
      <c r="D10" s="48"/>
      <c r="E10" s="6"/>
      <c r="F10" s="10"/>
      <c r="H10" s="10"/>
      <c r="I10" s="10"/>
      <c r="J10" s="18"/>
      <c r="K10" s="10"/>
    </row>
    <row r="11" spans="1:11" ht="12.75">
      <c r="A11" s="9">
        <v>2004</v>
      </c>
      <c r="B11" s="46"/>
      <c r="C11" s="10"/>
      <c r="D11" s="48"/>
      <c r="E11" s="6"/>
      <c r="F11" s="10"/>
      <c r="H11" s="10"/>
      <c r="I11" s="10"/>
      <c r="J11" s="18"/>
      <c r="K11" s="10"/>
    </row>
    <row r="12" spans="1:11" ht="12.75">
      <c r="A12" s="5">
        <v>2005</v>
      </c>
      <c r="B12" s="46"/>
      <c r="C12" s="10"/>
      <c r="D12" s="48"/>
      <c r="E12" s="6"/>
      <c r="F12" s="10"/>
      <c r="H12" s="10"/>
      <c r="I12" s="10"/>
      <c r="J12" s="20"/>
      <c r="K12" s="10"/>
    </row>
    <row r="13" spans="1:11" ht="12.75">
      <c r="A13" s="5">
        <v>2006</v>
      </c>
      <c r="B13" s="46"/>
      <c r="C13" s="30">
        <v>263025</v>
      </c>
      <c r="D13" s="12"/>
      <c r="E13" s="6">
        <f>SUM(B13:D13)</f>
        <v>263025</v>
      </c>
      <c r="F13" s="10"/>
      <c r="H13" s="10"/>
      <c r="I13" s="10"/>
      <c r="J13" s="18"/>
      <c r="K13" s="10"/>
    </row>
    <row r="14" spans="1:11" ht="12.75">
      <c r="A14" s="5">
        <v>2007</v>
      </c>
      <c r="B14" s="16">
        <v>22906.78</v>
      </c>
      <c r="C14" s="30">
        <v>268136</v>
      </c>
      <c r="D14" s="12"/>
      <c r="E14" s="6">
        <f>SUM(B14:D14)</f>
        <v>291042.78</v>
      </c>
      <c r="F14" s="10"/>
      <c r="H14" s="10"/>
      <c r="I14" s="10"/>
      <c r="J14" s="18"/>
      <c r="K14" s="10"/>
    </row>
    <row r="15" spans="1:11" ht="12.75">
      <c r="A15" s="5">
        <v>2008</v>
      </c>
      <c r="B15" s="16">
        <v>23624.81</v>
      </c>
      <c r="C15" s="30">
        <v>275205.84</v>
      </c>
      <c r="D15" s="16"/>
      <c r="E15" s="6">
        <f>SUM(B15:D15)</f>
        <v>298830.65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7" ht="12.75">
      <c r="A37" s="2" t="s">
        <v>92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A41" sqref="A41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97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>
        <v>15068.72847974338</v>
      </c>
      <c r="C5" s="10">
        <v>207419.55235387295</v>
      </c>
      <c r="D5" s="10">
        <v>9296.131125758864</v>
      </c>
      <c r="E5" s="6">
        <f>SUM(B5:D5)</f>
        <v>231784.4119593752</v>
      </c>
      <c r="F5" s="10"/>
      <c r="H5" s="10"/>
      <c r="I5" s="10"/>
      <c r="J5" s="18"/>
      <c r="K5" s="10"/>
    </row>
    <row r="6" spans="1:11" ht="12.75">
      <c r="A6" s="5">
        <v>1999</v>
      </c>
      <c r="B6" s="46">
        <v>15213.647034325817</v>
      </c>
      <c r="C6" s="10">
        <v>209925.03679724043</v>
      </c>
      <c r="D6" s="10">
        <v>9398.114521850575</v>
      </c>
      <c r="E6" s="6">
        <f aca="true" t="shared" si="0" ref="E6:E15">SUM(B6:D6)</f>
        <v>234536.79835341682</v>
      </c>
      <c r="F6" s="10"/>
      <c r="H6" s="10"/>
      <c r="I6" s="10"/>
      <c r="J6" s="18"/>
      <c r="K6" s="10"/>
    </row>
    <row r="7" spans="1:11" ht="12.75">
      <c r="A7" s="5">
        <v>2000</v>
      </c>
      <c r="B7" s="46">
        <v>15384.495251599534</v>
      </c>
      <c r="C7" s="10">
        <v>211199.89443335257</v>
      </c>
      <c r="D7" s="10">
        <v>10076.177680162815</v>
      </c>
      <c r="E7" s="6">
        <f t="shared" si="0"/>
        <v>236660.56736511493</v>
      </c>
      <c r="F7" s="10"/>
      <c r="H7" s="10"/>
      <c r="I7" s="10"/>
      <c r="J7" s="18"/>
      <c r="K7" s="10"/>
    </row>
    <row r="8" spans="1:11" ht="12.75">
      <c r="A8" s="9">
        <v>2001</v>
      </c>
      <c r="B8" s="46">
        <v>16454.03</v>
      </c>
      <c r="C8" s="10">
        <v>218351.06</v>
      </c>
      <c r="D8" s="10">
        <v>11108.431106671062</v>
      </c>
      <c r="E8" s="6">
        <f t="shared" si="0"/>
        <v>245913.52110667105</v>
      </c>
      <c r="F8" s="10"/>
      <c r="H8" s="10"/>
      <c r="I8" s="10"/>
      <c r="J8" s="18"/>
      <c r="K8" s="10"/>
    </row>
    <row r="9" spans="1:11" ht="12.75">
      <c r="A9" s="9">
        <v>2002</v>
      </c>
      <c r="B9" s="46">
        <v>18749.4</v>
      </c>
      <c r="C9" s="10">
        <v>224615.12</v>
      </c>
      <c r="D9" s="10">
        <v>9019.71</v>
      </c>
      <c r="E9" s="6">
        <f t="shared" si="0"/>
        <v>252384.22999999998</v>
      </c>
      <c r="F9" s="10"/>
      <c r="H9" s="10"/>
      <c r="I9" s="10"/>
      <c r="J9" s="18"/>
      <c r="K9" s="10"/>
    </row>
    <row r="10" spans="1:11" ht="12.75">
      <c r="A10" s="9">
        <v>2003</v>
      </c>
      <c r="B10" s="46">
        <v>19019.31</v>
      </c>
      <c r="C10" s="10">
        <v>226191.32</v>
      </c>
      <c r="D10" s="10">
        <v>12389.78</v>
      </c>
      <c r="E10" s="6">
        <f t="shared" si="0"/>
        <v>257600.41</v>
      </c>
      <c r="F10" s="10"/>
      <c r="H10" s="10"/>
      <c r="I10" s="10"/>
      <c r="J10" s="18"/>
      <c r="K10" s="10"/>
    </row>
    <row r="11" spans="1:11" ht="12.75">
      <c r="A11" s="9">
        <v>2004</v>
      </c>
      <c r="B11" s="46">
        <v>18461.03</v>
      </c>
      <c r="C11" s="10">
        <v>230338.31</v>
      </c>
      <c r="D11" s="10">
        <v>14492.43</v>
      </c>
      <c r="E11" s="6">
        <f t="shared" si="0"/>
        <v>263291.77</v>
      </c>
      <c r="F11" s="10"/>
      <c r="H11" s="10"/>
      <c r="I11" s="10"/>
      <c r="J11" s="18"/>
      <c r="K11" s="10"/>
    </row>
    <row r="12" spans="1:11" ht="12.75">
      <c r="A12" s="5">
        <v>2005</v>
      </c>
      <c r="B12" s="46">
        <v>19824.57</v>
      </c>
      <c r="C12" s="10">
        <v>233376.92</v>
      </c>
      <c r="D12" s="10">
        <v>12337.1</v>
      </c>
      <c r="E12" s="6">
        <f t="shared" si="0"/>
        <v>265538.59</v>
      </c>
      <c r="F12" s="10"/>
      <c r="H12" s="10"/>
      <c r="I12" s="10"/>
      <c r="J12" s="20"/>
      <c r="K12" s="10"/>
    </row>
    <row r="13" spans="1:11" ht="12.75">
      <c r="A13" s="5">
        <v>2006</v>
      </c>
      <c r="B13" s="46">
        <v>19372.95</v>
      </c>
      <c r="C13" s="30">
        <v>239474.5</v>
      </c>
      <c r="D13" s="30">
        <v>11651.83</v>
      </c>
      <c r="E13" s="6">
        <f t="shared" si="0"/>
        <v>270499.28</v>
      </c>
      <c r="F13" s="10"/>
      <c r="H13" s="10"/>
      <c r="I13" s="10"/>
      <c r="J13" s="18"/>
      <c r="K13" s="10"/>
    </row>
    <row r="14" spans="1:11" ht="12.75">
      <c r="A14" s="5">
        <v>2007</v>
      </c>
      <c r="B14" s="16">
        <v>19720.35</v>
      </c>
      <c r="C14" s="30">
        <v>243257.66</v>
      </c>
      <c r="D14" s="30">
        <v>7400</v>
      </c>
      <c r="E14" s="6">
        <f t="shared" si="0"/>
        <v>270378.01</v>
      </c>
      <c r="F14" s="10"/>
      <c r="H14" s="10"/>
      <c r="I14" s="10"/>
      <c r="J14" s="18"/>
      <c r="K14" s="10"/>
    </row>
    <row r="15" spans="1:11" ht="12.75">
      <c r="A15" s="5">
        <v>2008</v>
      </c>
      <c r="B15" s="16"/>
      <c r="C15" s="30">
        <v>245866.39</v>
      </c>
      <c r="D15" s="30"/>
      <c r="E15" s="6">
        <f t="shared" si="0"/>
        <v>245866.39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98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10">
        <v>22020.05954402465</v>
      </c>
      <c r="D5" s="10"/>
      <c r="E5" s="6">
        <f>SUM(B5:D5)</f>
        <v>22020.05954402465</v>
      </c>
      <c r="F5" s="10"/>
      <c r="H5" s="10"/>
      <c r="I5" s="10"/>
      <c r="J5" s="18"/>
      <c r="K5" s="10"/>
    </row>
    <row r="6" spans="1:11" ht="12.75">
      <c r="A6" s="5">
        <v>1999</v>
      </c>
      <c r="B6" s="46"/>
      <c r="C6" s="10">
        <v>22311.38045101748</v>
      </c>
      <c r="D6" s="10"/>
      <c r="E6" s="6">
        <f aca="true" t="shared" si="0" ref="E6:E15">SUM(B6:D6)</f>
        <v>22311.38045101748</v>
      </c>
      <c r="F6" s="10"/>
      <c r="H6" s="10"/>
      <c r="I6" s="10"/>
      <c r="J6" s="18"/>
      <c r="K6" s="10"/>
    </row>
    <row r="7" spans="1:11" ht="12.75">
      <c r="A7" s="5">
        <v>2000</v>
      </c>
      <c r="B7" s="46"/>
      <c r="C7" s="10">
        <v>22574.146546917567</v>
      </c>
      <c r="D7" s="10"/>
      <c r="E7" s="6">
        <f t="shared" si="0"/>
        <v>22574.146546917567</v>
      </c>
      <c r="F7" s="10"/>
      <c r="H7" s="10"/>
      <c r="I7" s="10"/>
      <c r="J7" s="18"/>
      <c r="K7" s="10"/>
    </row>
    <row r="8" spans="1:11" ht="12.75">
      <c r="A8" s="9">
        <v>2001</v>
      </c>
      <c r="B8" s="46"/>
      <c r="C8" s="10">
        <v>23082.14</v>
      </c>
      <c r="D8" s="10"/>
      <c r="E8" s="6">
        <f t="shared" si="0"/>
        <v>23082.14</v>
      </c>
      <c r="F8" s="10"/>
      <c r="H8" s="10"/>
      <c r="I8" s="10"/>
      <c r="J8" s="18"/>
      <c r="K8" s="10"/>
    </row>
    <row r="9" spans="1:11" ht="12.75">
      <c r="A9" s="9">
        <v>2002</v>
      </c>
      <c r="B9" s="46">
        <v>17.13</v>
      </c>
      <c r="C9" s="10">
        <v>23872.93</v>
      </c>
      <c r="D9" s="10"/>
      <c r="E9" s="6">
        <f t="shared" si="0"/>
        <v>23890.06</v>
      </c>
      <c r="F9" s="10"/>
      <c r="H9" s="10"/>
      <c r="I9" s="10"/>
      <c r="J9" s="18"/>
      <c r="K9" s="10"/>
    </row>
    <row r="10" spans="1:11" ht="12.75">
      <c r="A10" s="9">
        <v>2003</v>
      </c>
      <c r="B10" s="46"/>
      <c r="C10" s="10">
        <v>24003.73</v>
      </c>
      <c r="D10" s="10"/>
      <c r="E10" s="6">
        <f t="shared" si="0"/>
        <v>24003.73</v>
      </c>
      <c r="F10" s="10"/>
      <c r="H10" s="10"/>
      <c r="I10" s="10"/>
      <c r="J10" s="18"/>
      <c r="K10" s="10"/>
    </row>
    <row r="11" spans="1:11" ht="12.75">
      <c r="A11" s="9">
        <v>2004</v>
      </c>
      <c r="B11" s="46"/>
      <c r="C11" s="10">
        <v>24404.19</v>
      </c>
      <c r="D11" s="10"/>
      <c r="E11" s="6">
        <f t="shared" si="0"/>
        <v>24404.19</v>
      </c>
      <c r="F11" s="10"/>
      <c r="H11" s="10"/>
      <c r="I11" s="10"/>
      <c r="J11" s="18"/>
      <c r="K11" s="10"/>
    </row>
    <row r="12" spans="1:11" ht="12.75">
      <c r="A12" s="5">
        <v>2005</v>
      </c>
      <c r="B12" s="46"/>
      <c r="C12" s="10">
        <v>24847.67</v>
      </c>
      <c r="D12" s="10"/>
      <c r="E12" s="6">
        <f t="shared" si="0"/>
        <v>24847.67</v>
      </c>
      <c r="F12" s="10"/>
      <c r="H12" s="10"/>
      <c r="I12" s="10"/>
      <c r="J12" s="20"/>
      <c r="K12" s="10"/>
    </row>
    <row r="13" spans="1:11" ht="12.75">
      <c r="A13" s="5">
        <v>2006</v>
      </c>
      <c r="B13" s="46"/>
      <c r="C13" s="30">
        <v>25354.46</v>
      </c>
      <c r="D13" s="30"/>
      <c r="E13" s="6">
        <f t="shared" si="0"/>
        <v>25354.46</v>
      </c>
      <c r="F13" s="10"/>
      <c r="H13" s="10"/>
      <c r="I13" s="10"/>
      <c r="J13" s="18"/>
      <c r="K13" s="10"/>
    </row>
    <row r="14" spans="1:11" ht="12.75">
      <c r="A14" s="5">
        <v>2007</v>
      </c>
      <c r="B14" s="16"/>
      <c r="C14" s="30">
        <v>25873.79</v>
      </c>
      <c r="D14" s="30"/>
      <c r="E14" s="6">
        <f t="shared" si="0"/>
        <v>25873.79</v>
      </c>
      <c r="F14" s="10"/>
      <c r="H14" s="10"/>
      <c r="I14" s="10"/>
      <c r="J14" s="18"/>
      <c r="K14" s="10"/>
    </row>
    <row r="15" spans="1:11" ht="12.75">
      <c r="A15" s="5">
        <v>2008</v>
      </c>
      <c r="B15" s="16"/>
      <c r="C15" s="30">
        <v>26628.15</v>
      </c>
      <c r="D15" s="30"/>
      <c r="E15" s="6">
        <f t="shared" si="0"/>
        <v>26628.15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100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46"/>
      <c r="C5" s="10">
        <v>6934.47430459669</v>
      </c>
      <c r="D5" s="10"/>
      <c r="E5" s="6">
        <f>SUM(B5:D5)</f>
        <v>6934.47430459669</v>
      </c>
      <c r="F5" s="10"/>
      <c r="H5" s="10"/>
      <c r="I5" s="10"/>
      <c r="J5" s="18"/>
      <c r="K5" s="10"/>
    </row>
    <row r="6" spans="1:11" ht="12.75">
      <c r="A6" s="5">
        <v>1999</v>
      </c>
      <c r="B6" s="46"/>
      <c r="C6" s="10">
        <v>7014.767017270742</v>
      </c>
      <c r="D6" s="10"/>
      <c r="E6" s="6">
        <f aca="true" t="shared" si="0" ref="E6:E15">SUM(B6:D6)</f>
        <v>7014.767017270742</v>
      </c>
      <c r="F6" s="10"/>
      <c r="H6" s="10"/>
      <c r="I6" s="10"/>
      <c r="J6" s="18"/>
      <c r="K6" s="10"/>
    </row>
    <row r="7" spans="1:11" ht="12.75">
      <c r="A7" s="5">
        <v>2000</v>
      </c>
      <c r="B7" s="46"/>
      <c r="C7" s="10">
        <v>7114.95</v>
      </c>
      <c r="D7" s="10"/>
      <c r="E7" s="6">
        <f t="shared" si="0"/>
        <v>7114.95</v>
      </c>
      <c r="F7" s="10"/>
      <c r="H7" s="10"/>
      <c r="I7" s="10"/>
      <c r="J7" s="18"/>
      <c r="K7" s="10"/>
    </row>
    <row r="8" spans="1:11" ht="12.75">
      <c r="A8" s="9">
        <v>2001</v>
      </c>
      <c r="B8" s="46"/>
      <c r="C8" s="10">
        <v>7301.3</v>
      </c>
      <c r="D8" s="10"/>
      <c r="E8" s="6">
        <f t="shared" si="0"/>
        <v>7301.3</v>
      </c>
      <c r="F8" s="10"/>
      <c r="H8" s="10"/>
      <c r="I8" s="10"/>
      <c r="J8" s="18"/>
      <c r="K8" s="10"/>
    </row>
    <row r="9" spans="1:11" ht="12.75">
      <c r="A9" s="9">
        <v>2002</v>
      </c>
      <c r="B9" s="12">
        <v>11.2</v>
      </c>
      <c r="C9" s="10">
        <v>7452.5</v>
      </c>
      <c r="D9" s="10"/>
      <c r="E9" s="6">
        <f t="shared" si="0"/>
        <v>7463.7</v>
      </c>
      <c r="F9" s="10"/>
      <c r="H9" s="10"/>
      <c r="I9" s="10"/>
      <c r="J9" s="18"/>
      <c r="K9" s="10"/>
    </row>
    <row r="10" spans="1:11" ht="12.75">
      <c r="A10" s="9">
        <v>2003</v>
      </c>
      <c r="B10" s="46"/>
      <c r="C10" s="10">
        <v>7565.28</v>
      </c>
      <c r="D10" s="10"/>
      <c r="E10" s="6">
        <f t="shared" si="0"/>
        <v>7565.28</v>
      </c>
      <c r="F10" s="10"/>
      <c r="H10" s="10"/>
      <c r="I10" s="10"/>
      <c r="J10" s="18"/>
      <c r="K10" s="10"/>
    </row>
    <row r="11" spans="1:11" ht="12.75">
      <c r="A11" s="9">
        <v>2004</v>
      </c>
      <c r="B11" s="46"/>
      <c r="C11" s="10">
        <v>7684.72</v>
      </c>
      <c r="D11" s="10"/>
      <c r="E11" s="6">
        <f t="shared" si="0"/>
        <v>7684.72</v>
      </c>
      <c r="F11" s="10"/>
      <c r="H11" s="10"/>
      <c r="I11" s="10"/>
      <c r="J11" s="18"/>
      <c r="K11" s="10"/>
    </row>
    <row r="12" spans="1:11" ht="12.75">
      <c r="A12" s="5">
        <v>2005</v>
      </c>
      <c r="B12" s="46"/>
      <c r="C12" s="10">
        <v>7841.64</v>
      </c>
      <c r="D12" s="10"/>
      <c r="E12" s="6">
        <f t="shared" si="0"/>
        <v>7841.64</v>
      </c>
      <c r="F12" s="10"/>
      <c r="H12" s="10"/>
      <c r="I12" s="10"/>
      <c r="J12" s="20"/>
      <c r="K12" s="10"/>
    </row>
    <row r="13" spans="1:11" ht="12.75">
      <c r="A13" s="5">
        <v>2006</v>
      </c>
      <c r="B13" s="46"/>
      <c r="C13" s="30">
        <v>7979.49</v>
      </c>
      <c r="D13" s="30"/>
      <c r="E13" s="6">
        <f t="shared" si="0"/>
        <v>7979.49</v>
      </c>
      <c r="F13" s="10"/>
      <c r="H13" s="10"/>
      <c r="I13" s="10"/>
      <c r="J13" s="18"/>
      <c r="K13" s="10"/>
    </row>
    <row r="14" spans="1:11" ht="12.75">
      <c r="A14" s="5">
        <v>2007</v>
      </c>
      <c r="B14" s="16"/>
      <c r="C14" s="30">
        <v>8130.23</v>
      </c>
      <c r="D14" s="30"/>
      <c r="E14" s="6">
        <f t="shared" si="0"/>
        <v>8130.23</v>
      </c>
      <c r="F14" s="10"/>
      <c r="H14" s="10"/>
      <c r="I14" s="10"/>
      <c r="J14" s="18"/>
      <c r="K14" s="10"/>
    </row>
    <row r="15" spans="1:11" ht="12.75">
      <c r="A15" s="5">
        <v>2008</v>
      </c>
      <c r="B15" s="16"/>
      <c r="C15" s="30">
        <v>8419.66</v>
      </c>
      <c r="D15" s="30"/>
      <c r="E15" s="6">
        <f t="shared" si="0"/>
        <v>8419.66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9">
      <selection activeCell="A1" sqref="A1:IV1638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101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0">
        <v>529.1039392760022</v>
      </c>
      <c r="C5" s="10">
        <v>13425.120042439372</v>
      </c>
      <c r="D5" s="10"/>
      <c r="E5" s="6">
        <f>SUM(B5:D5)</f>
        <v>13954.223981715375</v>
      </c>
      <c r="F5" s="10"/>
      <c r="H5" s="10"/>
      <c r="I5" s="10"/>
      <c r="J5" s="18"/>
      <c r="K5" s="10"/>
    </row>
    <row r="6" spans="1:11" ht="12.75">
      <c r="A6" s="5">
        <v>1999</v>
      </c>
      <c r="B6" s="10">
        <v>535.4252241577198</v>
      </c>
      <c r="C6" s="10">
        <v>13584.441210811132</v>
      </c>
      <c r="D6" s="10"/>
      <c r="E6" s="6">
        <f aca="true" t="shared" si="0" ref="E6:E15">SUM(B6:D6)</f>
        <v>14119.866434968852</v>
      </c>
      <c r="F6" s="10"/>
      <c r="H6" s="10"/>
      <c r="I6" s="10"/>
      <c r="J6" s="18"/>
      <c r="K6" s="10"/>
    </row>
    <row r="7" spans="1:11" ht="12.75">
      <c r="A7" s="5">
        <v>2000</v>
      </c>
      <c r="B7" s="10"/>
      <c r="C7" s="10">
        <v>13776.44</v>
      </c>
      <c r="D7" s="10"/>
      <c r="E7" s="6">
        <f t="shared" si="0"/>
        <v>13776.44</v>
      </c>
      <c r="F7" s="10"/>
      <c r="H7" s="10"/>
      <c r="I7" s="10"/>
      <c r="J7" s="18"/>
      <c r="K7" s="10"/>
    </row>
    <row r="8" spans="1:11" ht="12.75">
      <c r="A8" s="9">
        <v>2001</v>
      </c>
      <c r="B8" s="10">
        <v>616.6825331495616</v>
      </c>
      <c r="C8" s="10">
        <v>14130.08</v>
      </c>
      <c r="D8" s="10"/>
      <c r="E8" s="6">
        <f t="shared" si="0"/>
        <v>14746.762533149562</v>
      </c>
      <c r="F8" s="10"/>
      <c r="H8" s="10"/>
      <c r="I8" s="10"/>
      <c r="J8" s="18"/>
      <c r="K8" s="10"/>
    </row>
    <row r="9" spans="1:11" ht="12.75">
      <c r="A9" s="9">
        <v>2002</v>
      </c>
      <c r="B9" s="10">
        <v>36.25</v>
      </c>
      <c r="C9" s="10">
        <v>14426.8</v>
      </c>
      <c r="D9" s="10"/>
      <c r="E9" s="6">
        <f t="shared" si="0"/>
        <v>14463.05</v>
      </c>
      <c r="F9" s="10"/>
      <c r="H9" s="10"/>
      <c r="I9" s="10"/>
      <c r="J9" s="18"/>
      <c r="K9" s="10"/>
    </row>
    <row r="10" spans="1:11" ht="12.75">
      <c r="A10" s="9">
        <v>2003</v>
      </c>
      <c r="B10" s="10"/>
      <c r="C10" s="10">
        <v>14648.35</v>
      </c>
      <c r="D10" s="10"/>
      <c r="E10" s="6">
        <f t="shared" si="0"/>
        <v>14648.35</v>
      </c>
      <c r="F10" s="10"/>
      <c r="H10" s="10"/>
      <c r="I10" s="10"/>
      <c r="J10" s="18"/>
      <c r="K10" s="10"/>
    </row>
    <row r="11" spans="1:11" ht="12.75">
      <c r="A11" s="9">
        <v>2004</v>
      </c>
      <c r="B11" s="10"/>
      <c r="C11" s="10">
        <v>14878.88</v>
      </c>
      <c r="D11" s="10"/>
      <c r="E11" s="6">
        <f t="shared" si="0"/>
        <v>14878.88</v>
      </c>
      <c r="F11" s="10"/>
      <c r="H11" s="10"/>
      <c r="I11" s="10"/>
      <c r="J11" s="18"/>
      <c r="K11" s="10"/>
    </row>
    <row r="12" spans="1:11" ht="12.75">
      <c r="A12" s="5">
        <v>2005</v>
      </c>
      <c r="B12" s="10"/>
      <c r="C12" s="10">
        <v>15179.69</v>
      </c>
      <c r="D12" s="10"/>
      <c r="E12" s="6">
        <f t="shared" si="0"/>
        <v>15179.69</v>
      </c>
      <c r="F12" s="10"/>
      <c r="H12" s="10"/>
      <c r="I12" s="10"/>
      <c r="J12" s="20"/>
      <c r="K12" s="10"/>
    </row>
    <row r="13" spans="1:11" ht="12.75">
      <c r="A13" s="5">
        <v>2006</v>
      </c>
      <c r="B13" s="30"/>
      <c r="C13" s="30">
        <v>15448.76</v>
      </c>
      <c r="D13" s="30"/>
      <c r="E13" s="6">
        <f t="shared" si="0"/>
        <v>15448.76</v>
      </c>
      <c r="F13" s="10"/>
      <c r="H13" s="10"/>
      <c r="I13" s="10"/>
      <c r="J13" s="18"/>
      <c r="K13" s="10"/>
    </row>
    <row r="14" spans="1:11" ht="12.75">
      <c r="A14" s="5">
        <v>2007</v>
      </c>
      <c r="B14" s="30">
        <v>734.37</v>
      </c>
      <c r="C14" s="30">
        <v>15739.49</v>
      </c>
      <c r="D14" s="30"/>
      <c r="E14" s="6">
        <f t="shared" si="0"/>
        <v>16473.86</v>
      </c>
      <c r="F14" s="10"/>
      <c r="H14" s="10"/>
      <c r="I14" s="10"/>
      <c r="J14" s="18"/>
      <c r="K14" s="10"/>
    </row>
    <row r="15" spans="1:11" ht="12.75">
      <c r="A15" s="5">
        <v>2008</v>
      </c>
      <c r="B15" s="30">
        <v>758.15</v>
      </c>
      <c r="C15" s="30">
        <v>16288.12</v>
      </c>
      <c r="D15" s="30"/>
      <c r="E15" s="6">
        <f t="shared" si="0"/>
        <v>17046.27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G24" sqref="G24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102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0"/>
      <c r="C5" s="30">
        <v>21845.071504887223</v>
      </c>
      <c r="D5" s="10">
        <v>19531.233344653803</v>
      </c>
      <c r="E5" s="6">
        <f>SUM(B5:D5)</f>
        <v>41376.304849541026</v>
      </c>
      <c r="F5" s="10"/>
      <c r="H5" s="10"/>
      <c r="I5" s="10"/>
      <c r="J5" s="18"/>
      <c r="K5" s="10"/>
    </row>
    <row r="6" spans="1:11" ht="12.75">
      <c r="A6" s="5">
        <v>1999</v>
      </c>
      <c r="B6" s="10"/>
      <c r="C6" s="30">
        <v>22138.279965989008</v>
      </c>
      <c r="D6" s="10">
        <v>20507.785096145504</v>
      </c>
      <c r="E6" s="6">
        <f aca="true" t="shared" si="0" ref="E6:E15">SUM(B6:D6)</f>
        <v>42646.06506213451</v>
      </c>
      <c r="F6" s="10"/>
      <c r="H6" s="10"/>
      <c r="I6" s="10"/>
      <c r="J6" s="18"/>
      <c r="K6" s="10"/>
    </row>
    <row r="7" spans="1:11" ht="12.75">
      <c r="A7" s="5">
        <v>2000</v>
      </c>
      <c r="B7" s="10"/>
      <c r="C7" s="30">
        <v>22454.640858157803</v>
      </c>
      <c r="D7" s="10">
        <v>20521.196135835737</v>
      </c>
      <c r="E7" s="6">
        <f t="shared" si="0"/>
        <v>42975.83699399354</v>
      </c>
      <c r="F7" s="10"/>
      <c r="H7" s="10"/>
      <c r="I7" s="10"/>
      <c r="J7" s="18"/>
      <c r="K7" s="10"/>
    </row>
    <row r="8" spans="1:11" ht="12.75">
      <c r="A8" s="9">
        <v>2001</v>
      </c>
      <c r="B8" s="10"/>
      <c r="C8" s="30">
        <v>22957.58</v>
      </c>
      <c r="D8" s="10">
        <v>16072.71443105544</v>
      </c>
      <c r="E8" s="6">
        <f t="shared" si="0"/>
        <v>39030.294431055445</v>
      </c>
      <c r="F8" s="10"/>
      <c r="H8" s="10"/>
      <c r="I8" s="10"/>
      <c r="J8" s="18"/>
      <c r="K8" s="10"/>
    </row>
    <row r="9" spans="1:11" ht="12.75">
      <c r="A9" s="9">
        <v>2002</v>
      </c>
      <c r="B9" s="10"/>
      <c r="C9" s="30">
        <v>23640.02</v>
      </c>
      <c r="D9" s="10">
        <v>15395.74</v>
      </c>
      <c r="E9" s="6">
        <f t="shared" si="0"/>
        <v>39035.76</v>
      </c>
      <c r="F9" s="10"/>
      <c r="H9" s="10"/>
      <c r="I9" s="10"/>
      <c r="J9" s="18"/>
      <c r="K9" s="10"/>
    </row>
    <row r="10" spans="1:11" ht="12.75">
      <c r="A10" s="9">
        <v>2003</v>
      </c>
      <c r="B10" s="10"/>
      <c r="C10" s="30">
        <v>23959.92</v>
      </c>
      <c r="D10" s="10">
        <v>15127.26</v>
      </c>
      <c r="E10" s="6">
        <f t="shared" si="0"/>
        <v>39087.18</v>
      </c>
      <c r="F10" s="10"/>
      <c r="H10" s="10"/>
      <c r="I10" s="10"/>
      <c r="J10" s="18"/>
      <c r="K10" s="10"/>
    </row>
    <row r="11" spans="1:11" ht="12.75">
      <c r="A11" s="9">
        <v>2004</v>
      </c>
      <c r="B11" s="10"/>
      <c r="C11" s="30">
        <v>24222.94</v>
      </c>
      <c r="D11" s="10">
        <v>16554.09</v>
      </c>
      <c r="E11" s="6">
        <f t="shared" si="0"/>
        <v>40777.03</v>
      </c>
      <c r="F11" s="10"/>
      <c r="H11" s="10"/>
      <c r="I11" s="10"/>
      <c r="J11" s="18"/>
      <c r="K11" s="10"/>
    </row>
    <row r="12" spans="1:11" ht="12.75">
      <c r="A12" s="5">
        <v>2005</v>
      </c>
      <c r="B12" s="10"/>
      <c r="C12" s="30">
        <v>24834.28</v>
      </c>
      <c r="D12" s="10">
        <v>18951.4</v>
      </c>
      <c r="E12" s="6">
        <f t="shared" si="0"/>
        <v>43785.68</v>
      </c>
      <c r="F12" s="10"/>
      <c r="H12" s="10"/>
      <c r="I12" s="10"/>
      <c r="J12" s="20"/>
      <c r="K12" s="10"/>
    </row>
    <row r="13" spans="1:11" ht="12.75">
      <c r="A13" s="5">
        <v>2006</v>
      </c>
      <c r="B13" s="30"/>
      <c r="C13" s="30">
        <v>25164.84</v>
      </c>
      <c r="D13" s="30">
        <v>18849.11</v>
      </c>
      <c r="E13" s="6">
        <f t="shared" si="0"/>
        <v>44013.95</v>
      </c>
      <c r="F13" s="10"/>
      <c r="H13" s="10"/>
      <c r="I13" s="10"/>
      <c r="J13" s="18"/>
      <c r="K13" s="10"/>
    </row>
    <row r="14" spans="1:11" ht="12.75">
      <c r="A14" s="5">
        <v>2007</v>
      </c>
      <c r="B14" s="30"/>
      <c r="C14" s="30">
        <v>25651.78</v>
      </c>
      <c r="D14" s="30">
        <v>19233.92</v>
      </c>
      <c r="E14" s="6">
        <f t="shared" si="0"/>
        <v>44885.7</v>
      </c>
      <c r="F14" s="10"/>
      <c r="H14" s="10"/>
      <c r="I14" s="10"/>
      <c r="J14" s="18"/>
      <c r="K14" s="10"/>
    </row>
    <row r="15" spans="1:11" ht="12.75">
      <c r="A15" s="5">
        <v>2008</v>
      </c>
      <c r="B15" s="30"/>
      <c r="C15" s="30">
        <v>26648.78</v>
      </c>
      <c r="D15" s="30">
        <v>20195.62</v>
      </c>
      <c r="E15" s="6">
        <f t="shared" si="0"/>
        <v>46844.399999999994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5">
      <selection activeCell="E5" sqref="E5:E11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103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0"/>
      <c r="C5" s="30"/>
      <c r="D5" s="10"/>
      <c r="E5" s="6"/>
      <c r="F5" s="10"/>
      <c r="H5" s="10"/>
      <c r="I5" s="10"/>
      <c r="J5" s="18"/>
      <c r="K5" s="10"/>
    </row>
    <row r="6" spans="1:11" ht="12.75">
      <c r="A6" s="5">
        <v>1999</v>
      </c>
      <c r="B6" s="10"/>
      <c r="C6" s="30"/>
      <c r="D6" s="10"/>
      <c r="E6" s="6"/>
      <c r="F6" s="10"/>
      <c r="H6" s="10"/>
      <c r="I6" s="10"/>
      <c r="J6" s="18"/>
      <c r="K6" s="10"/>
    </row>
    <row r="7" spans="1:11" ht="12.75">
      <c r="A7" s="5">
        <v>2000</v>
      </c>
      <c r="B7" s="10"/>
      <c r="C7" s="30"/>
      <c r="D7" s="10"/>
      <c r="E7" s="6"/>
      <c r="F7" s="10"/>
      <c r="H7" s="10"/>
      <c r="I7" s="10"/>
      <c r="J7" s="18"/>
      <c r="K7" s="10"/>
    </row>
    <row r="8" spans="1:11" ht="12.75">
      <c r="A8" s="9">
        <v>2001</v>
      </c>
      <c r="B8" s="10"/>
      <c r="C8" s="30"/>
      <c r="D8" s="10"/>
      <c r="E8" s="6"/>
      <c r="F8" s="10"/>
      <c r="H8" s="10"/>
      <c r="I8" s="10"/>
      <c r="J8" s="18"/>
      <c r="K8" s="10"/>
    </row>
    <row r="9" spans="1:11" ht="12.75">
      <c r="A9" s="9">
        <v>2002</v>
      </c>
      <c r="B9" s="10"/>
      <c r="C9" s="30"/>
      <c r="D9" s="10"/>
      <c r="E9" s="6"/>
      <c r="F9" s="10"/>
      <c r="H9" s="10"/>
      <c r="I9" s="10"/>
      <c r="J9" s="18"/>
      <c r="K9" s="10"/>
    </row>
    <row r="10" spans="1:11" ht="12.75">
      <c r="A10" s="9">
        <v>2003</v>
      </c>
      <c r="B10" s="10"/>
      <c r="C10" s="30"/>
      <c r="D10" s="10"/>
      <c r="E10" s="6"/>
      <c r="F10" s="10"/>
      <c r="H10" s="10"/>
      <c r="I10" s="10"/>
      <c r="J10" s="18"/>
      <c r="K10" s="10"/>
    </row>
    <row r="11" spans="1:11" ht="12.75">
      <c r="A11" s="9">
        <v>2004</v>
      </c>
      <c r="B11" s="10"/>
      <c r="C11" s="30"/>
      <c r="D11" s="10"/>
      <c r="E11" s="6"/>
      <c r="F11" s="10"/>
      <c r="H11" s="10"/>
      <c r="I11" s="10"/>
      <c r="J11" s="18"/>
      <c r="K11" s="10"/>
    </row>
    <row r="12" spans="1:11" ht="12.75">
      <c r="A12" s="5">
        <v>2005</v>
      </c>
      <c r="B12" s="10"/>
      <c r="C12" s="30">
        <v>254190.75</v>
      </c>
      <c r="D12" s="10"/>
      <c r="E12" s="6">
        <f>SUM(B12:D12)</f>
        <v>254190.75</v>
      </c>
      <c r="F12" s="10"/>
      <c r="H12" s="10"/>
      <c r="I12" s="10"/>
      <c r="J12" s="20"/>
      <c r="K12" s="10"/>
    </row>
    <row r="13" spans="1:11" ht="12.75">
      <c r="A13" s="5">
        <v>2006</v>
      </c>
      <c r="B13" s="30"/>
      <c r="C13" s="30">
        <v>254190.76</v>
      </c>
      <c r="D13" s="30"/>
      <c r="E13" s="6">
        <f>SUM(B13:D13)</f>
        <v>254190.76</v>
      </c>
      <c r="F13" s="10"/>
      <c r="H13" s="10"/>
      <c r="I13" s="10"/>
      <c r="J13" s="18"/>
      <c r="K13" s="10"/>
    </row>
    <row r="14" spans="1:11" ht="12.75">
      <c r="A14" s="5">
        <v>2007</v>
      </c>
      <c r="B14" s="30"/>
      <c r="C14" s="30">
        <v>254190.76</v>
      </c>
      <c r="D14" s="30"/>
      <c r="E14" s="6">
        <f>SUM(B14:D14)</f>
        <v>254190.76</v>
      </c>
      <c r="F14" s="10"/>
      <c r="H14" s="10"/>
      <c r="I14" s="10"/>
      <c r="J14" s="18"/>
      <c r="K14" s="10"/>
    </row>
    <row r="15" spans="1:11" ht="12.75">
      <c r="A15" s="5">
        <v>2008</v>
      </c>
      <c r="B15" s="30"/>
      <c r="C15" s="30">
        <v>267591.76</v>
      </c>
      <c r="D15" s="30"/>
      <c r="E15" s="6">
        <f>SUM(B15:D15)</f>
        <v>267591.76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E5" sqref="E5:E8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104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0"/>
      <c r="C5" s="30"/>
      <c r="D5" s="10"/>
      <c r="E5" s="6"/>
      <c r="F5" s="10"/>
      <c r="H5" s="10"/>
      <c r="I5" s="10"/>
      <c r="J5" s="18"/>
      <c r="K5" s="10"/>
    </row>
    <row r="6" spans="1:11" ht="12.75">
      <c r="A6" s="5">
        <v>1999</v>
      </c>
      <c r="B6" s="10"/>
      <c r="C6" s="30"/>
      <c r="D6" s="10"/>
      <c r="E6" s="6"/>
      <c r="F6" s="10"/>
      <c r="H6" s="10"/>
      <c r="I6" s="10"/>
      <c r="J6" s="18"/>
      <c r="K6" s="10"/>
    </row>
    <row r="7" spans="1:11" ht="12.75">
      <c r="A7" s="5">
        <v>2000</v>
      </c>
      <c r="B7" s="10"/>
      <c r="C7" s="30"/>
      <c r="D7" s="10"/>
      <c r="E7" s="6"/>
      <c r="F7" s="10"/>
      <c r="H7" s="10"/>
      <c r="I7" s="10"/>
      <c r="J7" s="18"/>
      <c r="K7" s="10"/>
    </row>
    <row r="8" spans="1:11" ht="12.75">
      <c r="A8" s="9">
        <v>2001</v>
      </c>
      <c r="B8" s="10"/>
      <c r="C8" s="30"/>
      <c r="D8" s="10"/>
      <c r="E8" s="6"/>
      <c r="F8" s="10"/>
      <c r="H8" s="10"/>
      <c r="I8" s="10"/>
      <c r="J8" s="18"/>
      <c r="K8" s="10"/>
    </row>
    <row r="9" spans="1:11" ht="12.75">
      <c r="A9" s="9">
        <v>2002</v>
      </c>
      <c r="B9" s="10">
        <v>149.12</v>
      </c>
      <c r="C9" s="30">
        <v>33376.38</v>
      </c>
      <c r="D9" s="10">
        <v>1239.47</v>
      </c>
      <c r="E9" s="6">
        <f aca="true" t="shared" si="0" ref="E9:E15">SUM(B9:D9)</f>
        <v>34764.97</v>
      </c>
      <c r="F9" s="10"/>
      <c r="H9" s="10"/>
      <c r="I9" s="10"/>
      <c r="J9" s="18"/>
      <c r="K9" s="10"/>
    </row>
    <row r="10" spans="1:11" ht="12.75">
      <c r="A10" s="9">
        <v>2003</v>
      </c>
      <c r="B10" s="10">
        <v>0</v>
      </c>
      <c r="C10" s="30">
        <v>68789.78</v>
      </c>
      <c r="D10" s="10">
        <v>0</v>
      </c>
      <c r="E10" s="6">
        <f t="shared" si="0"/>
        <v>68789.78</v>
      </c>
      <c r="F10" s="10"/>
      <c r="H10" s="10"/>
      <c r="I10" s="10"/>
      <c r="J10" s="18"/>
      <c r="K10" s="10"/>
    </row>
    <row r="11" spans="1:11" ht="12.75">
      <c r="A11" s="9">
        <v>2004</v>
      </c>
      <c r="B11" s="10">
        <v>0</v>
      </c>
      <c r="C11" s="30">
        <v>69889.52</v>
      </c>
      <c r="D11" s="10">
        <v>0</v>
      </c>
      <c r="E11" s="6">
        <f t="shared" si="0"/>
        <v>69889.52</v>
      </c>
      <c r="F11" s="10"/>
      <c r="H11" s="10"/>
      <c r="I11" s="10"/>
      <c r="J11" s="18"/>
      <c r="K11" s="10"/>
    </row>
    <row r="12" spans="1:11" ht="12.75">
      <c r="A12" s="5">
        <v>2005</v>
      </c>
      <c r="B12" s="10">
        <v>0</v>
      </c>
      <c r="C12" s="30">
        <v>71014.24</v>
      </c>
      <c r="D12" s="10">
        <v>0</v>
      </c>
      <c r="E12" s="6">
        <f t="shared" si="0"/>
        <v>71014.24</v>
      </c>
      <c r="F12" s="10"/>
      <c r="H12" s="10"/>
      <c r="I12" s="10"/>
      <c r="J12" s="20"/>
      <c r="K12" s="10"/>
    </row>
    <row r="13" spans="1:11" ht="12.75">
      <c r="A13" s="5">
        <v>2006</v>
      </c>
      <c r="B13" s="30">
        <v>0</v>
      </c>
      <c r="C13" s="30">
        <v>72663.86</v>
      </c>
      <c r="D13" s="30">
        <v>0</v>
      </c>
      <c r="E13" s="6">
        <f t="shared" si="0"/>
        <v>72663.86</v>
      </c>
      <c r="F13" s="10"/>
      <c r="H13" s="10"/>
      <c r="I13" s="10"/>
      <c r="J13" s="18"/>
      <c r="K13" s="10"/>
    </row>
    <row r="14" spans="1:11" ht="12.75">
      <c r="A14" s="5">
        <v>2007</v>
      </c>
      <c r="B14" s="30">
        <v>0</v>
      </c>
      <c r="C14" s="30">
        <v>73882.32</v>
      </c>
      <c r="D14" s="30">
        <v>0</v>
      </c>
      <c r="E14" s="6">
        <f t="shared" si="0"/>
        <v>73882.32</v>
      </c>
      <c r="F14" s="10"/>
      <c r="H14" s="10"/>
      <c r="I14" s="10"/>
      <c r="J14" s="18"/>
      <c r="K14" s="10"/>
    </row>
    <row r="15" spans="1:11" ht="12.75">
      <c r="A15" s="5">
        <v>2008</v>
      </c>
      <c r="B15" s="30">
        <v>0</v>
      </c>
      <c r="C15" s="30">
        <v>78637.42</v>
      </c>
      <c r="D15" s="30">
        <v>0</v>
      </c>
      <c r="E15" s="6">
        <f t="shared" si="0"/>
        <v>78637.42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22">
      <selection activeCell="I23" sqref="I23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105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3">
        <f>A5/40.3399</f>
        <v>49.529126249693235</v>
      </c>
      <c r="C5" s="30">
        <v>16372.02</v>
      </c>
      <c r="D5" s="10"/>
      <c r="E5" s="6">
        <f>SUM(B5:D5)</f>
        <v>16421.549126249694</v>
      </c>
      <c r="F5" s="10"/>
      <c r="H5" s="10"/>
      <c r="I5" s="10"/>
      <c r="J5" s="18"/>
      <c r="K5" s="10"/>
    </row>
    <row r="6" spans="1:11" ht="12.75">
      <c r="A6" s="5">
        <v>1999</v>
      </c>
      <c r="B6" s="13">
        <f>A6/40.3399</f>
        <v>49.553915602170555</v>
      </c>
      <c r="C6" s="30">
        <v>16770.4</v>
      </c>
      <c r="D6" s="10"/>
      <c r="E6" s="6">
        <f aca="true" t="shared" si="0" ref="E6:E15">SUM(B6:D6)</f>
        <v>16819.95391560217</v>
      </c>
      <c r="F6" s="10"/>
      <c r="H6" s="10"/>
      <c r="I6" s="10"/>
      <c r="J6" s="18"/>
      <c r="K6" s="10"/>
    </row>
    <row r="7" spans="1:11" ht="12.75">
      <c r="A7" s="5">
        <v>2000</v>
      </c>
      <c r="B7" s="13">
        <f>A7/40.3399</f>
        <v>49.57870495464788</v>
      </c>
      <c r="C7" s="30">
        <v>16974.4</v>
      </c>
      <c r="D7" s="10"/>
      <c r="E7" s="6">
        <f t="shared" si="0"/>
        <v>17023.97870495465</v>
      </c>
      <c r="F7" s="10"/>
      <c r="H7" s="10"/>
      <c r="I7" s="10"/>
      <c r="J7" s="18"/>
      <c r="K7" s="10"/>
    </row>
    <row r="8" spans="1:11" ht="12.75">
      <c r="A8" s="9">
        <v>2001</v>
      </c>
      <c r="B8" s="13">
        <v>1678.36</v>
      </c>
      <c r="C8" s="30">
        <v>17175.2</v>
      </c>
      <c r="D8" s="10"/>
      <c r="E8" s="6">
        <f t="shared" si="0"/>
        <v>18853.56</v>
      </c>
      <c r="F8" s="10"/>
      <c r="H8" s="10"/>
      <c r="I8" s="10"/>
      <c r="J8" s="18"/>
      <c r="K8" s="10"/>
    </row>
    <row r="9" spans="1:11" ht="12.75">
      <c r="A9" s="9">
        <v>2002</v>
      </c>
      <c r="B9" s="13">
        <v>1808.44</v>
      </c>
      <c r="C9" s="30">
        <v>17535.8</v>
      </c>
      <c r="D9" s="10"/>
      <c r="E9" s="6">
        <f t="shared" si="0"/>
        <v>19344.239999999998</v>
      </c>
      <c r="F9" s="10"/>
      <c r="H9" s="10"/>
      <c r="I9" s="10"/>
      <c r="J9" s="18"/>
      <c r="K9" s="10"/>
    </row>
    <row r="10" spans="1:11" ht="12.75">
      <c r="A10" s="9">
        <v>2003</v>
      </c>
      <c r="B10" s="14">
        <v>1837.91</v>
      </c>
      <c r="C10" s="30">
        <v>18104.04</v>
      </c>
      <c r="D10" s="10"/>
      <c r="E10" s="6">
        <f t="shared" si="0"/>
        <v>19941.95</v>
      </c>
      <c r="F10" s="10"/>
      <c r="H10" s="10"/>
      <c r="I10" s="10"/>
      <c r="J10" s="18"/>
      <c r="K10" s="10"/>
    </row>
    <row r="11" spans="1:11" ht="12.75">
      <c r="A11" s="9">
        <v>2004</v>
      </c>
      <c r="B11" s="14">
        <v>1876.31</v>
      </c>
      <c r="C11" s="30">
        <v>18270.68</v>
      </c>
      <c r="D11" s="10"/>
      <c r="E11" s="6">
        <f t="shared" si="0"/>
        <v>20146.99</v>
      </c>
      <c r="F11" s="10"/>
      <c r="H11" s="10"/>
      <c r="I11" s="10"/>
      <c r="J11" s="18"/>
      <c r="K11" s="10"/>
    </row>
    <row r="12" spans="1:11" ht="12.75">
      <c r="A12" s="5">
        <v>2005</v>
      </c>
      <c r="B12" s="14">
        <v>1915.51</v>
      </c>
      <c r="C12" s="30">
        <v>18556.16</v>
      </c>
      <c r="D12" s="10"/>
      <c r="E12" s="6">
        <f t="shared" si="0"/>
        <v>20471.67</v>
      </c>
      <c r="F12" s="10"/>
      <c r="H12" s="10"/>
      <c r="I12" s="10"/>
      <c r="J12" s="20"/>
      <c r="K12" s="10"/>
    </row>
    <row r="13" spans="1:11" ht="12.75">
      <c r="A13" s="5">
        <v>2006</v>
      </c>
      <c r="B13" s="14">
        <v>1968.11</v>
      </c>
      <c r="C13" s="30">
        <v>19265.08</v>
      </c>
      <c r="D13" s="30"/>
      <c r="E13" s="6">
        <f t="shared" si="0"/>
        <v>21233.190000000002</v>
      </c>
      <c r="F13" s="10"/>
      <c r="H13" s="10"/>
      <c r="I13" s="10"/>
      <c r="J13" s="18"/>
      <c r="K13" s="10"/>
    </row>
    <row r="14" spans="1:11" ht="12.75">
      <c r="A14" s="5">
        <v>2007</v>
      </c>
      <c r="B14" s="14">
        <v>2004.25</v>
      </c>
      <c r="C14" s="30">
        <v>19658.46</v>
      </c>
      <c r="D14" s="30"/>
      <c r="E14" s="6">
        <f t="shared" si="0"/>
        <v>21662.71</v>
      </c>
      <c r="F14" s="10"/>
      <c r="H14" s="10"/>
      <c r="I14" s="10"/>
      <c r="J14" s="18"/>
      <c r="K14" s="10"/>
    </row>
    <row r="15" spans="1:11" ht="12.75">
      <c r="A15" s="5">
        <v>2008</v>
      </c>
      <c r="B15" s="14">
        <v>2363.41</v>
      </c>
      <c r="C15" s="30">
        <v>20207.56</v>
      </c>
      <c r="D15" s="30"/>
      <c r="E15" s="6">
        <f t="shared" si="0"/>
        <v>22570.97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0">
      <selection activeCell="E4" sqref="E4:E11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ht="20.25">
      <c r="A1" s="3" t="s">
        <v>15</v>
      </c>
    </row>
    <row r="2" ht="12.75">
      <c r="D2" s="1"/>
    </row>
    <row r="3" spans="2:5" ht="12.75">
      <c r="B3" s="2" t="s">
        <v>2</v>
      </c>
      <c r="C3" s="2" t="s">
        <v>0</v>
      </c>
      <c r="D3" s="2" t="s">
        <v>9</v>
      </c>
      <c r="E3" s="2" t="s">
        <v>10</v>
      </c>
    </row>
    <row r="4" spans="1:5" ht="12.75">
      <c r="A4" s="5"/>
      <c r="E4" s="6"/>
    </row>
    <row r="5" spans="1:5" ht="12.75">
      <c r="A5" s="5">
        <v>1998</v>
      </c>
      <c r="B5" s="11"/>
      <c r="C5" s="14"/>
      <c r="E5" s="6"/>
    </row>
    <row r="6" spans="1:5" ht="12.75">
      <c r="A6" s="5">
        <v>1999</v>
      </c>
      <c r="C6" s="14"/>
      <c r="E6" s="6"/>
    </row>
    <row r="7" spans="1:5" ht="12.75">
      <c r="A7" s="5">
        <v>2000</v>
      </c>
      <c r="C7" s="14"/>
      <c r="E7" s="6"/>
    </row>
    <row r="8" spans="1:5" ht="12.75">
      <c r="A8" s="9">
        <v>2001</v>
      </c>
      <c r="B8" s="10"/>
      <c r="C8" s="14"/>
      <c r="D8" s="10"/>
      <c r="E8" s="6"/>
    </row>
    <row r="9" spans="1:5" ht="12.75">
      <c r="A9" s="9">
        <v>2002</v>
      </c>
      <c r="B9" s="10"/>
      <c r="C9" s="14"/>
      <c r="D9" s="10"/>
      <c r="E9" s="6"/>
    </row>
    <row r="10" spans="1:5" ht="12.75">
      <c r="A10" s="9">
        <v>2003</v>
      </c>
      <c r="B10" s="8"/>
      <c r="C10" s="14"/>
      <c r="D10" s="8"/>
      <c r="E10" s="6"/>
    </row>
    <row r="11" spans="1:5" ht="12.75">
      <c r="A11" s="9">
        <v>2004</v>
      </c>
      <c r="B11" s="10"/>
      <c r="C11" s="14"/>
      <c r="E11" s="6"/>
    </row>
    <row r="12" spans="1:5" ht="12.75">
      <c r="A12" s="5">
        <v>2005</v>
      </c>
      <c r="B12" s="16">
        <v>1341827.14</v>
      </c>
      <c r="C12" s="14">
        <v>9132645.37</v>
      </c>
      <c r="E12" s="6">
        <f>B12+C12+D12</f>
        <v>10474472.51</v>
      </c>
    </row>
    <row r="13" spans="1:5" ht="12.75">
      <c r="A13" s="5">
        <v>2006</v>
      </c>
      <c r="B13" s="16">
        <v>1784197.32</v>
      </c>
      <c r="C13" s="14">
        <v>9289333.4</v>
      </c>
      <c r="D13" s="6"/>
      <c r="E13" s="6">
        <f>B13+C13+D13</f>
        <v>11073530.72</v>
      </c>
    </row>
    <row r="14" spans="1:5" ht="12.75">
      <c r="A14" s="5">
        <v>2007</v>
      </c>
      <c r="B14" s="16">
        <v>1815205.82</v>
      </c>
      <c r="C14" s="14">
        <v>9470979.01</v>
      </c>
      <c r="D14" s="8"/>
      <c r="E14" s="6">
        <f>B14+C14+D14</f>
        <v>11286184.83</v>
      </c>
    </row>
    <row r="15" spans="1:5" ht="12.75">
      <c r="A15" s="5">
        <v>2008</v>
      </c>
      <c r="B15" s="16">
        <v>1853803.34</v>
      </c>
      <c r="C15" s="14">
        <v>9724310.24</v>
      </c>
      <c r="D15" s="6"/>
      <c r="E15" s="6">
        <f>B15+C15+D15</f>
        <v>11578113.58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5" sqref="E5:E10"/>
    </sheetView>
  </sheetViews>
  <sheetFormatPr defaultColWidth="9.140625" defaultRowHeight="12.75"/>
  <cols>
    <col min="1" max="1" width="9.140625" style="2" customWidth="1"/>
    <col min="2" max="3" width="17.57421875" style="2" customWidth="1"/>
    <col min="4" max="4" width="16.851562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106</v>
      </c>
      <c r="F1" s="10"/>
      <c r="G1" s="10"/>
      <c r="H1" s="10"/>
      <c r="I1" s="10"/>
      <c r="J1" s="18"/>
      <c r="K1" s="10"/>
    </row>
    <row r="2" spans="6:11" ht="12.75"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32</v>
      </c>
      <c r="D3" s="2" t="s">
        <v>1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3"/>
      <c r="C5" s="30"/>
      <c r="D5" s="10"/>
      <c r="E5" s="6"/>
      <c r="F5" s="10"/>
      <c r="H5" s="10"/>
      <c r="I5" s="10"/>
      <c r="J5" s="18"/>
      <c r="K5" s="10"/>
    </row>
    <row r="6" spans="1:11" ht="12.75">
      <c r="A6" s="5">
        <v>1999</v>
      </c>
      <c r="B6" s="13"/>
      <c r="C6" s="30"/>
      <c r="D6" s="10"/>
      <c r="E6" s="6"/>
      <c r="F6" s="10"/>
      <c r="H6" s="10"/>
      <c r="I6" s="10"/>
      <c r="J6" s="18"/>
      <c r="K6" s="10"/>
    </row>
    <row r="7" spans="1:11" ht="12.75">
      <c r="A7" s="5">
        <v>2000</v>
      </c>
      <c r="B7" s="13"/>
      <c r="C7" s="30"/>
      <c r="D7" s="10"/>
      <c r="E7" s="6"/>
      <c r="F7" s="10"/>
      <c r="H7" s="10"/>
      <c r="I7" s="10"/>
      <c r="J7" s="18"/>
      <c r="K7" s="10"/>
    </row>
    <row r="8" spans="1:11" ht="12.75">
      <c r="A8" s="9">
        <v>2001</v>
      </c>
      <c r="B8" s="13"/>
      <c r="C8" s="30"/>
      <c r="D8" s="10"/>
      <c r="E8" s="6"/>
      <c r="F8" s="10"/>
      <c r="H8" s="10"/>
      <c r="I8" s="10"/>
      <c r="J8" s="18"/>
      <c r="K8" s="10"/>
    </row>
    <row r="9" spans="1:11" ht="12.75">
      <c r="A9" s="9">
        <v>2002</v>
      </c>
      <c r="B9" s="13"/>
      <c r="C9" s="30"/>
      <c r="D9" s="10"/>
      <c r="E9" s="6"/>
      <c r="F9" s="10"/>
      <c r="H9" s="10"/>
      <c r="I9" s="10"/>
      <c r="J9" s="18"/>
      <c r="K9" s="10"/>
    </row>
    <row r="10" spans="1:11" ht="12.75">
      <c r="A10" s="9">
        <v>2003</v>
      </c>
      <c r="B10" s="14"/>
      <c r="C10" s="30"/>
      <c r="D10" s="10"/>
      <c r="E10" s="6"/>
      <c r="F10" s="10"/>
      <c r="H10" s="10"/>
      <c r="I10" s="10"/>
      <c r="J10" s="18"/>
      <c r="K10" s="10"/>
    </row>
    <row r="11" spans="1:11" ht="12.75">
      <c r="A11" s="9">
        <v>2004</v>
      </c>
      <c r="B11" s="14">
        <v>0</v>
      </c>
      <c r="C11" s="30">
        <v>32745.62</v>
      </c>
      <c r="D11" s="10"/>
      <c r="E11" s="6">
        <f>SUM(B11:D11)</f>
        <v>32745.62</v>
      </c>
      <c r="F11" s="10"/>
      <c r="H11" s="10"/>
      <c r="I11" s="10"/>
      <c r="J11" s="18"/>
      <c r="K11" s="10"/>
    </row>
    <row r="12" spans="1:11" ht="12.75">
      <c r="A12" s="5">
        <v>2005</v>
      </c>
      <c r="B12" s="14">
        <v>1049.1</v>
      </c>
      <c r="C12" s="30">
        <v>33361.96</v>
      </c>
      <c r="D12" s="10"/>
      <c r="E12" s="6">
        <f>SUM(B12:D12)</f>
        <v>34411.06</v>
      </c>
      <c r="F12" s="10"/>
      <c r="H12" s="10"/>
      <c r="I12" s="10"/>
      <c r="J12" s="20"/>
      <c r="K12" s="10"/>
    </row>
    <row r="13" spans="1:11" ht="12.75">
      <c r="A13" s="5">
        <v>2006</v>
      </c>
      <c r="B13" s="14">
        <v>0</v>
      </c>
      <c r="C13" s="30">
        <v>34072.22</v>
      </c>
      <c r="D13" s="30"/>
      <c r="E13" s="6">
        <f>SUM(B13:D13)</f>
        <v>34072.22</v>
      </c>
      <c r="F13" s="10"/>
      <c r="H13" s="10"/>
      <c r="I13" s="10"/>
      <c r="J13" s="18"/>
      <c r="K13" s="10"/>
    </row>
    <row r="14" spans="1:11" ht="12.75">
      <c r="A14" s="5">
        <v>2007</v>
      </c>
      <c r="B14" s="14">
        <v>0</v>
      </c>
      <c r="C14" s="30">
        <v>34709.12</v>
      </c>
      <c r="D14" s="30"/>
      <c r="E14" s="6">
        <f>SUM(B14:D14)</f>
        <v>34709.12</v>
      </c>
      <c r="F14" s="10"/>
      <c r="H14" s="10"/>
      <c r="I14" s="10"/>
      <c r="J14" s="18"/>
      <c r="K14" s="10"/>
    </row>
    <row r="15" spans="1:11" ht="12.75">
      <c r="A15" s="5">
        <v>2008</v>
      </c>
      <c r="B15" s="14">
        <v>0</v>
      </c>
      <c r="C15" s="30">
        <v>35175.78</v>
      </c>
      <c r="D15" s="30"/>
      <c r="E15" s="6">
        <f>SUM(B15:D15)</f>
        <v>35175.78</v>
      </c>
      <c r="F15" s="10"/>
      <c r="H15" s="10"/>
      <c r="I15" s="10"/>
      <c r="J15" s="18"/>
      <c r="K15" s="10"/>
    </row>
    <row r="16" spans="4:11" ht="12.75">
      <c r="D16" s="14"/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  <row r="32" ht="10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4">
      <selection activeCell="I28" sqref="I28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8" width="9.140625" style="2" customWidth="1"/>
    <col min="9" max="9" width="12.28125" style="2" bestFit="1" customWidth="1"/>
    <col min="10" max="10" width="11.7109375" style="2" bestFit="1" customWidth="1"/>
    <col min="11" max="16384" width="9.140625" style="2" customWidth="1"/>
  </cols>
  <sheetData>
    <row r="1" ht="20.25">
      <c r="A1" s="3" t="s">
        <v>16</v>
      </c>
    </row>
    <row r="2" ht="12.75">
      <c r="D2" s="1"/>
    </row>
    <row r="3" spans="2:5" ht="12.75">
      <c r="B3" s="2" t="s">
        <v>2</v>
      </c>
      <c r="C3" s="2" t="s">
        <v>0</v>
      </c>
      <c r="D3" s="2" t="s">
        <v>9</v>
      </c>
      <c r="E3" s="2" t="s">
        <v>10</v>
      </c>
    </row>
    <row r="4" spans="1:5" ht="12.75">
      <c r="A4" s="5"/>
      <c r="E4" s="6"/>
    </row>
    <row r="5" spans="1:5" ht="12.75">
      <c r="A5" s="5">
        <v>1998</v>
      </c>
      <c r="B5" s="11"/>
      <c r="C5" s="14"/>
      <c r="E5" s="6"/>
    </row>
    <row r="6" spans="1:5" ht="12.75">
      <c r="A6" s="5">
        <v>1999</v>
      </c>
      <c r="C6" s="14"/>
      <c r="D6" s="15">
        <v>9776.598355474356</v>
      </c>
      <c r="E6" s="6">
        <f aca="true" t="shared" si="0" ref="E6:E15">B6+C6+D6</f>
        <v>9776.598355474356</v>
      </c>
    </row>
    <row r="7" spans="1:5" ht="12.75">
      <c r="A7" s="5">
        <v>2000</v>
      </c>
      <c r="B7" s="14">
        <v>73088.04</v>
      </c>
      <c r="C7" s="14">
        <f>25773871/40.3399</f>
        <v>638917.5729240776</v>
      </c>
      <c r="D7" s="15">
        <v>29728.630958430735</v>
      </c>
      <c r="E7" s="6">
        <f t="shared" si="0"/>
        <v>741734.2438825084</v>
      </c>
    </row>
    <row r="8" spans="1:5" ht="12.75">
      <c r="A8" s="9">
        <v>2001</v>
      </c>
      <c r="B8" s="14">
        <v>74583.5</v>
      </c>
      <c r="C8" s="7">
        <f>18716451/40.3399</f>
        <v>463968.7009635621</v>
      </c>
      <c r="D8" s="2">
        <f>4200000/40.3399</f>
        <v>104115.28040476055</v>
      </c>
      <c r="E8" s="6">
        <f t="shared" si="0"/>
        <v>642667.4813683226</v>
      </c>
    </row>
    <row r="9" spans="1:5" ht="12.75">
      <c r="A9" s="9">
        <v>2002</v>
      </c>
      <c r="B9" s="14">
        <v>86821.55</v>
      </c>
      <c r="C9" s="14">
        <v>472972.83</v>
      </c>
      <c r="D9" s="15">
        <v>134559.22</v>
      </c>
      <c r="E9" s="6">
        <f t="shared" si="0"/>
        <v>694353.6</v>
      </c>
    </row>
    <row r="10" spans="1:5" ht="12.75">
      <c r="A10" s="9">
        <v>2003</v>
      </c>
      <c r="B10" s="14">
        <v>248200.95</v>
      </c>
      <c r="C10" s="14">
        <v>863373.11</v>
      </c>
      <c r="D10" s="15">
        <v>286632.71</v>
      </c>
      <c r="E10" s="6">
        <f t="shared" si="0"/>
        <v>1398206.77</v>
      </c>
    </row>
    <row r="11" spans="1:5" ht="12.75">
      <c r="A11" s="9">
        <v>2004</v>
      </c>
      <c r="B11" s="14">
        <v>642236.71</v>
      </c>
      <c r="C11" s="14">
        <v>926324.77</v>
      </c>
      <c r="D11" s="15">
        <v>736937.25</v>
      </c>
      <c r="E11" s="6">
        <f t="shared" si="0"/>
        <v>2305498.73</v>
      </c>
    </row>
    <row r="12" spans="1:5" ht="12.75">
      <c r="A12" s="5">
        <v>2005</v>
      </c>
      <c r="B12" s="14">
        <v>782206.03</v>
      </c>
      <c r="C12" s="14">
        <f>3947349.74+593436.67</f>
        <v>4540786.41</v>
      </c>
      <c r="D12" s="15">
        <f>674352.19+282122.34</f>
        <v>956474.53</v>
      </c>
      <c r="E12" s="6">
        <f t="shared" si="0"/>
        <v>6279466.970000001</v>
      </c>
    </row>
    <row r="13" spans="1:5" ht="12.75">
      <c r="A13" s="5">
        <v>2006</v>
      </c>
      <c r="B13" s="14">
        <v>650501.22</v>
      </c>
      <c r="C13" s="14">
        <v>4011417.07</v>
      </c>
      <c r="D13" s="15">
        <v>739085.23</v>
      </c>
      <c r="E13" s="6">
        <f t="shared" si="0"/>
        <v>5401003.52</v>
      </c>
    </row>
    <row r="14" spans="1:5" ht="12.75">
      <c r="A14" s="5">
        <v>2007</v>
      </c>
      <c r="B14" s="14">
        <v>823280.99</v>
      </c>
      <c r="C14" s="14">
        <v>3840874.1</v>
      </c>
      <c r="D14" s="15">
        <v>93453</v>
      </c>
      <c r="E14" s="6">
        <f t="shared" si="0"/>
        <v>4757608.09</v>
      </c>
    </row>
    <row r="15" spans="1:5" ht="12.75">
      <c r="A15" s="5">
        <v>2008</v>
      </c>
      <c r="B15" s="14">
        <v>711648.08</v>
      </c>
      <c r="C15" s="14">
        <v>3916072.9</v>
      </c>
      <c r="D15" s="15">
        <v>171650.46</v>
      </c>
      <c r="E15" s="6">
        <f t="shared" si="0"/>
        <v>4799371.4399999995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20" sqref="K20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6.8515625" style="2" customWidth="1"/>
    <col min="4" max="4" width="16.57421875" style="2" customWidth="1"/>
    <col min="5" max="5" width="18.00390625" style="2" customWidth="1"/>
    <col min="6" max="6" width="16.28125" style="2" customWidth="1"/>
    <col min="7" max="7" width="14.7109375" style="2" customWidth="1"/>
    <col min="8" max="8" width="11.421875" style="2" customWidth="1"/>
    <col min="9" max="9" width="13.7109375" style="2" customWidth="1"/>
    <col min="10" max="10" width="11.7109375" style="4" bestFit="1" customWidth="1"/>
    <col min="11" max="12" width="9.140625" style="2" customWidth="1"/>
    <col min="13" max="13" width="12.28125" style="2" bestFit="1" customWidth="1"/>
    <col min="14" max="14" width="11.7109375" style="2" bestFit="1" customWidth="1"/>
    <col min="15" max="16384" width="9.140625" style="2" customWidth="1"/>
  </cols>
  <sheetData>
    <row r="1" spans="1:11" ht="20.25">
      <c r="A1" s="3" t="s">
        <v>17</v>
      </c>
      <c r="F1" s="10"/>
      <c r="G1" s="10"/>
      <c r="H1" s="10"/>
      <c r="I1" s="10"/>
      <c r="J1" s="18"/>
      <c r="K1" s="10"/>
    </row>
    <row r="2" spans="4:11" ht="12.75">
      <c r="D2" s="1"/>
      <c r="F2" s="10"/>
      <c r="G2" s="10"/>
      <c r="H2" s="10"/>
      <c r="I2" s="10"/>
      <c r="J2" s="18"/>
      <c r="K2" s="10"/>
    </row>
    <row r="3" spans="2:11" ht="12.75">
      <c r="B3" s="2" t="s">
        <v>2</v>
      </c>
      <c r="C3" s="2" t="s">
        <v>0</v>
      </c>
      <c r="D3" s="2" t="s">
        <v>9</v>
      </c>
      <c r="E3" s="2" t="s">
        <v>10</v>
      </c>
      <c r="F3" s="10"/>
      <c r="G3" s="10"/>
      <c r="H3" s="10"/>
      <c r="I3" s="10"/>
      <c r="J3" s="18"/>
      <c r="K3" s="10"/>
    </row>
    <row r="4" spans="1:11" ht="12.75">
      <c r="A4" s="5"/>
      <c r="E4" s="6"/>
      <c r="F4" s="10"/>
      <c r="G4" s="10"/>
      <c r="H4" s="10"/>
      <c r="I4" s="10"/>
      <c r="J4" s="18"/>
      <c r="K4" s="10"/>
    </row>
    <row r="5" spans="1:11" ht="12.75">
      <c r="A5" s="5">
        <v>1998</v>
      </c>
      <c r="B5" s="11"/>
      <c r="C5" s="14"/>
      <c r="E5" s="6"/>
      <c r="F5" s="10"/>
      <c r="G5" s="10"/>
      <c r="H5" s="10"/>
      <c r="I5" s="10"/>
      <c r="J5" s="18"/>
      <c r="K5" s="10"/>
    </row>
    <row r="6" spans="1:11" ht="12.75">
      <c r="A6" s="5">
        <v>1999</v>
      </c>
      <c r="C6" s="14"/>
      <c r="D6" s="15"/>
      <c r="E6" s="6"/>
      <c r="F6" s="10"/>
      <c r="G6" s="10"/>
      <c r="H6" s="10"/>
      <c r="I6" s="10"/>
      <c r="J6" s="18"/>
      <c r="K6" s="10"/>
    </row>
    <row r="7" spans="1:11" ht="12.75">
      <c r="A7" s="5">
        <v>2000</v>
      </c>
      <c r="B7" s="21"/>
      <c r="C7" s="21"/>
      <c r="D7" s="15"/>
      <c r="E7" s="6"/>
      <c r="F7" s="10"/>
      <c r="G7" s="10"/>
      <c r="H7" s="10"/>
      <c r="I7" s="10"/>
      <c r="J7" s="18"/>
      <c r="K7" s="10"/>
    </row>
    <row r="8" spans="1:11" ht="12.75">
      <c r="A8" s="9">
        <v>2001</v>
      </c>
      <c r="B8" s="21"/>
      <c r="C8" s="8"/>
      <c r="E8" s="6"/>
      <c r="F8" s="10"/>
      <c r="G8" s="10"/>
      <c r="H8" s="10"/>
      <c r="I8" s="10"/>
      <c r="J8" s="18"/>
      <c r="K8" s="10"/>
    </row>
    <row r="9" spans="1:11" ht="12.75">
      <c r="A9" s="9">
        <v>2002</v>
      </c>
      <c r="B9" s="21"/>
      <c r="C9" s="21"/>
      <c r="D9" s="15"/>
      <c r="E9" s="6"/>
      <c r="F9" s="10"/>
      <c r="G9" s="19"/>
      <c r="H9" s="10"/>
      <c r="I9" s="10"/>
      <c r="J9" s="18"/>
      <c r="K9" s="10"/>
    </row>
    <row r="10" spans="1:11" ht="12.75">
      <c r="A10" s="9">
        <v>2003</v>
      </c>
      <c r="B10" s="21"/>
      <c r="C10" s="21"/>
      <c r="D10" s="15"/>
      <c r="E10" s="6"/>
      <c r="F10" s="10"/>
      <c r="G10" s="10"/>
      <c r="H10" s="10"/>
      <c r="I10" s="10"/>
      <c r="J10" s="18"/>
      <c r="K10" s="10"/>
    </row>
    <row r="11" spans="1:11" ht="12.75">
      <c r="A11" s="9">
        <v>2004</v>
      </c>
      <c r="B11" s="14"/>
      <c r="C11" s="14"/>
      <c r="D11" s="15"/>
      <c r="E11" s="6"/>
      <c r="F11" s="10"/>
      <c r="G11" s="10"/>
      <c r="H11" s="10"/>
      <c r="I11" s="10"/>
      <c r="J11" s="18"/>
      <c r="K11" s="10"/>
    </row>
    <row r="12" spans="1:11" ht="12.75">
      <c r="A12" s="5">
        <v>2005</v>
      </c>
      <c r="B12" s="14"/>
      <c r="C12" s="14"/>
      <c r="D12" s="15"/>
      <c r="E12" s="6"/>
      <c r="F12" s="10"/>
      <c r="G12" s="10"/>
      <c r="H12" s="10"/>
      <c r="I12" s="10"/>
      <c r="J12" s="20"/>
      <c r="K12" s="10"/>
    </row>
    <row r="13" spans="1:11" ht="12.75">
      <c r="A13" s="5">
        <v>2006</v>
      </c>
      <c r="B13" s="14">
        <v>1231174.23</v>
      </c>
      <c r="C13" s="14"/>
      <c r="D13" s="15"/>
      <c r="E13" s="6">
        <f>B13+C13+D13</f>
        <v>1231174.23</v>
      </c>
      <c r="F13" s="10"/>
      <c r="G13" s="10"/>
      <c r="H13" s="10"/>
      <c r="I13" s="10"/>
      <c r="J13" s="18"/>
      <c r="K13" s="10"/>
    </row>
    <row r="14" spans="1:11" ht="12.75">
      <c r="A14" s="5">
        <v>2007</v>
      </c>
      <c r="B14" s="14">
        <v>1253252.04</v>
      </c>
      <c r="C14" s="14"/>
      <c r="D14" s="15"/>
      <c r="E14" s="6">
        <f>B14+C14+D14</f>
        <v>1253252.04</v>
      </c>
      <c r="F14" s="10"/>
      <c r="G14" s="10"/>
      <c r="H14" s="10"/>
      <c r="I14" s="10"/>
      <c r="J14" s="18"/>
      <c r="K14" s="10"/>
    </row>
    <row r="15" spans="1:11" ht="12.75">
      <c r="A15" s="5">
        <v>2008</v>
      </c>
      <c r="B15" s="14">
        <v>1276019.44</v>
      </c>
      <c r="C15" s="14"/>
      <c r="D15" s="15"/>
      <c r="E15" s="6">
        <f>B15+C15+D15</f>
        <v>1276019.44</v>
      </c>
      <c r="F15" s="10"/>
      <c r="G15" s="10"/>
      <c r="H15" s="10"/>
      <c r="I15" s="10"/>
      <c r="J15" s="18"/>
      <c r="K15" s="10"/>
    </row>
    <row r="16" spans="6:11" ht="12.75">
      <c r="F16" s="10"/>
      <c r="G16" s="10"/>
      <c r="H16" s="10"/>
      <c r="I16" s="10"/>
      <c r="J16" s="18"/>
      <c r="K16" s="10"/>
    </row>
    <row r="17" spans="6:11" ht="12.75">
      <c r="F17" s="10"/>
      <c r="G17" s="10"/>
      <c r="H17" s="10"/>
      <c r="I17" s="10"/>
      <c r="J17" s="18"/>
      <c r="K1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maesjh</dc:creator>
  <cp:keywords/>
  <dc:description/>
  <cp:lastModifiedBy>delaruan</cp:lastModifiedBy>
  <cp:lastPrinted>2009-01-13T15:12:50Z</cp:lastPrinted>
  <dcterms:created xsi:type="dcterms:W3CDTF">2008-11-06T10:11:19Z</dcterms:created>
  <dcterms:modified xsi:type="dcterms:W3CDTF">2009-01-16T08:00:47Z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