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vlaamseoverheid.sharepoint.com/sites/Kabinet0V01/Gedeelde documenten/Parlementaire Vragen/SV's 2020 2021/1058 - T - Toerisme Vlaanderen  -  Tewerkstellings- en lokale diensteneconomieprojecten - JS OK/"/>
    </mc:Choice>
  </mc:AlternateContent>
  <xr:revisionPtr revIDLastSave="2705" documentId="8_{8ACE349A-DEE3-497F-B62C-2E318BC088D5}" xr6:coauthVersionLast="45" xr6:coauthVersionMax="45" xr10:uidLastSave="{EFA55131-8A2A-4210-994E-8F2018079EA2}"/>
  <bookViews>
    <workbookView xWindow="-108" yWindow="-108" windowWidth="23256" windowHeight="12576" activeTab="1" xr2:uid="{26B65239-EC4F-48EC-9DA6-2C667EC95742}"/>
  </bookViews>
  <sheets>
    <sheet name="Tewerkstellingsprojecten" sheetId="1" r:id="rId1"/>
    <sheet name="LokaleDiensteneconomi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2" l="1"/>
  <c r="N8" i="2"/>
  <c r="M20" i="2"/>
  <c r="M18" i="2"/>
  <c r="L8" i="2"/>
  <c r="L20" i="2"/>
  <c r="K20" i="2"/>
  <c r="J20" i="2"/>
  <c r="I20" i="2"/>
  <c r="L18" i="2"/>
  <c r="J18" i="2"/>
  <c r="I8" i="2"/>
  <c r="G20" i="2" l="1"/>
  <c r="F20" i="2"/>
  <c r="E20" i="2"/>
  <c r="I11" i="2"/>
  <c r="H20" i="2"/>
  <c r="AA8" i="1" l="1"/>
  <c r="AA109" i="1" s="1"/>
  <c r="Z109" i="1"/>
  <c r="AA106" i="1"/>
  <c r="AA101" i="1"/>
  <c r="AA97" i="1"/>
  <c r="AA94" i="1"/>
  <c r="AA93" i="1"/>
  <c r="AA92" i="1"/>
  <c r="AA90" i="1"/>
  <c r="AA89" i="1"/>
  <c r="AA86" i="1"/>
  <c r="AA84" i="1"/>
  <c r="AA79" i="1"/>
  <c r="AA77" i="1"/>
  <c r="AA64" i="1"/>
  <c r="AA63" i="1"/>
  <c r="AA58" i="1"/>
  <c r="AA50" i="1"/>
  <c r="AA43" i="1"/>
  <c r="AA40" i="1"/>
  <c r="AA39" i="1"/>
  <c r="AA38" i="1"/>
  <c r="AA31" i="1"/>
  <c r="AA12" i="1"/>
  <c r="Y109" i="1"/>
  <c r="X109" i="1"/>
  <c r="Y106" i="1"/>
  <c r="Y101" i="1"/>
  <c r="Y97" i="1"/>
  <c r="Y94" i="1"/>
  <c r="Y93" i="1"/>
  <c r="Y92" i="1"/>
  <c r="Y90" i="1"/>
  <c r="Y89" i="1"/>
  <c r="Y86" i="1"/>
  <c r="Y84" i="1"/>
  <c r="Y79" i="1"/>
  <c r="Y77" i="1"/>
  <c r="Y64" i="1"/>
  <c r="Y63" i="1"/>
  <c r="Y58" i="1"/>
  <c r="Y50" i="1"/>
  <c r="Y43" i="1"/>
  <c r="Y40" i="1"/>
  <c r="Y39" i="1"/>
  <c r="Y38" i="1"/>
  <c r="Y31" i="1"/>
  <c r="Y29" i="1"/>
  <c r="Y12" i="1"/>
  <c r="Y8" i="1"/>
  <c r="V109" i="1"/>
  <c r="W106" i="1"/>
  <c r="W101" i="1"/>
  <c r="W97" i="1"/>
  <c r="W94" i="1"/>
  <c r="W93" i="1"/>
  <c r="W92" i="1"/>
  <c r="W90" i="1"/>
  <c r="W89" i="1"/>
  <c r="W86" i="1"/>
  <c r="W84" i="1"/>
  <c r="W79" i="1"/>
  <c r="W77" i="1"/>
  <c r="W64" i="1"/>
  <c r="W63" i="1"/>
  <c r="W58" i="1"/>
  <c r="W50" i="1"/>
  <c r="W43" i="1"/>
  <c r="W40" i="1"/>
  <c r="W39" i="1"/>
  <c r="W38" i="1"/>
  <c r="W31" i="1"/>
  <c r="W29" i="1"/>
  <c r="W12" i="1"/>
  <c r="W8" i="1"/>
  <c r="W109" i="1" s="1"/>
  <c r="S39" i="1"/>
  <c r="S38" i="1"/>
  <c r="T109" i="1"/>
  <c r="U106" i="1"/>
  <c r="U101" i="1"/>
  <c r="U97" i="1"/>
  <c r="U94" i="1"/>
  <c r="U93" i="1"/>
  <c r="U92" i="1"/>
  <c r="U90" i="1"/>
  <c r="U89" i="1"/>
  <c r="U86" i="1"/>
  <c r="U84" i="1"/>
  <c r="U77" i="1"/>
  <c r="U64" i="1"/>
  <c r="U63" i="1"/>
  <c r="U58" i="1"/>
  <c r="U50" i="1"/>
  <c r="U43" i="1"/>
  <c r="U40" i="1"/>
  <c r="U39" i="1"/>
  <c r="U38" i="1"/>
  <c r="U31" i="1"/>
  <c r="U29" i="1"/>
  <c r="U23" i="1"/>
  <c r="U12" i="1"/>
  <c r="U8" i="1"/>
  <c r="R109" i="1"/>
  <c r="Q12" i="1"/>
  <c r="Q23" i="1"/>
  <c r="Q29" i="1"/>
  <c r="Q31" i="1"/>
  <c r="Q34" i="1"/>
  <c r="Q38" i="1"/>
  <c r="Q39" i="1"/>
  <c r="Q40" i="1"/>
  <c r="Q41" i="1"/>
  <c r="Q43" i="1"/>
  <c r="Q50" i="1"/>
  <c r="Q58" i="1"/>
  <c r="Q63" i="1"/>
  <c r="Q64" i="1"/>
  <c r="Q77" i="1"/>
  <c r="Q79" i="1"/>
  <c r="Q84" i="1"/>
  <c r="Q86" i="1"/>
  <c r="Q88" i="1"/>
  <c r="Q89" i="1"/>
  <c r="Q90" i="1"/>
  <c r="Q92" i="1"/>
  <c r="Q93" i="1"/>
  <c r="Q94" i="1"/>
  <c r="Q97" i="1"/>
  <c r="Q101" i="1"/>
  <c r="Q106" i="1"/>
  <c r="Q107" i="1"/>
  <c r="S107" i="1"/>
  <c r="S106" i="1"/>
  <c r="S101" i="1"/>
  <c r="S97" i="1"/>
  <c r="S94" i="1"/>
  <c r="S93" i="1"/>
  <c r="S92" i="1"/>
  <c r="S90" i="1"/>
  <c r="S89" i="1"/>
  <c r="S88" i="1"/>
  <c r="S86" i="1"/>
  <c r="S84" i="1"/>
  <c r="S79" i="1"/>
  <c r="S77" i="1"/>
  <c r="S64" i="1"/>
  <c r="S63" i="1"/>
  <c r="S58" i="1"/>
  <c r="S50" i="1"/>
  <c r="S43" i="1"/>
  <c r="S40" i="1"/>
  <c r="S34" i="1"/>
  <c r="S31" i="1"/>
  <c r="S29" i="1"/>
  <c r="S23" i="1"/>
  <c r="S12" i="1"/>
  <c r="S8" i="1"/>
  <c r="P109" i="1"/>
  <c r="Q8" i="1"/>
  <c r="Q109" i="1" s="1"/>
  <c r="U109" i="1" l="1"/>
  <c r="S109" i="1"/>
  <c r="N109" i="1"/>
  <c r="O107" i="1"/>
  <c r="O106" i="1"/>
  <c r="O101" i="1"/>
  <c r="O97" i="1"/>
  <c r="O94" i="1"/>
  <c r="O93" i="1"/>
  <c r="O92" i="1"/>
  <c r="O90" i="1"/>
  <c r="O89" i="1"/>
  <c r="O88" i="1"/>
  <c r="O86" i="1"/>
  <c r="O84" i="1"/>
  <c r="O79" i="1"/>
  <c r="O78" i="1"/>
  <c r="O77" i="1"/>
  <c r="O64" i="1"/>
  <c r="O63" i="1"/>
  <c r="O58" i="1"/>
  <c r="O50" i="1"/>
  <c r="O43" i="1"/>
  <c r="O41" i="1"/>
  <c r="O40" i="1"/>
  <c r="O39" i="1"/>
  <c r="O38" i="1"/>
  <c r="O34" i="1"/>
  <c r="O31" i="1"/>
  <c r="O29" i="1"/>
  <c r="O23" i="1"/>
  <c r="O12" i="1"/>
  <c r="O11" i="1"/>
  <c r="K9" i="1"/>
  <c r="O8" i="1"/>
  <c r="L109" i="1"/>
  <c r="M107" i="1"/>
  <c r="M106" i="1"/>
  <c r="M101" i="1"/>
  <c r="M98" i="1"/>
  <c r="M97" i="1"/>
  <c r="M94" i="1"/>
  <c r="M93" i="1"/>
  <c r="M92" i="1"/>
  <c r="M90" i="1"/>
  <c r="M89" i="1"/>
  <c r="M88" i="1"/>
  <c r="M86" i="1"/>
  <c r="M84" i="1"/>
  <c r="M83" i="1"/>
  <c r="M82" i="1"/>
  <c r="M79" i="1"/>
  <c r="M78" i="1"/>
  <c r="M77" i="1"/>
  <c r="M64" i="1"/>
  <c r="M63" i="1"/>
  <c r="M58" i="1"/>
  <c r="M57" i="1"/>
  <c r="M50" i="1"/>
  <c r="M48" i="1"/>
  <c r="M46" i="1"/>
  <c r="M43" i="1"/>
  <c r="M42" i="1"/>
  <c r="M41" i="1"/>
  <c r="M40" i="1"/>
  <c r="M39" i="1"/>
  <c r="M38" i="1"/>
  <c r="M34" i="1"/>
  <c r="M31" i="1"/>
  <c r="M29" i="1"/>
  <c r="M28" i="1"/>
  <c r="M23" i="1"/>
  <c r="M15" i="1"/>
  <c r="M12" i="1"/>
  <c r="M11" i="1"/>
  <c r="O109" i="1" l="1"/>
  <c r="M10" i="1"/>
  <c r="M8" i="1"/>
  <c r="M109" i="1" s="1"/>
  <c r="K83" i="1"/>
  <c r="K107" i="1"/>
  <c r="K106" i="1"/>
  <c r="K105" i="1"/>
  <c r="K103" i="1"/>
  <c r="K101" i="1"/>
  <c r="K98" i="1"/>
  <c r="K97" i="1"/>
  <c r="K94" i="1"/>
  <c r="K93" i="1"/>
  <c r="K92" i="1"/>
  <c r="K90" i="1"/>
  <c r="K89" i="1"/>
  <c r="K88" i="1"/>
  <c r="K87" i="1"/>
  <c r="K86" i="1"/>
  <c r="K84" i="1"/>
  <c r="K82" i="1"/>
  <c r="K80" i="1"/>
  <c r="K79" i="1"/>
  <c r="K78" i="1"/>
  <c r="K77" i="1"/>
  <c r="K76" i="1"/>
  <c r="K75" i="1"/>
  <c r="K73" i="1"/>
  <c r="G70" i="1"/>
  <c r="K71" i="1"/>
  <c r="K69" i="1"/>
  <c r="K68" i="1"/>
  <c r="K64" i="1"/>
  <c r="K63" i="1"/>
  <c r="K62" i="1"/>
  <c r="K61" i="1"/>
  <c r="K58" i="1"/>
  <c r="K56" i="1"/>
  <c r="K55" i="1"/>
  <c r="K53" i="1"/>
  <c r="K50" i="1"/>
  <c r="K48" i="1"/>
  <c r="K46" i="1"/>
  <c r="K45" i="1"/>
  <c r="K44" i="1"/>
  <c r="K43" i="1"/>
  <c r="K42" i="1"/>
  <c r="K41" i="1"/>
  <c r="K40" i="1"/>
  <c r="K39" i="1"/>
  <c r="K38" i="1"/>
  <c r="K34" i="1"/>
  <c r="K33" i="1"/>
  <c r="K31" i="1"/>
  <c r="J31" i="1"/>
  <c r="J109" i="1" s="1"/>
  <c r="K29" i="1"/>
  <c r="K28" i="1"/>
  <c r="K27" i="1"/>
  <c r="K23" i="1"/>
  <c r="K21" i="1"/>
  <c r="K20" i="1"/>
  <c r="K18" i="1"/>
  <c r="K16" i="1"/>
  <c r="K15" i="1"/>
  <c r="K12" i="1"/>
  <c r="K11" i="1"/>
  <c r="K8" i="1"/>
  <c r="G62" i="1"/>
  <c r="I8" i="1"/>
  <c r="H109" i="1"/>
  <c r="I107" i="1"/>
  <c r="I106" i="1"/>
  <c r="I105" i="1"/>
  <c r="I101" i="1"/>
  <c r="I98" i="1"/>
  <c r="I97" i="1"/>
  <c r="I94" i="1"/>
  <c r="I93" i="1"/>
  <c r="I92" i="1"/>
  <c r="I91" i="1"/>
  <c r="I90" i="1"/>
  <c r="I89" i="1"/>
  <c r="I88" i="1"/>
  <c r="E58" i="1"/>
  <c r="K109" i="1" l="1"/>
  <c r="I87" i="1"/>
  <c r="I86" i="1"/>
  <c r="I85" i="1"/>
  <c r="I84" i="1"/>
  <c r="I83" i="1"/>
  <c r="I82" i="1"/>
  <c r="I80" i="1"/>
  <c r="I79" i="1"/>
  <c r="I78" i="1"/>
  <c r="I77" i="1"/>
  <c r="I76" i="1"/>
  <c r="I74" i="1"/>
  <c r="G72" i="1"/>
  <c r="I73" i="1"/>
  <c r="I69" i="1"/>
  <c r="I68" i="1"/>
  <c r="I67" i="1"/>
  <c r="I64" i="1"/>
  <c r="I63" i="1"/>
  <c r="I62" i="1"/>
  <c r="I61" i="1"/>
  <c r="I58" i="1"/>
  <c r="I57" i="1"/>
  <c r="I56" i="1"/>
  <c r="I55" i="1"/>
  <c r="I53" i="1"/>
  <c r="I50" i="1"/>
  <c r="I48" i="1"/>
  <c r="I46" i="1"/>
  <c r="I45" i="1"/>
  <c r="I43" i="1"/>
  <c r="I42" i="1"/>
  <c r="I44" i="1"/>
  <c r="I41" i="1"/>
  <c r="I40" i="1"/>
  <c r="I39" i="1"/>
  <c r="I38" i="1"/>
  <c r="I34" i="1"/>
  <c r="I33" i="1"/>
  <c r="I32" i="1"/>
  <c r="I31" i="1"/>
  <c r="I29" i="1"/>
  <c r="I28" i="1"/>
  <c r="I27" i="1"/>
  <c r="I23" i="1"/>
  <c r="I22" i="1"/>
  <c r="I21" i="1"/>
  <c r="I18" i="1"/>
  <c r="I16" i="1"/>
  <c r="I15" i="1"/>
  <c r="I14" i="1"/>
  <c r="I13" i="1"/>
  <c r="I12" i="1"/>
  <c r="I11" i="1"/>
  <c r="I9" i="1"/>
  <c r="I109" i="1" l="1"/>
  <c r="F109" i="1"/>
  <c r="G108" i="1"/>
  <c r="G107" i="1"/>
  <c r="G106" i="1"/>
  <c r="G101" i="1"/>
  <c r="G97" i="1"/>
  <c r="G96" i="1"/>
  <c r="G95" i="1"/>
  <c r="G94" i="1"/>
  <c r="G93" i="1"/>
  <c r="G92" i="1"/>
  <c r="G91" i="1"/>
  <c r="G90" i="1"/>
  <c r="G89" i="1"/>
  <c r="G88" i="1"/>
  <c r="G86" i="1"/>
  <c r="G85" i="1"/>
  <c r="G84" i="1"/>
  <c r="G83" i="1"/>
  <c r="G81" i="1"/>
  <c r="G79" i="1"/>
  <c r="G80" i="1"/>
  <c r="G77" i="1"/>
  <c r="G74" i="1"/>
  <c r="G69" i="1"/>
  <c r="G68" i="1"/>
  <c r="G66" i="1"/>
  <c r="G64" i="1"/>
  <c r="G63" i="1"/>
  <c r="G61" i="1"/>
  <c r="G58" i="1" l="1"/>
  <c r="G59" i="1"/>
  <c r="G53" i="1"/>
  <c r="G56" i="1"/>
  <c r="G54" i="1"/>
  <c r="G55" i="1"/>
  <c r="G51" i="1"/>
  <c r="G50" i="1"/>
  <c r="G47" i="1"/>
  <c r="E42" i="1"/>
  <c r="E43" i="1"/>
  <c r="G43" i="1"/>
  <c r="G42" i="1"/>
  <c r="G41" i="1"/>
  <c r="G40" i="1"/>
  <c r="G39" i="1"/>
  <c r="G38" i="1"/>
  <c r="G35" i="1"/>
  <c r="G34" i="1"/>
  <c r="G33" i="1"/>
  <c r="G32" i="1"/>
  <c r="G31" i="1"/>
  <c r="G29" i="1"/>
  <c r="G27" i="1"/>
  <c r="G26" i="1"/>
  <c r="G25" i="1"/>
  <c r="G24" i="1"/>
  <c r="G23" i="1"/>
  <c r="G22" i="1"/>
  <c r="G21" i="1"/>
  <c r="G16" i="1"/>
  <c r="G18" i="1"/>
  <c r="G15" i="1"/>
  <c r="G14" i="1"/>
  <c r="G13" i="1"/>
  <c r="G12" i="1"/>
  <c r="G11" i="1"/>
  <c r="G9" i="1"/>
  <c r="G8" i="1"/>
  <c r="G7" i="1"/>
  <c r="G6" i="1"/>
  <c r="G5" i="1"/>
  <c r="G109" i="1" l="1"/>
  <c r="D109" i="1"/>
  <c r="E49" i="1"/>
  <c r="E108" i="1"/>
  <c r="E107" i="1"/>
  <c r="E101" i="1"/>
  <c r="E99" i="1"/>
  <c r="E97" i="1"/>
  <c r="E96" i="1"/>
  <c r="E95" i="1"/>
  <c r="E94" i="1"/>
  <c r="E93" i="1"/>
  <c r="E92" i="1"/>
  <c r="E91" i="1"/>
  <c r="E90" i="1"/>
  <c r="E89" i="1"/>
  <c r="E88" i="1"/>
  <c r="E86" i="1"/>
  <c r="E85" i="1"/>
  <c r="E84" i="1"/>
  <c r="E81" i="1"/>
  <c r="E79" i="1"/>
  <c r="E78" i="1"/>
  <c r="E77" i="1"/>
  <c r="E74" i="1"/>
  <c r="E72" i="1"/>
  <c r="E65" i="1"/>
  <c r="E67" i="1"/>
  <c r="E66" i="1"/>
  <c r="E63" i="1"/>
  <c r="E61" i="1"/>
  <c r="E52" i="1"/>
  <c r="E8" i="1"/>
  <c r="E51" i="1"/>
  <c r="E50" i="1"/>
  <c r="E64" i="1" l="1"/>
  <c r="E47" i="1"/>
  <c r="E41" i="1"/>
  <c r="E40" i="1"/>
  <c r="E39" i="1"/>
  <c r="E38" i="1"/>
  <c r="E35" i="1"/>
  <c r="E36" i="1"/>
  <c r="E29" i="1"/>
  <c r="E25" i="1"/>
  <c r="E32" i="1"/>
  <c r="E31" i="1"/>
  <c r="E23" i="1"/>
  <c r="E19" i="1"/>
  <c r="E17" i="1"/>
  <c r="E14" i="1"/>
  <c r="E9" i="1"/>
  <c r="E7" i="1"/>
  <c r="E6" i="1"/>
  <c r="E109" i="1" l="1"/>
  <c r="D20" i="2" l="1"/>
</calcChain>
</file>

<file path=xl/sharedStrings.xml><?xml version="1.0" encoding="utf-8"?>
<sst xmlns="http://schemas.openxmlformats.org/spreadsheetml/2006/main" count="368" uniqueCount="314">
  <si>
    <t>INITIATIEF LOKALE DIENSTENECONOMIE</t>
  </si>
  <si>
    <t>AANTAL TEWERKGESTELDE
 PERSONEELSLEDEN</t>
  </si>
  <si>
    <t>KMDA vzw</t>
  </si>
  <si>
    <t>Natuurwerk vzw</t>
  </si>
  <si>
    <t>Horizont vzw</t>
  </si>
  <si>
    <t>Stad Bilzen</t>
  </si>
  <si>
    <t>Werkmmaat vzw</t>
  </si>
  <si>
    <t>Toerisme Voerstreek vzw</t>
  </si>
  <si>
    <t>Fluxgo</t>
  </si>
  <si>
    <t>Westtoer apb</t>
  </si>
  <si>
    <t>Bospad vzw</t>
  </si>
  <si>
    <t>Voorsprong vzw</t>
  </si>
  <si>
    <t>Mobiel vzw</t>
  </si>
  <si>
    <t>Proviniciebestuur Antwerpen</t>
  </si>
  <si>
    <t>werken voor pilootproject routedokters Antwerpen</t>
  </si>
  <si>
    <t xml:space="preserve">open oproep Lokale Diensteneconomie – beleidsdomein toerisme, ter subsidiëring van het pilootproject betreffende het onderhoud van toeristische routegebonden infrastructuur in de provincie Antwerpen met samenwerkingsovereenkomst
</t>
  </si>
  <si>
    <t>OVERZICHT COFINANCIERING LOKALE DIENSTENECONOMIE</t>
  </si>
  <si>
    <t>ORGANISATIE</t>
  </si>
  <si>
    <t>FUNCTIE</t>
  </si>
  <si>
    <t>PROJECT-
NUMMER</t>
  </si>
  <si>
    <t>Adviesbueau Toegankelijke Omgeving vzw</t>
  </si>
  <si>
    <t>2009B01</t>
  </si>
  <si>
    <t>BITS vzw</t>
  </si>
  <si>
    <t>2008O02</t>
  </si>
  <si>
    <t>Centrum Ronde van Vlaanderen vzw</t>
  </si>
  <si>
    <t>2006O01</t>
  </si>
  <si>
    <t>2004A04</t>
  </si>
  <si>
    <t>2009V01</t>
  </si>
  <si>
    <t>De Tuinen van Hoegaarden vzw</t>
  </si>
  <si>
    <t>2008V01</t>
  </si>
  <si>
    <t>Dilbeeks Erfgoed vzw</t>
  </si>
  <si>
    <t>2007L02</t>
  </si>
  <si>
    <t>Federatie Toerisme Limburg vzw</t>
  </si>
  <si>
    <t>2008W01</t>
  </si>
  <si>
    <t>Genootschap Passchendaele Society 1917</t>
  </si>
  <si>
    <t>2004A8</t>
  </si>
  <si>
    <t>Grote Routepaden vzw</t>
  </si>
  <si>
    <t>2004L11</t>
  </si>
  <si>
    <t>2009A01</t>
  </si>
  <si>
    <t>Kempen Campings vzw</t>
  </si>
  <si>
    <t xml:space="preserve">
2008A01</t>
  </si>
  <si>
    <t>2007A01</t>
  </si>
  <si>
    <t xml:space="preserve">
2006V02</t>
  </si>
  <si>
    <t xml:space="preserve">
2004V03</t>
  </si>
  <si>
    <t>IGO-Leuven Dienstverlenende 
Intergemeenelijke Vereniging</t>
  </si>
  <si>
    <t>Gewestelijke VVV Klein-Brabant-
Scheldeland vzw (geregulariseerde ex-dac)</t>
  </si>
  <si>
    <t>2004O05</t>
  </si>
  <si>
    <t xml:space="preserve">2009O02 </t>
  </si>
  <si>
    <t>2004W04</t>
  </si>
  <si>
    <t>2009W02</t>
  </si>
  <si>
    <t xml:space="preserve">Kompas Camping vzw Nieuwpoort </t>
  </si>
  <si>
    <t>2004A07</t>
  </si>
  <si>
    <t>2004A06</t>
  </si>
  <si>
    <t>2004W01</t>
  </si>
  <si>
    <t>2004V02</t>
  </si>
  <si>
    <t>2004B02</t>
  </si>
  <si>
    <t xml:space="preserve">2005B02 </t>
  </si>
  <si>
    <t>2006V04</t>
  </si>
  <si>
    <t>Sportimonium vzw</t>
  </si>
  <si>
    <t>2004W02</t>
  </si>
  <si>
    <t>2006L01</t>
  </si>
  <si>
    <t>Toegankelijkheidsbureau vzw</t>
  </si>
  <si>
    <t>2004A05</t>
  </si>
  <si>
    <t>De Notelaer vzw (geregul.ex-dac'er)</t>
  </si>
  <si>
    <t>IGO-Leuven Dienstverlenende
Intergemeenelijke Vereniging (geregulariseerde ex-dac'er)</t>
  </si>
  <si>
    <t>Jeugd- en Vakantiecentrum Hechtel vzw 
(geregulariseerde ex-dac'ers)</t>
  </si>
  <si>
    <t>KMDA vzw (geregulariseerde ex-dac'ers)</t>
  </si>
  <si>
    <t>KMI vzw (Domein Hooidonk)
(geregulariseerde ex-dac'ers)</t>
  </si>
  <si>
    <t>KMI vzw (Ter Duinen)
(geregulariseerde ex-dac'ers)</t>
  </si>
  <si>
    <t>Leuvenement vzw
(geregulariseerde ex-dac'ers)</t>
  </si>
  <si>
    <t>Pasar vzw (geregulariseerde ex-dac'ers)</t>
  </si>
  <si>
    <t>Ter Helme vzw
geregulariseerde ex-dac'ers</t>
  </si>
  <si>
    <t>2004L04</t>
  </si>
  <si>
    <t>Toerisme Haspengouw vzw
(geregulariseerde ex-dac'ers
vzw stopt in 2010)</t>
  </si>
  <si>
    <t>2008O01</t>
  </si>
  <si>
    <t xml:space="preserve">Toerisme Meetjesland vzw
</t>
  </si>
  <si>
    <t>2004L01</t>
  </si>
  <si>
    <t>2004V01</t>
  </si>
  <si>
    <t>Toerisme Pajottenland en Zennevallei vzw
(geregulariseerde ex-dac'ers)</t>
  </si>
  <si>
    <t>2004A02</t>
  </si>
  <si>
    <t>Toerisme Provincie Antwerpen vzw
(geregulariseerde ex-dac'ers)</t>
  </si>
  <si>
    <t xml:space="preserve">Toerisme Provincie Antwerpen vzw
</t>
  </si>
  <si>
    <t>2007A05</t>
  </si>
  <si>
    <t>Toerisme Provincie Antwerpen vzw</t>
  </si>
  <si>
    <t>2007A03</t>
  </si>
  <si>
    <t>2008A04</t>
  </si>
  <si>
    <t>Toerisme Sint-Katelijne-Waver vzw</t>
  </si>
  <si>
    <t>2009V02</t>
  </si>
  <si>
    <t>Toerisme Vlaams-Brabant vzw</t>
  </si>
  <si>
    <t>2004L02</t>
  </si>
  <si>
    <t>2005L01</t>
  </si>
  <si>
    <t>2004O02</t>
  </si>
  <si>
    <t>2007B02</t>
  </si>
  <si>
    <t>Unizo vzw</t>
  </si>
  <si>
    <t>2004W03</t>
  </si>
  <si>
    <t>2008W02</t>
  </si>
  <si>
    <t>Vredesproject Mesen vzw</t>
  </si>
  <si>
    <t>2004B01</t>
  </si>
  <si>
    <t>2004O04</t>
  </si>
  <si>
    <t>2004L08</t>
  </si>
  <si>
    <t>2004L06</t>
  </si>
  <si>
    <t>Toerisme Voerstreek vzw
(geregulariseerde ex-dac'er)</t>
  </si>
  <si>
    <t>Toerisme Waasland vzw
(geregulariseerde ex-dac'er)</t>
  </si>
  <si>
    <t>Volkstoerisme vzw-De Lombarde
(geregulariseerde ex-dac'er)</t>
  </si>
  <si>
    <t>Vrienden van de Nationale Basiliek
van het Heilig Hart te Koekelberg vzw
(geregulariseerde ex-dac'er)</t>
  </si>
  <si>
    <t>VVV Hamont-Achel vzw
(geregulariseerde ex-dac'er)</t>
  </si>
  <si>
    <t>VVV en Toerisme in Herk-De-Stad vzw
(geregulariseerde ex-dac'ers)</t>
  </si>
  <si>
    <t>VVV Eeklo vzw
(geregulariseerde ex-dac'ers)</t>
  </si>
  <si>
    <t>2008W04</t>
  </si>
  <si>
    <t>VVV Heuvelland vzw</t>
  </si>
  <si>
    <t>2004L14</t>
  </si>
  <si>
    <t>2004L13</t>
  </si>
  <si>
    <t>VVV Infodienst Kinrooi vzw
(geregulariseerde ex-dac'ers)</t>
  </si>
  <si>
    <t>VVV Lommel vzw
(geregulariseerde ex-dac'ers)</t>
  </si>
  <si>
    <t>2004L09</t>
  </si>
  <si>
    <t>VVV Oeterdal vzw
(geregulariseerde ex-dac'er)</t>
  </si>
  <si>
    <t>2007A04</t>
  </si>
  <si>
    <t>VVV Toerisme Kasterlee vzw</t>
  </si>
  <si>
    <t>2007W02</t>
  </si>
  <si>
    <t>VVV West-Vlaamse Scheldestreek vzw</t>
  </si>
  <si>
    <t>2004O03</t>
  </si>
  <si>
    <t>2005W03</t>
  </si>
  <si>
    <t>Westkans vzw</t>
  </si>
  <si>
    <t>VVV Zottegem vzw
(geregulariseerde ex-dac'ers)</t>
  </si>
  <si>
    <t>2005W01</t>
  </si>
  <si>
    <t>Westtoer vzw
(geregulariseerde ex-dac'ers)</t>
  </si>
  <si>
    <t>2009W03</t>
  </si>
  <si>
    <t xml:space="preserve">Westtoer vzw
</t>
  </si>
  <si>
    <t>2004WA05</t>
  </si>
  <si>
    <t>Zomerzon vzw</t>
  </si>
  <si>
    <t>2009W01</t>
  </si>
  <si>
    <t>Zon en Duin vzw</t>
  </si>
  <si>
    <t>2005W02</t>
  </si>
  <si>
    <t>2010W02</t>
  </si>
  <si>
    <t>2010W03</t>
  </si>
  <si>
    <t>2010L03</t>
  </si>
  <si>
    <t>Het Vervolg vzw</t>
  </si>
  <si>
    <t>2010A01</t>
  </si>
  <si>
    <t>Kempens Landschap vzw</t>
  </si>
  <si>
    <t>2009L03</t>
  </si>
  <si>
    <t>Toerisme Limburg vzw</t>
  </si>
  <si>
    <t>2010L04</t>
  </si>
  <si>
    <t>2010L06-A</t>
  </si>
  <si>
    <t>2010L06-B</t>
  </si>
  <si>
    <t>Briljante Kempen vzw (geregulariseerde ex-dac'ers)</t>
  </si>
  <si>
    <t>2009B02</t>
  </si>
  <si>
    <t>Tafelen in Vlaanderen vzw</t>
  </si>
  <si>
    <t>toegankelijksmeter</t>
  </si>
  <si>
    <t>educatief medewerker</t>
  </si>
  <si>
    <t>projectcoördinator</t>
  </si>
  <si>
    <t>projectmedewerker toerisme</t>
  </si>
  <si>
    <t>bedrijfsconsulent natuurgericht toerisme</t>
  </si>
  <si>
    <t>medewerker toerisme</t>
  </si>
  <si>
    <t>GR-wandelcoördinator</t>
  </si>
  <si>
    <t>LF-fietscoördinator</t>
  </si>
  <si>
    <t>schoonmaak en onderhoudspersoneel</t>
  </si>
  <si>
    <t>groenarbeiders</t>
  </si>
  <si>
    <t>graficus
administratief bediende
klusjesman</t>
  </si>
  <si>
    <t>0,5 groenarbeider
1 hulpkelner zorgtoerisme</t>
  </si>
  <si>
    <t>2 administratief bedienden
1 opsteller</t>
  </si>
  <si>
    <t>1 administratief bediende
0,5 bediende boekhouding</t>
  </si>
  <si>
    <t xml:space="preserve">1 administratief bediende
</t>
  </si>
  <si>
    <t>diensthoofd</t>
  </si>
  <si>
    <t>1,5 administratief bediende</t>
  </si>
  <si>
    <t>1 onthaalbediende en evenementen</t>
  </si>
  <si>
    <t>1 administratief bediende</t>
  </si>
  <si>
    <t>1 bediende boekhouding
1 administratief bediende</t>
  </si>
  <si>
    <t>administratief bediende</t>
  </si>
  <si>
    <t xml:space="preserve">1 coördinator museum
1 onderhoudsmedewerker museum
</t>
  </si>
  <si>
    <t>ATL-medewerker</t>
  </si>
  <si>
    <t>2 technische medewerkers groendienst</t>
  </si>
  <si>
    <t>2007O02</t>
  </si>
  <si>
    <t>toerismemedewerker en bedrijfsconsulent</t>
  </si>
  <si>
    <t>wandelcoördinator</t>
  </si>
  <si>
    <t>1 administratief bediende Reserveringscentrale Trekkershutten</t>
  </si>
  <si>
    <t>1 medewerker toerisme/onthaalbediende</t>
  </si>
  <si>
    <t>B1c-toerismemedewerker</t>
  </si>
  <si>
    <t>secretariaatsverantwoordelijke</t>
  </si>
  <si>
    <t>technisch medewerker groendienst</t>
  </si>
  <si>
    <t>toertische projectcoördintor Merksplas Kolonie</t>
  </si>
  <si>
    <t>adviseur toerisme-projectcoördinator</t>
  </si>
  <si>
    <t>administratief medewerker</t>
  </si>
  <si>
    <t>medewerker productontwikkeling B1c</t>
  </si>
  <si>
    <t xml:space="preserve">2009A02-A </t>
  </si>
  <si>
    <t>toerismeconsulent</t>
  </si>
  <si>
    <t>projectverantwoordelijke Damiaan</t>
  </si>
  <si>
    <t>projectcoördinator Westhoek 100 jaar Groote Oorlog</t>
  </si>
  <si>
    <t>toeristisch verantwoordelijke</t>
  </si>
  <si>
    <t>medewerker marketing en communicatie Haspengouw</t>
  </si>
  <si>
    <t>medewerker marketing en communicatie Maasland</t>
  </si>
  <si>
    <t>2008A06</t>
  </si>
  <si>
    <t>mice-coördinator Antwerpse Kempen</t>
  </si>
  <si>
    <t>5 provinciale coördinatoren en 1 horeca-coördinator bij Horeca Vlaanderen</t>
  </si>
  <si>
    <t>2006V01</t>
  </si>
  <si>
    <t>3Wplus vzw</t>
  </si>
  <si>
    <t>2010W10</t>
  </si>
  <si>
    <t>F.B.A.A.-West-Vlaanderen vzw</t>
  </si>
  <si>
    <t>2010B05</t>
  </si>
  <si>
    <t>Fed.Ho.Re.Ca. Vlaanderen vzw</t>
  </si>
  <si>
    <t>projectmedewerker toeristische ontsluiting oorlogslandschap en uitbouw kenniscentrum</t>
  </si>
  <si>
    <t>2011A02</t>
  </si>
  <si>
    <t>Kompas Camping vzw Oudenaarde (geregulariseerde ex-dac'ers)
Kompas Camping Oudenaarde is gestopt in 2010</t>
  </si>
  <si>
    <t>Kompas Camping vzw Oudenaarde 
Kompas Camping Oudenaarde is gestopt in 2010</t>
  </si>
  <si>
    <t>2010V05</t>
  </si>
  <si>
    <t>2010L01</t>
  </si>
  <si>
    <t>Regionaal Landschap Kempen en Maasland vzw</t>
  </si>
  <si>
    <t xml:space="preserve">2010V04 </t>
  </si>
  <si>
    <t>2010L11</t>
  </si>
  <si>
    <t>2010L02</t>
  </si>
  <si>
    <t>2004O01</t>
  </si>
  <si>
    <t>2009O01</t>
  </si>
  <si>
    <t>administratief medewerker toeristisch routeonderhoud</t>
  </si>
  <si>
    <t>Verantwoordelijke Experience Labs b1c</t>
  </si>
  <si>
    <t>Horeca Coördinator Vlaanderen Lekkerland</t>
  </si>
  <si>
    <t xml:space="preserve"> B1c-medewerker</t>
  </si>
  <si>
    <t>consulent marketing</t>
  </si>
  <si>
    <t>Plattelandstoerisme in Vlaanderen vzw (later Logeren in Vlaanderen)</t>
  </si>
  <si>
    <t>projectmedewerker projectbureau Nationaal Park Hoge Kempen</t>
  </si>
  <si>
    <t>toeristisch medewerker</t>
  </si>
  <si>
    <t>toerismebeleidscoördinator Aalter en Knesselare</t>
  </si>
  <si>
    <t>Toerisme Meetjesland vzw
(geregulariseerde ex-dac'ers)</t>
  </si>
  <si>
    <t>provinciaal coördinator Limburg Vlaanderen Lekkerland</t>
  </si>
  <si>
    <t>projectontwikkelaar</t>
  </si>
  <si>
    <t>2009A02-B</t>
  </si>
  <si>
    <t>2010A03</t>
  </si>
  <si>
    <t>2009A03</t>
  </si>
  <si>
    <t>Toerisme Rupelstreek-Vaartland vzw</t>
  </si>
  <si>
    <t>2009V03</t>
  </si>
  <si>
    <t>2009V06</t>
  </si>
  <si>
    <t>2010O02</t>
  </si>
  <si>
    <t>2010B03</t>
  </si>
  <si>
    <t>2011A01</t>
  </si>
  <si>
    <t>VVV Mechelen vzw</t>
  </si>
  <si>
    <t xml:space="preserve">Toerisme Waasland vzw
</t>
  </si>
  <si>
    <t>2010O03</t>
  </si>
  <si>
    <t>Watererfgoed Vlaanderen vzw</t>
  </si>
  <si>
    <t>2010W01</t>
  </si>
  <si>
    <t>Westtoer vzw</t>
  </si>
  <si>
    <t>2010W09</t>
  </si>
  <si>
    <t>OVERZICHT TEWERKSTELLINGSPROJECTEN</t>
  </si>
  <si>
    <t>2005W03-B</t>
  </si>
  <si>
    <t>Beleidsondersteunende projectcoördinator Toerisme Rupelstreek-Vaartland vzw</t>
  </si>
  <si>
    <t>projectverantwoordelijke uitbouw belevingscentrum Brabants trekpaard</t>
  </si>
  <si>
    <t>projectcoördinator Mercatorjaar 2012</t>
  </si>
  <si>
    <t>adviseur toerisme en ondernemen UNIZO-nationaal</t>
  </si>
  <si>
    <t>coördinator publiekswerking Kazerne Dossin</t>
  </si>
  <si>
    <t>verantwoordelijke voor prospectie en promotie op Ierse markt</t>
  </si>
  <si>
    <t>onderzoeker watererfgoed en watertoerisme</t>
  </si>
  <si>
    <t>programma-assistent programmasecretariaat 100 jaar WOI Westhoek</t>
  </si>
  <si>
    <t>provinciaal coördinator West-Vlaanderen Vlaanderen Lekkerland</t>
  </si>
  <si>
    <t>2011W02</t>
  </si>
  <si>
    <t>Folkfestival Dranouter vzw</t>
  </si>
  <si>
    <t>2010L08</t>
  </si>
  <si>
    <t>Reis- en Opleidingscentrum</t>
  </si>
  <si>
    <t>2010O05</t>
  </si>
  <si>
    <t>Toerisme Oost-Vlaanderen</t>
  </si>
  <si>
    <t>2010A04</t>
  </si>
  <si>
    <t xml:space="preserve">Vrienden van de Nationale Basiliek
van het Heilig Hart te Koekelberg vzw
</t>
  </si>
  <si>
    <t>inhoudelijk medewerker Folkfestival Dranouter</t>
  </si>
  <si>
    <t>provinciaal coördinator Oost-Vlaanderen Vlaanderen Lekkerland</t>
  </si>
  <si>
    <t>projectmedewerker</t>
  </si>
  <si>
    <t>2011O02</t>
  </si>
  <si>
    <t>projectmedewerker kenniscentrum</t>
  </si>
  <si>
    <t>2010B02</t>
  </si>
  <si>
    <t>toerismemedewerker</t>
  </si>
  <si>
    <t>2011W01</t>
  </si>
  <si>
    <t>coördinator Kortrijk Regional Convention Bureau</t>
  </si>
  <si>
    <t>Kompas Camping vzw Nieuwpoort (geregulaiseerde ex-dac'er)</t>
  </si>
  <si>
    <t>provinciaal coördinator Vlaanderen Lekker Land</t>
  </si>
  <si>
    <t>1,6 administratief bediende (1 uit dienst in 2011)</t>
  </si>
  <si>
    <t>2011O03</t>
  </si>
  <si>
    <t>bediende redder zwemmeester
animator-toezicht zwembad
2 onderhoud park, sport- en spelinfrastructuur (1 uit dienst in 2013)</t>
  </si>
  <si>
    <t>Toerisme Midden-Limburg Intergemeentelijke Projectvereniging
(geregulariseerde ex-dac'er)
Intergemeentelijke Projectvereniging stopt in 2013</t>
  </si>
  <si>
    <t xml:space="preserve">1 bediende onthaal en communicatie
0,8 bestuurder van motorvoertuigen (uit dienst in 2012)
2,8 administratief bedienden (1 uit dienst in 2012)
</t>
  </si>
  <si>
    <t>2 klusjesmannen (1 uit dienst in 2011)</t>
  </si>
  <si>
    <t>1 medewerker boekhouding
2 halftijdse medewerkers cel techniek en infrastructuur</t>
  </si>
  <si>
    <t>1 hoofdredacteur publicatie (uit dienst in 2014)
1 administratief bediende (uit dienst in 2014)
1 animator (uit dienst in 2014)</t>
  </si>
  <si>
    <t>1 coördinator (uit dienst in 2016)
1 bediende boekhouding (uit dienst in 2012)</t>
  </si>
  <si>
    <t>VTE(titularis en tijdelijke vervanger is samen 1 VTE)</t>
  </si>
  <si>
    <t>3 administratief bedienden (1 uit dienst in 2012,1 uit dienst in 2017 en 1 uit dienst in 2021)</t>
  </si>
  <si>
    <t>administratief kaderpersoneel (uit dienst in 2018)</t>
  </si>
  <si>
    <t>groenarbeider (uit dienst in 2017)</t>
  </si>
  <si>
    <t>1 verantwoordelijke technische dienst (uit dienst in 2015)
1 klusjesman (uit dienst in 2017)</t>
  </si>
  <si>
    <t>coördinator
opsteller
klusjesman (uit dienst in 2017)</t>
  </si>
  <si>
    <t>2 groenarbeiders (1 uit dienst in 2012 en 1 in 2018)
1,79 onderhoudsmedewerkers zorgtoerisme</t>
  </si>
  <si>
    <t>1,5 onthaalbedienden
1 onderhoudspersoneelslid (uit dienst in 2017)</t>
  </si>
  <si>
    <t>1 bediende onthaal en communicatie
3 administratief kaderpersoneel (2 uit dienst in 2012)</t>
  </si>
  <si>
    <t>bediende boekhouding (uit dienst in 2019)
2 bedienden onthaal en communicatie
klusjesman (uit dienst in 2016)</t>
  </si>
  <si>
    <t>De Ceder vzw (geregulariseerde ex-dac'ers)
ondernemingsnummer is gestopt in 2015 door herstructurering met gevolg stopzetting van subsidiëring</t>
  </si>
  <si>
    <t>2 klusjesmannen (1 uit dienst in 2019)</t>
  </si>
  <si>
    <t>tijdelijke  coronawerkloosheid</t>
  </si>
  <si>
    <t>2 educatieve medewerker (0,5 VTE uit dienst in 2013,1VTE uit dient in 2015, 0,5 VTE uit dienst in 2020)
1 schoonmaakster en onderhoudspersoneel
(uit dienst in 2016)</t>
  </si>
  <si>
    <t>(40 % voorschot is uitbetaald)</t>
  </si>
  <si>
    <t>GR-wandelcoördinator (verlenging)</t>
  </si>
  <si>
    <t xml:space="preserve">coördinator toeristische routes </t>
  </si>
  <si>
    <t>mederwerker natuurgericht toerisme</t>
  </si>
  <si>
    <t>productontwikkelaar</t>
  </si>
  <si>
    <t>0,5 coördinator (uit dienst in 2012)
0,5 documentalist (uit dienst in 2012)
0,5 typiste (uit dienst in 2017)</t>
  </si>
  <si>
    <t>2 groenarbeiders (uit dienst in 2016)</t>
  </si>
  <si>
    <t>kwaliteitsbewaking wandelroutes van de wandel- en fietspaden
hulp bij permanentie infobalie en bezoekerscentrum, evenementen, uitbouw fototheek</t>
  </si>
  <si>
    <t xml:space="preserve">onderhoud van toeristisch- recreatieve
infrastructuur/bebording </t>
  </si>
  <si>
    <t>onderhoud van fiets- en wandelroutes, ondersteuning
fiets- en wandeltoerisme</t>
  </si>
  <si>
    <t>aangepaste opvang van kwetsbare bezoekers en verzekering 
van de veiligheid van de bezoekers</t>
  </si>
  <si>
    <t>7/7 onderhoud van het Steenplein en omgeving in Antwerpen
en onderhoud van de cruiseterminal voor uitstraling toerisme
hulp bij opbouw en afbraak van evenementen</t>
  </si>
  <si>
    <t>geregulariseerde gesco
administratief bediende</t>
  </si>
  <si>
    <t>2
6(2016)
9(2018)</t>
  </si>
  <si>
    <t xml:space="preserve">3
8(2014)
7(2015)
</t>
  </si>
  <si>
    <t>tijdelijke 
coronawerkloosheid</t>
  </si>
  <si>
    <t>Nog te betalen
 na berekening
 coronawerkloosheid</t>
  </si>
  <si>
    <t xml:space="preserve">Nog te betalen
 </t>
  </si>
  <si>
    <t>Kortrijk:onthaal fietstoeristen, verhuren, 
herstellen, organiseren fietstochten en mee begeleiden, bemanning  op evenementen fietsstand Mobiel</t>
  </si>
  <si>
    <t>Limburg:voor Iedereen verdient vakantie  in kaart brengen van betaalbare vrijetijdsbestedings-
mogelijkheden van toeristische tot culturele, sociale en
sportieve uitstappen en vakantieverblijven
voorstellingen geven over de werking Horizont vzw/Rap op Stap en verlagen van de drempels om op vakantie te gaan
per antennewerking de permanentie verzorgen en de klantendoelgroep begeleiden bij kiezen vakantie en boeking
de doelgroepwerknemers hebben een Persoonlijk OntwikkelingsPlan en worden ondersteund door de omkadering</t>
  </si>
  <si>
    <t xml:space="preserve">structureel onderhoud van de bewegwijzering
en basis-randinfrastructuur van toeristisch-recreatieve netwerken van fiets- en wandelwegen en 
interventie op door Toerisme Provincie Antwerpen doorgegeven meldingen </t>
  </si>
  <si>
    <t>2010: De doelgroepmedewerker staat in voor het onderhoud van de fiets- en wandelroutes van de gemeenten Turnhout, Vosselaar, Beerse en Ravels. Vanaf 2011: werken voor pilootproject routedokters Antwerpen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</si>
</sst>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quot;€&quot;\ #,##0.00"/>
  </numFmts>
  <fonts count="7" x14ac:knownFonts="1">
    <font>
      <sz val="11"/>
      <color theme="1"/>
      <name val="Calibri"/>
      <family val="2"/>
      <scheme val="minor"/>
    </font>
    <font>
      <sz val="11"/>
      <color theme="1"/>
      <name val="Arial"/>
      <family val="2"/>
    </font>
    <font>
      <sz val="8"/>
      <name val="Calibri"/>
      <family val="2"/>
      <scheme val="minor"/>
    </font>
    <font>
      <sz val="11"/>
      <color rgb="FFFF0000"/>
      <name val="Calibri"/>
      <family val="2"/>
      <scheme val="minor"/>
    </font>
    <font>
      <sz val="11"/>
      <name val="Calibri"/>
      <family val="2"/>
      <scheme val="minor"/>
    </font>
    <font>
      <sz val="11"/>
      <color theme="0" tint="-0.499984740745262"/>
      <name val="Calibri"/>
      <family val="2"/>
      <scheme val="minor"/>
    </font>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40">
    <xf numFmtId="0" fontId="0" fillId="0" borderId="0" xfId="0"/>
    <xf numFmtId="165" fontId="0" fillId="0" borderId="0" xfId="0" applyNumberFormat="1"/>
    <xf numFmtId="0" fontId="0" fillId="0" borderId="1" xfId="0" applyBorder="1"/>
    <xf numFmtId="0" fontId="0" fillId="0" borderId="1" xfId="0" applyBorder="1" applyAlignment="1">
      <alignment wrapText="1"/>
    </xf>
    <xf numFmtId="0" fontId="0" fillId="0" borderId="1" xfId="0" applyNumberFormat="1" applyBorder="1"/>
    <xf numFmtId="165" fontId="0" fillId="0" borderId="1" xfId="0" applyNumberFormat="1" applyBorder="1"/>
    <xf numFmtId="165" fontId="0" fillId="2" borderId="1" xfId="0" applyNumberFormat="1" applyFill="1" applyBorder="1"/>
    <xf numFmtId="0" fontId="0" fillId="2" borderId="1" xfId="0" applyNumberFormat="1" applyFill="1" applyBorder="1"/>
    <xf numFmtId="0" fontId="0" fillId="2" borderId="1" xfId="0" applyFill="1" applyBorder="1"/>
    <xf numFmtId="0" fontId="0" fillId="0" borderId="1" xfId="0" applyNumberFormat="1" applyFill="1" applyBorder="1"/>
    <xf numFmtId="165" fontId="0" fillId="0" borderId="1" xfId="0" applyNumberFormat="1" applyFill="1" applyBorder="1"/>
    <xf numFmtId="0" fontId="0" fillId="0" borderId="2" xfId="0" applyFill="1" applyBorder="1" applyAlignment="1">
      <alignment wrapText="1"/>
    </xf>
    <xf numFmtId="0" fontId="4" fillId="0" borderId="1" xfId="0" applyFont="1" applyFill="1" applyBorder="1"/>
    <xf numFmtId="0" fontId="0" fillId="3" borderId="1" xfId="0" applyFill="1" applyBorder="1"/>
    <xf numFmtId="165" fontId="0" fillId="3" borderId="1" xfId="0" applyNumberFormat="1" applyFill="1" applyBorder="1"/>
    <xf numFmtId="0" fontId="0" fillId="3" borderId="1" xfId="0" applyNumberFormat="1" applyFill="1" applyBorder="1"/>
    <xf numFmtId="165" fontId="0" fillId="3" borderId="0" xfId="0" applyNumberFormat="1" applyFill="1"/>
    <xf numFmtId="0" fontId="0" fillId="0" borderId="0" xfId="0" applyNumberFormat="1"/>
    <xf numFmtId="0" fontId="4" fillId="3" borderId="1" xfId="0" applyFont="1" applyFill="1" applyBorder="1"/>
    <xf numFmtId="0" fontId="3" fillId="3" borderId="1" xfId="0" applyFont="1" applyFill="1" applyBorder="1"/>
    <xf numFmtId="0" fontId="0" fillId="3" borderId="0" xfId="0" applyFill="1"/>
    <xf numFmtId="0" fontId="0" fillId="0" borderId="2" xfId="0" applyNumberFormat="1" applyFill="1" applyBorder="1"/>
    <xf numFmtId="0" fontId="5" fillId="3" borderId="1" xfId="0" applyNumberFormat="1" applyFont="1" applyFill="1" applyBorder="1"/>
    <xf numFmtId="165" fontId="5" fillId="3" borderId="1" xfId="0" applyNumberFormat="1" applyFont="1" applyFill="1" applyBorder="1"/>
    <xf numFmtId="0" fontId="0" fillId="0" borderId="1" xfId="0" applyFill="1" applyBorder="1"/>
    <xf numFmtId="0" fontId="5" fillId="3" borderId="1" xfId="0" applyFont="1" applyFill="1" applyBorder="1"/>
    <xf numFmtId="0" fontId="0" fillId="0" borderId="3" xfId="0" applyBorder="1"/>
    <xf numFmtId="164" fontId="0" fillId="3" borderId="1" xfId="1" applyFont="1" applyFill="1" applyBorder="1"/>
    <xf numFmtId="0" fontId="0" fillId="0" borderId="1" xfId="0" applyFill="1" applyBorder="1" applyAlignment="1">
      <alignment wrapText="1"/>
    </xf>
    <xf numFmtId="165" fontId="3" fillId="3" borderId="1" xfId="0" applyNumberFormat="1" applyFont="1" applyFill="1" applyBorder="1"/>
    <xf numFmtId="0" fontId="0" fillId="0" borderId="1" xfId="0" applyFont="1" applyBorder="1" applyAlignment="1">
      <alignment wrapText="1"/>
    </xf>
    <xf numFmtId="0" fontId="1" fillId="0" borderId="1" xfId="0" applyFont="1" applyBorder="1" applyAlignment="1">
      <alignment horizontal="justify" vertical="center" wrapText="1"/>
    </xf>
    <xf numFmtId="0" fontId="0" fillId="0" borderId="1" xfId="0" applyFont="1" applyBorder="1" applyAlignment="1">
      <alignment horizontal="justify" vertical="center"/>
    </xf>
    <xf numFmtId="0" fontId="0" fillId="0" borderId="4" xfId="0" applyBorder="1" applyAlignment="1"/>
    <xf numFmtId="0" fontId="0" fillId="0" borderId="5" xfId="0" applyBorder="1" applyAlignment="1"/>
    <xf numFmtId="0" fontId="0" fillId="0" borderId="6" xfId="0" applyBorder="1" applyAlignment="1"/>
    <xf numFmtId="165" fontId="0" fillId="0" borderId="1" xfId="0" applyNumberFormat="1" applyBorder="1" applyAlignment="1">
      <alignment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9E11C-02A7-4DC0-BAAA-36DC02C3B089}">
  <dimension ref="A1:AA110"/>
  <sheetViews>
    <sheetView zoomScale="120" zoomScaleNormal="120" workbookViewId="0">
      <pane xSplit="1" topLeftCell="J1" activePane="topRight" state="frozen"/>
      <selection pane="topRight" activeCell="D109" sqref="D109"/>
    </sheetView>
  </sheetViews>
  <sheetFormatPr defaultRowHeight="14.4" x14ac:dyDescent="0.3"/>
  <cols>
    <col min="1" max="1" width="9.5546875" customWidth="1"/>
    <col min="2" max="2" width="34.109375" customWidth="1"/>
    <col min="3" max="3" width="42" customWidth="1"/>
    <col min="4" max="4" width="6.109375" customWidth="1"/>
    <col min="5" max="5" width="16.5546875" style="1" customWidth="1"/>
    <col min="6" max="6" width="8.44140625" style="1" customWidth="1"/>
    <col min="7" max="7" width="14.44140625" customWidth="1"/>
    <col min="8" max="8" width="6.5546875" customWidth="1"/>
    <col min="9" max="9" width="14.5546875" customWidth="1"/>
    <col min="10" max="10" width="11.109375" customWidth="1"/>
    <col min="11" max="11" width="13.88671875" customWidth="1"/>
    <col min="12" max="12" width="7.88671875" customWidth="1"/>
    <col min="13" max="13" width="13.6640625" customWidth="1"/>
    <col min="14" max="14" width="9.109375" customWidth="1"/>
    <col min="15" max="15" width="13.6640625" customWidth="1"/>
    <col min="17" max="17" width="13.6640625" bestFit="1" customWidth="1"/>
    <col min="18" max="18" width="8.6640625" customWidth="1"/>
    <col min="19" max="19" width="13.6640625" bestFit="1" customWidth="1"/>
    <col min="20" max="20" width="7.5546875" customWidth="1"/>
    <col min="21" max="21" width="13.6640625" bestFit="1" customWidth="1"/>
    <col min="23" max="23" width="13.6640625" bestFit="1" customWidth="1"/>
    <col min="25" max="25" width="13.6640625" bestFit="1" customWidth="1"/>
    <col min="27" max="27" width="12.109375" bestFit="1" customWidth="1"/>
  </cols>
  <sheetData>
    <row r="1" spans="1:27" x14ac:dyDescent="0.3">
      <c r="A1" t="s">
        <v>239</v>
      </c>
    </row>
    <row r="3" spans="1:27" ht="28.8" x14ac:dyDescent="0.3">
      <c r="A3" s="3" t="s">
        <v>19</v>
      </c>
      <c r="B3" s="2" t="s">
        <v>17</v>
      </c>
      <c r="C3" s="2" t="s">
        <v>18</v>
      </c>
      <c r="D3" s="2" t="s">
        <v>278</v>
      </c>
      <c r="E3" s="4">
        <v>2010</v>
      </c>
      <c r="F3" s="2" t="s">
        <v>278</v>
      </c>
      <c r="G3" s="2">
        <v>2011</v>
      </c>
      <c r="H3" s="2" t="s">
        <v>278</v>
      </c>
      <c r="I3" s="2">
        <v>2012</v>
      </c>
      <c r="J3" s="2" t="s">
        <v>278</v>
      </c>
      <c r="K3" s="2">
        <v>2013</v>
      </c>
      <c r="L3" s="2" t="s">
        <v>278</v>
      </c>
      <c r="M3" s="2">
        <v>2014</v>
      </c>
      <c r="N3" s="2" t="s">
        <v>278</v>
      </c>
      <c r="O3" s="2">
        <v>2015</v>
      </c>
      <c r="P3" s="2" t="s">
        <v>278</v>
      </c>
      <c r="Q3" s="2">
        <v>2016</v>
      </c>
      <c r="R3" s="2" t="s">
        <v>278</v>
      </c>
      <c r="S3" s="2">
        <v>2017</v>
      </c>
      <c r="T3" s="26" t="s">
        <v>278</v>
      </c>
      <c r="U3" s="2">
        <v>2018</v>
      </c>
      <c r="V3" s="2" t="s">
        <v>278</v>
      </c>
      <c r="W3" s="4">
        <v>2019</v>
      </c>
      <c r="X3" s="2" t="s">
        <v>278</v>
      </c>
      <c r="Y3" s="2">
        <v>2020</v>
      </c>
      <c r="Z3" s="2" t="s">
        <v>278</v>
      </c>
      <c r="AA3" s="2">
        <v>2021</v>
      </c>
    </row>
    <row r="4" spans="1:27" ht="43.2" x14ac:dyDescent="0.3">
      <c r="A4" s="2"/>
      <c r="B4" s="2"/>
      <c r="C4" s="2"/>
      <c r="D4" s="2"/>
      <c r="E4" s="5"/>
      <c r="F4" s="5"/>
      <c r="G4" s="2"/>
      <c r="H4" s="2"/>
      <c r="I4" s="2"/>
      <c r="J4" s="2"/>
      <c r="K4" s="2"/>
      <c r="L4" s="2"/>
      <c r="M4" s="13"/>
      <c r="N4" s="13"/>
      <c r="O4" s="13"/>
      <c r="P4" s="24"/>
      <c r="Q4" s="24"/>
      <c r="R4" s="24"/>
      <c r="S4" s="10"/>
      <c r="T4" s="24"/>
      <c r="U4" s="24"/>
      <c r="V4" s="24"/>
      <c r="W4" s="10"/>
      <c r="X4" s="2"/>
      <c r="Y4" s="3" t="s">
        <v>290</v>
      </c>
      <c r="Z4" s="2"/>
      <c r="AA4" s="3" t="s">
        <v>290</v>
      </c>
    </row>
    <row r="5" spans="1:27" x14ac:dyDescent="0.3">
      <c r="A5" s="2" t="s">
        <v>193</v>
      </c>
      <c r="B5" s="2" t="s">
        <v>194</v>
      </c>
      <c r="C5" s="2" t="s">
        <v>211</v>
      </c>
      <c r="D5" s="2">
        <v>0.8</v>
      </c>
      <c r="E5" s="5">
        <v>25351.06</v>
      </c>
      <c r="F5" s="4">
        <v>0.8</v>
      </c>
      <c r="G5" s="5">
        <f>10630.17-938.06</f>
        <v>9692.11</v>
      </c>
      <c r="H5" s="22"/>
      <c r="I5" s="25"/>
      <c r="J5" s="22"/>
      <c r="K5" s="25"/>
      <c r="L5" s="22"/>
      <c r="M5" s="14"/>
      <c r="N5" s="13"/>
      <c r="O5" s="13"/>
      <c r="P5" s="13"/>
      <c r="Q5" s="14"/>
      <c r="R5" s="13"/>
      <c r="S5" s="14"/>
      <c r="T5" s="13"/>
      <c r="U5" s="14"/>
      <c r="V5" s="13"/>
      <c r="W5" s="14"/>
      <c r="X5" s="13"/>
      <c r="Y5" s="14"/>
      <c r="Z5" s="13"/>
      <c r="AA5" s="14"/>
    </row>
    <row r="6" spans="1:27" x14ac:dyDescent="0.3">
      <c r="A6" s="2" t="s">
        <v>171</v>
      </c>
      <c r="B6" s="2" t="s">
        <v>20</v>
      </c>
      <c r="C6" s="2" t="s">
        <v>147</v>
      </c>
      <c r="D6" s="2">
        <v>0.5</v>
      </c>
      <c r="E6" s="5">
        <f>14293.26-875.38</f>
        <v>13417.880000000001</v>
      </c>
      <c r="F6" s="4">
        <v>0.8</v>
      </c>
      <c r="G6" s="5">
        <f>7277.32-680.41</f>
        <v>6596.91</v>
      </c>
      <c r="H6" s="22"/>
      <c r="I6" s="23"/>
      <c r="J6" s="22"/>
      <c r="K6" s="23"/>
      <c r="L6" s="22"/>
      <c r="M6" s="14"/>
      <c r="N6" s="13"/>
      <c r="O6" s="13"/>
      <c r="P6" s="13"/>
      <c r="Q6" s="14"/>
      <c r="R6" s="13"/>
      <c r="S6" s="14"/>
      <c r="T6" s="13"/>
      <c r="U6" s="14"/>
      <c r="V6" s="13"/>
      <c r="W6" s="14"/>
      <c r="X6" s="13"/>
      <c r="Y6" s="14"/>
      <c r="Z6" s="13"/>
      <c r="AA6" s="14"/>
    </row>
    <row r="7" spans="1:27" x14ac:dyDescent="0.3">
      <c r="A7" s="2" t="s">
        <v>21</v>
      </c>
      <c r="B7" s="2" t="s">
        <v>22</v>
      </c>
      <c r="C7" s="2" t="s">
        <v>148</v>
      </c>
      <c r="D7" s="2">
        <v>1</v>
      </c>
      <c r="E7" s="5">
        <f>37660.44-694.36</f>
        <v>36966.080000000002</v>
      </c>
      <c r="F7" s="4">
        <v>1</v>
      </c>
      <c r="G7" s="5">
        <f>38667.57-953.76</f>
        <v>37713.81</v>
      </c>
      <c r="H7" s="4">
        <v>1</v>
      </c>
      <c r="I7" s="5">
        <v>29473.84</v>
      </c>
      <c r="J7" s="15"/>
      <c r="K7" s="14"/>
      <c r="L7" s="15"/>
      <c r="M7" s="14"/>
      <c r="N7" s="13"/>
      <c r="O7" s="13"/>
      <c r="P7" s="13"/>
      <c r="Q7" s="14"/>
      <c r="R7" s="13"/>
      <c r="S7" s="14"/>
      <c r="T7" s="13"/>
      <c r="U7" s="14"/>
      <c r="V7" s="13"/>
      <c r="W7" s="14"/>
      <c r="X7" s="13"/>
      <c r="Y7" s="14"/>
      <c r="Z7" s="13"/>
      <c r="AA7" s="14"/>
    </row>
    <row r="8" spans="1:27" ht="43.2" x14ac:dyDescent="0.3">
      <c r="A8" s="3" t="s">
        <v>62</v>
      </c>
      <c r="B8" s="3" t="s">
        <v>144</v>
      </c>
      <c r="C8" s="3" t="s">
        <v>287</v>
      </c>
      <c r="D8" s="2">
        <v>3.95</v>
      </c>
      <c r="E8" s="5">
        <f>176698.78-14156.76</f>
        <v>162542.01999999999</v>
      </c>
      <c r="F8" s="4">
        <v>3.95</v>
      </c>
      <c r="G8" s="5">
        <f>184165.68-5353.49</f>
        <v>178812.19</v>
      </c>
      <c r="H8" s="4">
        <v>3.95</v>
      </c>
      <c r="I8" s="5">
        <f>191730.69-5667.18</f>
        <v>186063.51</v>
      </c>
      <c r="J8" s="9">
        <v>3.95</v>
      </c>
      <c r="K8" s="5">
        <f>198048.85-5824.65</f>
        <v>192224.2</v>
      </c>
      <c r="L8" s="9">
        <v>3.95</v>
      </c>
      <c r="M8" s="5">
        <f>199559-6011.88</f>
        <v>193547.12</v>
      </c>
      <c r="N8" s="24">
        <v>4</v>
      </c>
      <c r="O8" s="5">
        <f>201383.8-1775.32</f>
        <v>199608.47999999998</v>
      </c>
      <c r="P8" s="2">
        <v>4</v>
      </c>
      <c r="Q8" s="5">
        <f>174602.81-2163.23</f>
        <v>172439.58</v>
      </c>
      <c r="R8" s="2">
        <v>3</v>
      </c>
      <c r="S8" s="5">
        <f>153025.98-4070.34</f>
        <v>148955.64000000001</v>
      </c>
      <c r="T8" s="2">
        <v>3</v>
      </c>
      <c r="U8" s="5">
        <f>156824.06-8441.24</f>
        <v>148382.82</v>
      </c>
      <c r="V8" s="2">
        <v>3</v>
      </c>
      <c r="W8" s="5">
        <f>120774.14-11487.83</f>
        <v>109286.31</v>
      </c>
      <c r="X8" s="2">
        <v>2</v>
      </c>
      <c r="Y8" s="5">
        <f>114342.66+1890.14</f>
        <v>116232.8</v>
      </c>
      <c r="Z8" s="2">
        <v>2</v>
      </c>
      <c r="AA8" s="5">
        <f>114905.6*0.4</f>
        <v>45962.240000000005</v>
      </c>
    </row>
    <row r="9" spans="1:27" x14ac:dyDescent="0.3">
      <c r="A9" s="2" t="s">
        <v>23</v>
      </c>
      <c r="B9" s="2" t="s">
        <v>24</v>
      </c>
      <c r="C9" s="2" t="s">
        <v>149</v>
      </c>
      <c r="D9" s="2">
        <v>1</v>
      </c>
      <c r="E9" s="5">
        <f>39917.17</f>
        <v>39917.17</v>
      </c>
      <c r="F9" s="4">
        <v>1</v>
      </c>
      <c r="G9" s="5">
        <f>40984.75-0</f>
        <v>40984.75</v>
      </c>
      <c r="H9" s="4">
        <v>1</v>
      </c>
      <c r="I9" s="5">
        <f>31107.62</f>
        <v>31107.62</v>
      </c>
      <c r="J9" s="17">
        <v>1</v>
      </c>
      <c r="K9">
        <f>40559.58-886.63</f>
        <v>39672.950000000004</v>
      </c>
      <c r="L9" s="15"/>
      <c r="M9" s="14"/>
      <c r="N9" s="13"/>
      <c r="O9" s="14"/>
      <c r="P9" s="13"/>
      <c r="Q9" s="14"/>
      <c r="R9" s="13"/>
      <c r="S9" s="14"/>
      <c r="T9" s="13"/>
      <c r="U9" s="14"/>
      <c r="V9" s="27"/>
      <c r="W9" s="27"/>
      <c r="X9" s="13"/>
      <c r="Y9" s="14"/>
      <c r="Z9" s="13"/>
      <c r="AA9" s="14"/>
    </row>
    <row r="10" spans="1:27" x14ac:dyDescent="0.3">
      <c r="A10" s="2" t="s">
        <v>270</v>
      </c>
      <c r="B10" s="2" t="s">
        <v>24</v>
      </c>
      <c r="C10" s="2" t="s">
        <v>149</v>
      </c>
      <c r="D10" s="13"/>
      <c r="E10" s="14"/>
      <c r="F10" s="15"/>
      <c r="G10" s="14"/>
      <c r="H10" s="4">
        <v>1</v>
      </c>
      <c r="I10" s="5">
        <v>30220.99</v>
      </c>
      <c r="J10" s="17">
        <v>1</v>
      </c>
      <c r="K10">
        <v>40517.06</v>
      </c>
      <c r="L10" s="4">
        <v>1</v>
      </c>
      <c r="M10" s="5">
        <f>8831.52-42.52</f>
        <v>8789</v>
      </c>
      <c r="N10" s="13"/>
      <c r="O10" s="14"/>
      <c r="P10" s="13"/>
      <c r="Q10" s="14"/>
      <c r="R10" s="13"/>
      <c r="S10" s="14"/>
      <c r="T10" s="13"/>
      <c r="U10" s="14"/>
      <c r="V10" s="27"/>
      <c r="W10" s="27"/>
      <c r="X10" s="13"/>
      <c r="Y10" s="14"/>
      <c r="Z10" s="13"/>
      <c r="AA10" s="14"/>
    </row>
    <row r="11" spans="1:27" ht="72" x14ac:dyDescent="0.3">
      <c r="A11" s="2" t="s">
        <v>25</v>
      </c>
      <c r="B11" s="3" t="s">
        <v>288</v>
      </c>
      <c r="C11" s="3" t="s">
        <v>271</v>
      </c>
      <c r="D11" s="2">
        <v>3.66</v>
      </c>
      <c r="E11" s="5">
        <v>127161.44</v>
      </c>
      <c r="F11" s="4">
        <v>3.66</v>
      </c>
      <c r="G11" s="5">
        <f>131395.14-2830.99</f>
        <v>128564.15000000001</v>
      </c>
      <c r="H11" s="4">
        <v>3.66</v>
      </c>
      <c r="I11" s="5">
        <f>133383.55-2624.21</f>
        <v>130759.33999999998</v>
      </c>
      <c r="J11" s="4">
        <v>3.29</v>
      </c>
      <c r="K11" s="5">
        <f>110200.8-3539.73</f>
        <v>106661.07</v>
      </c>
      <c r="L11" s="4">
        <v>2.46</v>
      </c>
      <c r="M11" s="5">
        <f>97207.94-1803.75</f>
        <v>95404.19</v>
      </c>
      <c r="N11" s="2">
        <v>2.46</v>
      </c>
      <c r="O11" s="5">
        <f>97760.15-7210.86</f>
        <v>90549.29</v>
      </c>
      <c r="P11" s="13"/>
      <c r="Q11" s="14"/>
      <c r="R11" s="13"/>
      <c r="S11" s="14"/>
      <c r="T11" s="13"/>
      <c r="U11" s="14"/>
      <c r="V11" s="27"/>
      <c r="W11" s="27"/>
      <c r="X11" s="13"/>
      <c r="Y11" s="14"/>
      <c r="Z11" s="13"/>
      <c r="AA11" s="14"/>
    </row>
    <row r="12" spans="1:27" ht="43.2" x14ac:dyDescent="0.3">
      <c r="A12" s="2" t="s">
        <v>26</v>
      </c>
      <c r="B12" s="2" t="s">
        <v>63</v>
      </c>
      <c r="C12" s="3" t="s">
        <v>283</v>
      </c>
      <c r="D12" s="2">
        <v>1.88</v>
      </c>
      <c r="E12" s="5">
        <v>78739.5</v>
      </c>
      <c r="F12" s="4">
        <v>2</v>
      </c>
      <c r="G12" s="5">
        <f>88425.54-2704.48</f>
        <v>85721.06</v>
      </c>
      <c r="H12" s="4">
        <v>2</v>
      </c>
      <c r="I12" s="5">
        <f>92055.7-4068.83</f>
        <v>87986.87</v>
      </c>
      <c r="J12" s="4">
        <v>2</v>
      </c>
      <c r="K12" s="5">
        <f>95658.68-3547.84</f>
        <v>92110.84</v>
      </c>
      <c r="L12" s="4">
        <v>2</v>
      </c>
      <c r="M12" s="5">
        <f>92631.21-6055.81</f>
        <v>86575.400000000009</v>
      </c>
      <c r="N12" s="2">
        <v>2</v>
      </c>
      <c r="O12" s="5">
        <f>92853.61-739.37</f>
        <v>92114.240000000005</v>
      </c>
      <c r="P12" s="2">
        <v>2</v>
      </c>
      <c r="Q12" s="5">
        <f>91675.37-1091.83</f>
        <v>90583.54</v>
      </c>
      <c r="R12" s="2">
        <v>1.87</v>
      </c>
      <c r="S12" s="5">
        <f>76163.01+11394.24</f>
        <v>87557.25</v>
      </c>
      <c r="T12" s="2">
        <v>1.5</v>
      </c>
      <c r="U12" s="5">
        <f>69601.02-1601.81</f>
        <v>67999.210000000006</v>
      </c>
      <c r="V12" s="2">
        <v>1.5</v>
      </c>
      <c r="W12" s="5">
        <f>70875.05-1547.97</f>
        <v>69327.08</v>
      </c>
      <c r="X12" s="2">
        <v>1.5</v>
      </c>
      <c r="Y12" s="5">
        <f>67286.96-2000.17</f>
        <v>65286.790000000008</v>
      </c>
      <c r="Z12" s="2">
        <v>1.5</v>
      </c>
      <c r="AA12" s="5">
        <f>66700.05*0.4</f>
        <v>26680.020000000004</v>
      </c>
    </row>
    <row r="13" spans="1:27" x14ac:dyDescent="0.3">
      <c r="A13" s="2" t="s">
        <v>27</v>
      </c>
      <c r="B13" s="2" t="s">
        <v>28</v>
      </c>
      <c r="C13" s="3" t="s">
        <v>150</v>
      </c>
      <c r="D13" s="2">
        <v>1</v>
      </c>
      <c r="E13" s="5">
        <v>29156.31</v>
      </c>
      <c r="F13" s="4">
        <v>1</v>
      </c>
      <c r="G13" s="5">
        <f>29936.08-654</f>
        <v>29282.080000000002</v>
      </c>
      <c r="H13" s="4">
        <v>1</v>
      </c>
      <c r="I13" s="5">
        <f>15292.7-624.39</f>
        <v>14668.310000000001</v>
      </c>
      <c r="J13" s="15"/>
      <c r="K13" s="14"/>
      <c r="L13" s="15"/>
      <c r="M13" s="14"/>
      <c r="N13" s="13"/>
      <c r="O13" s="14"/>
      <c r="P13" s="13"/>
      <c r="Q13" s="14"/>
      <c r="R13" s="13"/>
      <c r="S13" s="14"/>
      <c r="T13" s="13"/>
      <c r="U13" s="14"/>
      <c r="V13" s="13"/>
      <c r="W13" s="14"/>
      <c r="X13" s="13"/>
      <c r="Y13" s="14"/>
      <c r="Z13" s="13"/>
      <c r="AA13" s="14"/>
    </row>
    <row r="14" spans="1:27" x14ac:dyDescent="0.3">
      <c r="A14" s="2" t="s">
        <v>29</v>
      </c>
      <c r="B14" s="2" t="s">
        <v>30</v>
      </c>
      <c r="C14" s="3" t="s">
        <v>176</v>
      </c>
      <c r="D14" s="2">
        <v>1</v>
      </c>
      <c r="E14" s="5">
        <f>31716.49-6474.19</f>
        <v>25242.300000000003</v>
      </c>
      <c r="F14" s="4">
        <v>1</v>
      </c>
      <c r="G14" s="5">
        <f>32564.73-2647.78</f>
        <v>29916.95</v>
      </c>
      <c r="H14" s="4">
        <v>1</v>
      </c>
      <c r="I14" s="5">
        <f>4056.95-2131.42</f>
        <v>1925.5299999999997</v>
      </c>
      <c r="J14" s="15"/>
      <c r="K14" s="14"/>
      <c r="L14" s="15"/>
      <c r="M14" s="14"/>
      <c r="N14" s="13"/>
      <c r="O14" s="14"/>
      <c r="P14" s="13"/>
      <c r="Q14" s="14"/>
      <c r="R14" s="13"/>
      <c r="S14" s="14"/>
      <c r="T14" s="13"/>
      <c r="U14" s="14"/>
      <c r="V14" s="13"/>
      <c r="W14" s="14"/>
      <c r="X14" s="13"/>
      <c r="Y14" s="14"/>
      <c r="Z14" s="13"/>
      <c r="AA14" s="14"/>
    </row>
    <row r="15" spans="1:27" x14ac:dyDescent="0.3">
      <c r="A15" s="2" t="s">
        <v>195</v>
      </c>
      <c r="B15" s="2" t="s">
        <v>196</v>
      </c>
      <c r="C15" s="3" t="s">
        <v>212</v>
      </c>
      <c r="D15" s="13"/>
      <c r="E15" s="14"/>
      <c r="F15" s="4">
        <v>1</v>
      </c>
      <c r="G15" s="5">
        <f>22233.04</f>
        <v>22233.040000000001</v>
      </c>
      <c r="H15" s="4">
        <v>1</v>
      </c>
      <c r="I15" s="5">
        <f>31723.29</f>
        <v>31723.29</v>
      </c>
      <c r="J15" s="4">
        <v>1</v>
      </c>
      <c r="K15" s="5">
        <f>34780.82-149.96</f>
        <v>34630.86</v>
      </c>
      <c r="L15" s="4">
        <v>1</v>
      </c>
      <c r="M15" s="5">
        <f>11593.61-1269.1</f>
        <v>10324.51</v>
      </c>
      <c r="N15" s="20"/>
      <c r="O15" s="14"/>
      <c r="P15" s="13"/>
      <c r="Q15" s="14"/>
      <c r="R15" s="13"/>
      <c r="S15" s="14"/>
      <c r="T15" s="13"/>
      <c r="U15" s="14"/>
      <c r="V15" s="13"/>
      <c r="W15" s="14"/>
      <c r="X15" s="13"/>
      <c r="Y15" s="14"/>
      <c r="Z15" s="13"/>
      <c r="AA15" s="14"/>
    </row>
    <row r="16" spans="1:27" x14ac:dyDescent="0.3">
      <c r="A16" s="2" t="s">
        <v>197</v>
      </c>
      <c r="B16" s="2" t="s">
        <v>198</v>
      </c>
      <c r="C16" s="3" t="s">
        <v>213</v>
      </c>
      <c r="D16" s="13"/>
      <c r="E16" s="14"/>
      <c r="F16" s="4">
        <v>1</v>
      </c>
      <c r="G16" s="5">
        <f>33572.71</f>
        <v>33572.71</v>
      </c>
      <c r="H16" s="4">
        <v>1</v>
      </c>
      <c r="I16" s="5">
        <f>34597.72-1877.3</f>
        <v>32720.420000000002</v>
      </c>
      <c r="J16" s="4">
        <v>1</v>
      </c>
      <c r="K16" s="5">
        <f>35403.53-0</f>
        <v>35403.53</v>
      </c>
      <c r="L16" s="22"/>
      <c r="M16" s="23"/>
      <c r="N16" s="13"/>
      <c r="O16" s="14"/>
      <c r="P16" s="13"/>
      <c r="Q16" s="14"/>
      <c r="R16" s="13"/>
      <c r="S16" s="14"/>
      <c r="T16" s="13"/>
      <c r="U16" s="14"/>
      <c r="V16" s="13"/>
      <c r="W16" s="14"/>
      <c r="X16" s="13"/>
      <c r="Y16" s="14"/>
      <c r="Z16" s="13"/>
      <c r="AA16" s="14"/>
    </row>
    <row r="17" spans="1:27" x14ac:dyDescent="0.3">
      <c r="A17" s="2" t="s">
        <v>31</v>
      </c>
      <c r="B17" s="2" t="s">
        <v>32</v>
      </c>
      <c r="C17" s="3" t="s">
        <v>172</v>
      </c>
      <c r="D17" s="2">
        <v>1.8</v>
      </c>
      <c r="E17" s="5">
        <f>45287.96-7858.94</f>
        <v>37429.019999999997</v>
      </c>
      <c r="F17" s="15"/>
      <c r="G17" s="14"/>
      <c r="H17" s="15"/>
      <c r="I17" s="14"/>
      <c r="J17" s="15"/>
      <c r="K17" s="14"/>
      <c r="L17" s="15"/>
      <c r="M17" s="14"/>
      <c r="N17" s="13"/>
      <c r="O17" s="14"/>
      <c r="P17" s="13"/>
      <c r="Q17" s="14"/>
      <c r="R17" s="13"/>
      <c r="S17" s="14"/>
      <c r="T17" s="13"/>
      <c r="U17" s="14"/>
      <c r="V17" s="13"/>
      <c r="W17" s="14"/>
      <c r="X17" s="13"/>
      <c r="Y17" s="14"/>
      <c r="Z17" s="13"/>
      <c r="AA17" s="14"/>
    </row>
    <row r="18" spans="1:27" x14ac:dyDescent="0.3">
      <c r="A18" s="2" t="s">
        <v>141</v>
      </c>
      <c r="B18" s="2" t="s">
        <v>32</v>
      </c>
      <c r="C18" s="3" t="s">
        <v>151</v>
      </c>
      <c r="D18" s="2"/>
      <c r="E18" s="5">
        <v>11889.71</v>
      </c>
      <c r="F18" s="4">
        <v>0.8</v>
      </c>
      <c r="G18" s="5">
        <f>24075.62-3685.64</f>
        <v>20389.98</v>
      </c>
      <c r="H18" s="4">
        <v>0.8</v>
      </c>
      <c r="I18" s="5">
        <f>16198.58+3663.31</f>
        <v>19861.89</v>
      </c>
      <c r="J18" s="4">
        <v>0.8</v>
      </c>
      <c r="K18" s="5">
        <f>11801.17-790.41</f>
        <v>11010.76</v>
      </c>
      <c r="L18" s="15"/>
      <c r="M18" s="14"/>
      <c r="N18" s="13"/>
      <c r="O18" s="14"/>
      <c r="P18" s="13"/>
      <c r="Q18" s="14"/>
      <c r="R18" s="13"/>
      <c r="S18" s="14"/>
      <c r="T18" s="13"/>
      <c r="U18" s="14"/>
      <c r="V18" s="13"/>
      <c r="W18" s="14"/>
      <c r="X18" s="13"/>
      <c r="Y18" s="14"/>
      <c r="Z18" s="13"/>
      <c r="AA18" s="14"/>
    </row>
    <row r="19" spans="1:27" x14ac:dyDescent="0.3">
      <c r="A19" s="2" t="s">
        <v>33</v>
      </c>
      <c r="B19" s="2" t="s">
        <v>34</v>
      </c>
      <c r="C19" s="2" t="s">
        <v>214</v>
      </c>
      <c r="D19" s="2">
        <v>1</v>
      </c>
      <c r="E19" s="5">
        <f>29351.28-2570.82</f>
        <v>26780.46</v>
      </c>
      <c r="F19" s="15"/>
      <c r="G19" s="14"/>
      <c r="H19" s="15"/>
      <c r="I19" s="14"/>
      <c r="J19" s="15"/>
      <c r="K19" s="14"/>
      <c r="L19" s="15"/>
      <c r="M19" s="14"/>
      <c r="N19" s="13"/>
      <c r="O19" s="14"/>
      <c r="P19" s="13"/>
      <c r="Q19" s="14"/>
      <c r="R19" s="13"/>
      <c r="S19" s="14"/>
      <c r="T19" s="13"/>
      <c r="U19" s="14"/>
      <c r="V19" s="13"/>
      <c r="W19" s="14"/>
      <c r="X19" s="13"/>
      <c r="Y19" s="14"/>
      <c r="Z19" s="13"/>
      <c r="AA19" s="14"/>
    </row>
    <row r="20" spans="1:27" x14ac:dyDescent="0.3">
      <c r="A20" s="2" t="s">
        <v>250</v>
      </c>
      <c r="B20" s="2" t="s">
        <v>251</v>
      </c>
      <c r="C20" s="2" t="s">
        <v>258</v>
      </c>
      <c r="D20" s="13"/>
      <c r="E20" s="14"/>
      <c r="F20" s="15"/>
      <c r="G20" s="14"/>
      <c r="H20" s="9">
        <v>1</v>
      </c>
      <c r="I20" s="10">
        <v>25241.84</v>
      </c>
      <c r="J20" s="9">
        <v>1</v>
      </c>
      <c r="K20" s="10">
        <f>5655.53-5677.61</f>
        <v>-22.079999999999927</v>
      </c>
      <c r="L20" s="15"/>
      <c r="M20" s="14"/>
      <c r="N20" s="13"/>
      <c r="O20" s="14"/>
      <c r="P20" s="13"/>
      <c r="Q20" s="14"/>
      <c r="R20" s="13"/>
      <c r="S20" s="14"/>
      <c r="T20" s="13"/>
      <c r="U20" s="14"/>
      <c r="V20" s="13"/>
      <c r="W20" s="14"/>
      <c r="X20" s="13"/>
      <c r="Y20" s="14"/>
      <c r="Z20" s="13"/>
      <c r="AA20" s="14"/>
    </row>
    <row r="21" spans="1:27" ht="28.8" x14ac:dyDescent="0.3">
      <c r="A21" s="2" t="s">
        <v>133</v>
      </c>
      <c r="B21" s="2" t="s">
        <v>34</v>
      </c>
      <c r="C21" s="3" t="s">
        <v>199</v>
      </c>
      <c r="D21" s="2">
        <v>1</v>
      </c>
      <c r="E21" s="5">
        <v>9331.82</v>
      </c>
      <c r="F21" s="4">
        <v>2</v>
      </c>
      <c r="G21" s="5">
        <f>12329.54+33752.08-3318.67</f>
        <v>42762.950000000004</v>
      </c>
      <c r="H21" s="4">
        <v>1</v>
      </c>
      <c r="I21" s="5">
        <f>30686.09-66.28</f>
        <v>30619.81</v>
      </c>
      <c r="J21" s="4">
        <v>1</v>
      </c>
      <c r="K21" s="5">
        <f>21457.27-1435.5</f>
        <v>20021.77</v>
      </c>
      <c r="L21" s="15"/>
      <c r="M21" s="14"/>
      <c r="N21" s="13"/>
      <c r="O21" s="14"/>
      <c r="P21" s="13"/>
      <c r="Q21" s="14"/>
      <c r="R21" s="13"/>
      <c r="S21" s="14"/>
      <c r="T21" s="13"/>
      <c r="U21" s="14"/>
      <c r="V21" s="13"/>
      <c r="W21" s="14"/>
      <c r="X21" s="13"/>
      <c r="Y21" s="14"/>
      <c r="Z21" s="13"/>
      <c r="AA21" s="14"/>
    </row>
    <row r="22" spans="1:27" x14ac:dyDescent="0.3">
      <c r="A22" s="2" t="s">
        <v>134</v>
      </c>
      <c r="B22" s="2" t="s">
        <v>34</v>
      </c>
      <c r="C22" s="2" t="s">
        <v>152</v>
      </c>
      <c r="D22" s="2">
        <v>1</v>
      </c>
      <c r="E22" s="5">
        <v>3521.64</v>
      </c>
      <c r="F22" s="4">
        <v>1</v>
      </c>
      <c r="G22" s="5">
        <f>33752.08</f>
        <v>33752.080000000002</v>
      </c>
      <c r="H22" s="4">
        <v>1</v>
      </c>
      <c r="I22" s="5">
        <f>34597.72</f>
        <v>34597.72</v>
      </c>
      <c r="J22" s="4">
        <v>1</v>
      </c>
      <c r="K22" s="5">
        <v>31666.49</v>
      </c>
      <c r="L22" s="15"/>
      <c r="M22" s="14"/>
      <c r="N22" s="13"/>
      <c r="O22" s="14"/>
      <c r="P22" s="13"/>
      <c r="Q22" s="14"/>
      <c r="R22" s="13"/>
      <c r="S22" s="14"/>
      <c r="T22" s="13"/>
      <c r="U22" s="14"/>
      <c r="V22" s="13"/>
      <c r="W22" s="14"/>
      <c r="X22" s="13"/>
      <c r="Y22" s="14"/>
      <c r="Z22" s="13"/>
      <c r="AA22" s="14"/>
    </row>
    <row r="23" spans="1:27" ht="43.2" x14ac:dyDescent="0.3">
      <c r="A23" s="2" t="s">
        <v>35</v>
      </c>
      <c r="B23" s="3" t="s">
        <v>45</v>
      </c>
      <c r="C23" s="3" t="s">
        <v>280</v>
      </c>
      <c r="D23" s="2">
        <v>1</v>
      </c>
      <c r="E23" s="5">
        <f>55476.58-5016.06</f>
        <v>50460.520000000004</v>
      </c>
      <c r="F23" s="4">
        <v>1</v>
      </c>
      <c r="G23" s="5">
        <f>56960.15-1750.09</f>
        <v>55210.060000000005</v>
      </c>
      <c r="H23" s="4">
        <v>1</v>
      </c>
      <c r="I23" s="5">
        <f>58387.27-1733.41</f>
        <v>56653.859999999993</v>
      </c>
      <c r="J23" s="4">
        <v>1</v>
      </c>
      <c r="K23" s="5">
        <f>59747.3-2105.84</f>
        <v>57641.460000000006</v>
      </c>
      <c r="L23">
        <v>1</v>
      </c>
      <c r="M23" s="5">
        <f>59747.3-1696.29</f>
        <v>58051.01</v>
      </c>
      <c r="N23" s="24">
        <v>1</v>
      </c>
      <c r="O23" s="10">
        <f>59747.3-819.32</f>
        <v>58927.98</v>
      </c>
      <c r="P23" s="24">
        <v>1</v>
      </c>
      <c r="Q23" s="10">
        <f>60345.56-2076.61</f>
        <v>58268.95</v>
      </c>
      <c r="R23" s="24">
        <v>1</v>
      </c>
      <c r="S23" s="5">
        <f>61553.91-500.44</f>
        <v>61053.47</v>
      </c>
      <c r="T23" s="2">
        <v>1</v>
      </c>
      <c r="U23" s="5">
        <f>20721.34+1436.64</f>
        <v>22157.98</v>
      </c>
      <c r="V23" s="13"/>
      <c r="W23" s="14"/>
      <c r="X23" s="13"/>
      <c r="Y23" s="14"/>
      <c r="Z23" s="13"/>
      <c r="AA23" s="14"/>
    </row>
    <row r="24" spans="1:27" x14ac:dyDescent="0.3">
      <c r="A24" s="2" t="s">
        <v>41</v>
      </c>
      <c r="B24" s="2" t="s">
        <v>36</v>
      </c>
      <c r="C24" s="2" t="s">
        <v>153</v>
      </c>
      <c r="D24" s="2">
        <v>0.82</v>
      </c>
      <c r="E24" s="5">
        <v>33517.47</v>
      </c>
      <c r="F24" s="4"/>
      <c r="G24" s="5">
        <f>20282.35-2395.79</f>
        <v>17886.559999999998</v>
      </c>
      <c r="H24" s="15"/>
      <c r="I24" s="14"/>
      <c r="J24" s="15"/>
      <c r="K24" s="14"/>
      <c r="L24" s="15"/>
      <c r="M24" s="14"/>
      <c r="N24" s="13"/>
      <c r="O24" s="14"/>
      <c r="P24" s="13"/>
      <c r="Q24" s="14"/>
      <c r="R24" s="13"/>
      <c r="S24" s="14"/>
      <c r="T24" s="13"/>
      <c r="U24" s="14"/>
      <c r="V24" s="13"/>
      <c r="W24" s="14"/>
      <c r="X24" s="13"/>
      <c r="Y24" s="14"/>
      <c r="Z24" s="13"/>
      <c r="AA24" s="14"/>
    </row>
    <row r="25" spans="1:27" ht="28.8" x14ac:dyDescent="0.3">
      <c r="A25" s="3" t="s">
        <v>40</v>
      </c>
      <c r="B25" s="2" t="s">
        <v>36</v>
      </c>
      <c r="C25" s="3" t="s">
        <v>154</v>
      </c>
      <c r="D25" s="2">
        <v>1</v>
      </c>
      <c r="E25" s="5">
        <f>26543.63+10128.03-7146.27</f>
        <v>29525.390000000003</v>
      </c>
      <c r="F25" s="4">
        <v>1</v>
      </c>
      <c r="G25" s="5">
        <f>40984.75</f>
        <v>40984.75</v>
      </c>
      <c r="H25" s="15"/>
      <c r="I25" s="14"/>
      <c r="J25" s="15"/>
      <c r="K25" s="14"/>
      <c r="L25" s="15"/>
      <c r="M25" s="14"/>
      <c r="N25" s="13"/>
      <c r="O25" s="14"/>
      <c r="P25" s="13"/>
      <c r="Q25" s="14"/>
      <c r="R25" s="13"/>
      <c r="S25" s="14"/>
      <c r="T25" s="13"/>
      <c r="U25" s="14"/>
      <c r="V25" s="13"/>
      <c r="W25" s="14"/>
      <c r="X25" s="13"/>
      <c r="Y25" s="14"/>
      <c r="Z25" s="13"/>
      <c r="AA25" s="14"/>
    </row>
    <row r="26" spans="1:27" x14ac:dyDescent="0.3">
      <c r="A26" s="3" t="s">
        <v>200</v>
      </c>
      <c r="B26" s="2" t="s">
        <v>36</v>
      </c>
      <c r="C26" s="3" t="s">
        <v>293</v>
      </c>
      <c r="D26" s="8"/>
      <c r="E26" s="6"/>
      <c r="F26" s="4">
        <v>0.8</v>
      </c>
      <c r="G26" s="5">
        <f>14447.68</f>
        <v>14447.68</v>
      </c>
      <c r="H26" s="15"/>
      <c r="I26" s="14"/>
      <c r="J26" s="15"/>
      <c r="K26" s="14"/>
      <c r="L26" s="15"/>
      <c r="M26" s="14"/>
      <c r="N26" s="13"/>
      <c r="O26" s="14"/>
      <c r="P26" s="13"/>
      <c r="Q26" s="14"/>
      <c r="R26" s="13"/>
      <c r="S26" s="14"/>
      <c r="T26" s="13"/>
      <c r="U26" s="14"/>
      <c r="V26" s="13"/>
      <c r="W26" s="14"/>
      <c r="X26" s="13"/>
      <c r="Y26" s="14"/>
      <c r="Z26" s="13"/>
      <c r="AA26" s="14"/>
    </row>
    <row r="27" spans="1:27" x14ac:dyDescent="0.3">
      <c r="A27" s="3" t="s">
        <v>135</v>
      </c>
      <c r="B27" s="2" t="s">
        <v>136</v>
      </c>
      <c r="C27" s="2" t="s">
        <v>150</v>
      </c>
      <c r="D27" s="2">
        <v>1</v>
      </c>
      <c r="E27" s="5">
        <v>12913.04</v>
      </c>
      <c r="F27" s="4">
        <v>1</v>
      </c>
      <c r="G27" s="5">
        <f>25632.94</f>
        <v>25632.94</v>
      </c>
      <c r="H27" s="4">
        <v>1</v>
      </c>
      <c r="I27" s="5">
        <f>29916.42-841.89</f>
        <v>29074.53</v>
      </c>
      <c r="J27" s="4">
        <v>1</v>
      </c>
      <c r="K27" s="5">
        <f>20673.4+1188.53</f>
        <v>21861.93</v>
      </c>
      <c r="L27" s="4"/>
      <c r="M27" s="14"/>
      <c r="N27" s="13"/>
      <c r="O27" s="14"/>
      <c r="P27" s="13"/>
      <c r="Q27" s="14"/>
      <c r="R27" s="13"/>
      <c r="S27" s="14"/>
      <c r="T27" s="13"/>
      <c r="U27" s="14"/>
      <c r="V27" s="13"/>
      <c r="W27" s="14"/>
      <c r="X27" s="13"/>
      <c r="Y27" s="14"/>
      <c r="Z27" s="13"/>
      <c r="AA27" s="14"/>
    </row>
    <row r="28" spans="1:27" x14ac:dyDescent="0.3">
      <c r="A28" s="3" t="s">
        <v>252</v>
      </c>
      <c r="B28" s="2" t="s">
        <v>4</v>
      </c>
      <c r="C28" s="2" t="s">
        <v>260</v>
      </c>
      <c r="D28" s="13"/>
      <c r="E28" s="14"/>
      <c r="F28" s="15"/>
      <c r="G28" s="14"/>
      <c r="H28" s="4">
        <v>1</v>
      </c>
      <c r="I28" s="5">
        <f>34030.85-1619.26</f>
        <v>32411.59</v>
      </c>
      <c r="J28" s="4">
        <v>1</v>
      </c>
      <c r="K28" s="5">
        <f>34510.46-1570.69</f>
        <v>32939.769999999997</v>
      </c>
      <c r="L28" s="4">
        <v>1</v>
      </c>
      <c r="M28" s="5">
        <f>19072.22-2285.62</f>
        <v>16786.600000000002</v>
      </c>
      <c r="N28" s="13"/>
      <c r="O28" s="14"/>
      <c r="P28" s="13"/>
      <c r="Q28" s="14"/>
      <c r="R28" s="13"/>
      <c r="S28" s="14"/>
      <c r="T28" s="13"/>
      <c r="U28" s="14"/>
      <c r="V28" s="13"/>
      <c r="W28" s="14"/>
      <c r="X28" s="13"/>
      <c r="Y28" s="14"/>
      <c r="Z28" s="13"/>
      <c r="AA28" s="14"/>
    </row>
    <row r="29" spans="1:27" ht="72" x14ac:dyDescent="0.3">
      <c r="A29" s="3" t="s">
        <v>43</v>
      </c>
      <c r="B29" s="3" t="s">
        <v>64</v>
      </c>
      <c r="C29" s="3" t="s">
        <v>291</v>
      </c>
      <c r="D29" s="2">
        <v>3</v>
      </c>
      <c r="E29" s="5">
        <f>173047.62-24767.52-10998.02</f>
        <v>137282.08000000002</v>
      </c>
      <c r="F29" s="4">
        <v>3</v>
      </c>
      <c r="G29" s="5">
        <f>164400.11-11044.05-11124.53</f>
        <v>142231.53</v>
      </c>
      <c r="H29" s="4">
        <v>3</v>
      </c>
      <c r="I29" s="5">
        <f>139930.9-7820.24</f>
        <v>132110.66</v>
      </c>
      <c r="J29" s="4">
        <v>2.5</v>
      </c>
      <c r="K29" s="5">
        <f>117956.61-4832.21</f>
        <v>113124.4</v>
      </c>
      <c r="L29" s="4">
        <v>2.5</v>
      </c>
      <c r="M29" s="5">
        <f>131449.26-2664.11</f>
        <v>128785.15000000001</v>
      </c>
      <c r="N29" s="2">
        <v>2.2000000000000002</v>
      </c>
      <c r="O29" s="5">
        <f>82724.9-12869.79</f>
        <v>69855.109999999986</v>
      </c>
      <c r="P29" s="2">
        <v>1.2</v>
      </c>
      <c r="Q29" s="5">
        <f>61914.22-7315.07</f>
        <v>54599.15</v>
      </c>
      <c r="R29" s="2">
        <v>0.5</v>
      </c>
      <c r="S29" s="5">
        <f>44831.3-1842.15</f>
        <v>42989.15</v>
      </c>
      <c r="T29" s="2">
        <v>0.5</v>
      </c>
      <c r="U29" s="5">
        <f>45502.13-1470.76</f>
        <v>44031.369999999995</v>
      </c>
      <c r="V29" s="2">
        <v>0.5</v>
      </c>
      <c r="W29" s="5">
        <f>46181.54-1485.39</f>
        <v>44696.15</v>
      </c>
      <c r="X29" s="2">
        <v>0.5</v>
      </c>
      <c r="Y29" s="5">
        <f>46873.78-1518.32</f>
        <v>45355.46</v>
      </c>
      <c r="Z29" s="13"/>
      <c r="AA29" s="14"/>
    </row>
    <row r="30" spans="1:27" ht="28.8" x14ac:dyDescent="0.3">
      <c r="A30" s="3" t="s">
        <v>42</v>
      </c>
      <c r="B30" s="3" t="s">
        <v>44</v>
      </c>
      <c r="C30" s="2" t="s">
        <v>294</v>
      </c>
      <c r="D30" s="2">
        <v>1</v>
      </c>
      <c r="E30" s="5">
        <v>24767.52</v>
      </c>
      <c r="F30" s="4">
        <v>1</v>
      </c>
      <c r="G30" s="5">
        <v>11044.05</v>
      </c>
      <c r="H30" s="15"/>
      <c r="I30" s="14"/>
      <c r="J30" s="15"/>
      <c r="K30" s="14"/>
      <c r="L30" s="15"/>
      <c r="M30" s="14"/>
      <c r="N30" s="13"/>
      <c r="O30" s="14"/>
      <c r="P30" s="13"/>
      <c r="Q30" s="14"/>
      <c r="R30" s="13"/>
      <c r="S30" s="14"/>
      <c r="T30" s="13"/>
      <c r="U30" s="14"/>
      <c r="V30" s="13"/>
      <c r="W30" s="14"/>
      <c r="X30" s="13"/>
      <c r="Y30" s="14"/>
      <c r="Z30" s="13"/>
      <c r="AA30" s="14"/>
    </row>
    <row r="31" spans="1:27" ht="28.8" x14ac:dyDescent="0.3">
      <c r="A31" s="2" t="s">
        <v>37</v>
      </c>
      <c r="B31" s="3" t="s">
        <v>65</v>
      </c>
      <c r="C31" s="3" t="s">
        <v>155</v>
      </c>
      <c r="D31" s="2">
        <v>1</v>
      </c>
      <c r="E31" s="5">
        <f>34149.94-3994.27</f>
        <v>30155.670000000002</v>
      </c>
      <c r="F31" s="4">
        <v>1</v>
      </c>
      <c r="G31" s="5">
        <f>33664.08-10175.57</f>
        <v>23488.510000000002</v>
      </c>
      <c r="H31" s="4">
        <v>1</v>
      </c>
      <c r="I31" s="5">
        <f>33707.84-4409.39</f>
        <v>29298.449999999997</v>
      </c>
      <c r="J31" s="4">
        <f>1</f>
        <v>1</v>
      </c>
      <c r="K31" s="5">
        <f>32958.35-4073.73</f>
        <v>28884.62</v>
      </c>
      <c r="L31" s="4">
        <v>1</v>
      </c>
      <c r="M31" s="5">
        <f>37682.93-5557.25</f>
        <v>32125.68</v>
      </c>
      <c r="N31" s="2">
        <v>1</v>
      </c>
      <c r="O31" s="5">
        <f>36570.22-6598.15</f>
        <v>29972.07</v>
      </c>
      <c r="P31" s="2">
        <v>1</v>
      </c>
      <c r="Q31" s="5">
        <f>38130.82-11823.22</f>
        <v>26307.599999999999</v>
      </c>
      <c r="R31" s="2">
        <v>1</v>
      </c>
      <c r="S31" s="5">
        <f>38621.52-4973.66</f>
        <v>33647.86</v>
      </c>
      <c r="T31" s="2">
        <v>1</v>
      </c>
      <c r="U31" s="5">
        <f>39590.89-4434.58</f>
        <v>35156.31</v>
      </c>
      <c r="V31" s="2">
        <v>1</v>
      </c>
      <c r="W31" s="5">
        <f>40468.67-5670.07</f>
        <v>34798.6</v>
      </c>
      <c r="X31" s="2">
        <v>1</v>
      </c>
      <c r="Y31" s="5">
        <f>29923.87-5319.02</f>
        <v>24604.85</v>
      </c>
      <c r="Z31" s="2">
        <v>1</v>
      </c>
      <c r="AA31" s="5">
        <f>38321.68*0.4</f>
        <v>15328.672</v>
      </c>
    </row>
    <row r="32" spans="1:27" x14ac:dyDescent="0.3">
      <c r="A32" s="2" t="s">
        <v>38</v>
      </c>
      <c r="B32" s="2" t="s">
        <v>39</v>
      </c>
      <c r="C32" s="2" t="s">
        <v>177</v>
      </c>
      <c r="D32" s="2">
        <v>0.5</v>
      </c>
      <c r="E32" s="5">
        <f>16436.45-2130.06</f>
        <v>14306.390000000001</v>
      </c>
      <c r="F32" s="4">
        <v>0.5</v>
      </c>
      <c r="G32" s="5">
        <f>13262.62-822.29</f>
        <v>12440.330000000002</v>
      </c>
      <c r="H32" s="4">
        <v>0.5</v>
      </c>
      <c r="I32" s="5">
        <f>7367.59-91.2</f>
        <v>7276.39</v>
      </c>
      <c r="J32" s="15"/>
      <c r="K32" s="14"/>
      <c r="L32" s="15"/>
      <c r="M32" s="14"/>
      <c r="N32" s="13"/>
      <c r="O32" s="14"/>
      <c r="P32" s="13"/>
      <c r="Q32" s="14"/>
      <c r="R32" s="13"/>
      <c r="S32" s="14"/>
      <c r="T32" s="13"/>
      <c r="U32" s="14"/>
      <c r="V32" s="13"/>
      <c r="W32" s="14"/>
      <c r="X32" s="13"/>
      <c r="Y32" s="14"/>
      <c r="Z32" s="13"/>
      <c r="AA32" s="14"/>
    </row>
    <row r="33" spans="1:27" x14ac:dyDescent="0.3">
      <c r="A33" s="3" t="s">
        <v>137</v>
      </c>
      <c r="B33" s="3" t="s">
        <v>138</v>
      </c>
      <c r="C33" s="3" t="s">
        <v>179</v>
      </c>
      <c r="D33" s="2">
        <v>1</v>
      </c>
      <c r="E33" s="5">
        <v>14793.63</v>
      </c>
      <c r="F33" s="4">
        <v>1</v>
      </c>
      <c r="G33" s="5">
        <f>38667.57-733.35</f>
        <v>37934.22</v>
      </c>
      <c r="H33" s="4">
        <v>1</v>
      </c>
      <c r="I33" s="5">
        <f>39636.37-168.97</f>
        <v>39467.4</v>
      </c>
      <c r="J33" s="4">
        <v>1</v>
      </c>
      <c r="K33" s="5">
        <f>24750.07</f>
        <v>24750.07</v>
      </c>
      <c r="L33" s="15"/>
      <c r="M33" s="14"/>
      <c r="N33" s="13"/>
      <c r="O33" s="14"/>
      <c r="P33" s="13"/>
      <c r="Q33" s="14"/>
      <c r="R33" s="13"/>
      <c r="S33" s="14"/>
      <c r="T33" s="13"/>
      <c r="U33" s="14"/>
      <c r="V33" s="13"/>
      <c r="W33" s="14"/>
      <c r="X33" s="13"/>
      <c r="Y33" s="14"/>
      <c r="Z33" s="13"/>
      <c r="AA33" s="14"/>
    </row>
    <row r="34" spans="1:27" ht="28.8" x14ac:dyDescent="0.3">
      <c r="A34" s="3" t="s">
        <v>48</v>
      </c>
      <c r="B34" s="3" t="s">
        <v>267</v>
      </c>
      <c r="C34" s="2" t="s">
        <v>281</v>
      </c>
      <c r="D34" s="2">
        <v>1</v>
      </c>
      <c r="E34" s="5">
        <v>35072.730000000003</v>
      </c>
      <c r="F34" s="4">
        <v>1</v>
      </c>
      <c r="G34" s="5">
        <f>35922.19-4640.87</f>
        <v>31281.320000000003</v>
      </c>
      <c r="H34" s="4">
        <v>1</v>
      </c>
      <c r="I34" s="5">
        <f>37171.5-1268.18</f>
        <v>35903.32</v>
      </c>
      <c r="J34" s="4">
        <v>1</v>
      </c>
      <c r="K34" s="5">
        <f>38089.65-1975.05</f>
        <v>36114.6</v>
      </c>
      <c r="L34" s="4">
        <v>1</v>
      </c>
      <c r="M34" s="5">
        <f>38795.82-1466.79</f>
        <v>37329.03</v>
      </c>
      <c r="N34" s="2">
        <v>1</v>
      </c>
      <c r="O34" s="5">
        <f>38809.78-2528.49</f>
        <v>36281.29</v>
      </c>
      <c r="P34" s="2">
        <v>1</v>
      </c>
      <c r="Q34" s="5">
        <f>38991.68-3723.3</f>
        <v>35268.379999999997</v>
      </c>
      <c r="R34" s="2">
        <v>1</v>
      </c>
      <c r="S34" s="5">
        <f>39478.72-4481.01</f>
        <v>34997.71</v>
      </c>
      <c r="T34" s="13"/>
      <c r="U34" s="14"/>
      <c r="V34" s="13"/>
      <c r="W34" s="14"/>
      <c r="X34" s="13"/>
      <c r="Y34" s="14"/>
      <c r="Z34" s="13"/>
      <c r="AA34" s="14"/>
    </row>
    <row r="35" spans="1:27" x14ac:dyDescent="0.3">
      <c r="A35" s="3" t="s">
        <v>49</v>
      </c>
      <c r="B35" s="3" t="s">
        <v>50</v>
      </c>
      <c r="C35" s="2" t="s">
        <v>178</v>
      </c>
      <c r="D35" s="2">
        <v>2</v>
      </c>
      <c r="E35" s="5">
        <f>74411.52-35072.73-6748.25</f>
        <v>32590.54</v>
      </c>
      <c r="F35" s="4">
        <v>1</v>
      </c>
      <c r="G35" s="5">
        <f>26507.01</f>
        <v>26507.01</v>
      </c>
      <c r="H35" s="4">
        <v>1</v>
      </c>
      <c r="I35" s="5">
        <v>13774.56</v>
      </c>
      <c r="J35" s="15"/>
      <c r="K35" s="14"/>
      <c r="L35" s="15"/>
      <c r="M35" s="14"/>
      <c r="N35" s="13"/>
      <c r="O35" s="14"/>
      <c r="P35" s="13"/>
      <c r="Q35" s="14"/>
      <c r="R35" s="13"/>
      <c r="S35" s="14"/>
      <c r="T35" s="13"/>
      <c r="U35" s="14"/>
      <c r="V35" s="13"/>
      <c r="W35" s="14"/>
      <c r="X35" s="13"/>
      <c r="Y35" s="14"/>
      <c r="Z35" s="13"/>
      <c r="AA35" s="14"/>
    </row>
    <row r="36" spans="1:27" ht="57.6" x14ac:dyDescent="0.3">
      <c r="A36" s="3" t="s">
        <v>46</v>
      </c>
      <c r="B36" s="3" t="s">
        <v>201</v>
      </c>
      <c r="C36" s="2" t="s">
        <v>156</v>
      </c>
      <c r="D36" s="2">
        <v>3.79</v>
      </c>
      <c r="E36" s="5">
        <f>128630.59-E37-13357.63</f>
        <v>89508.819999999992</v>
      </c>
      <c r="F36" s="15"/>
      <c r="G36" s="14"/>
      <c r="H36" s="15"/>
      <c r="I36" s="14"/>
      <c r="J36" s="15"/>
      <c r="K36" s="14"/>
      <c r="L36" s="15"/>
      <c r="M36" s="14"/>
      <c r="N36" s="13"/>
      <c r="O36" s="14"/>
      <c r="P36" s="13"/>
      <c r="Q36" s="14"/>
      <c r="R36" s="13"/>
      <c r="S36" s="14"/>
      <c r="T36" s="13"/>
      <c r="U36" s="14"/>
      <c r="V36" s="13"/>
      <c r="W36" s="14"/>
      <c r="X36" s="13"/>
      <c r="Y36" s="14"/>
      <c r="Z36" s="13"/>
      <c r="AA36" s="14"/>
    </row>
    <row r="37" spans="1:27" ht="43.2" x14ac:dyDescent="0.3">
      <c r="A37" s="3" t="s">
        <v>47</v>
      </c>
      <c r="B37" s="3" t="s">
        <v>202</v>
      </c>
      <c r="C37" s="2" t="s">
        <v>178</v>
      </c>
      <c r="D37" s="2">
        <v>1</v>
      </c>
      <c r="E37" s="5">
        <v>25764.14</v>
      </c>
      <c r="F37" s="15"/>
      <c r="G37" s="14"/>
      <c r="H37" s="15"/>
      <c r="I37" s="14"/>
      <c r="J37" s="15"/>
      <c r="K37" s="14"/>
      <c r="L37" s="15"/>
      <c r="M37" s="14"/>
      <c r="N37" s="13"/>
      <c r="O37" s="14"/>
      <c r="P37" s="13"/>
      <c r="Q37" s="14"/>
      <c r="R37" s="13"/>
      <c r="S37" s="14"/>
      <c r="T37" s="13"/>
      <c r="U37" s="14"/>
      <c r="V37" s="13"/>
      <c r="W37" s="14"/>
      <c r="X37" s="13"/>
      <c r="Y37" s="14"/>
      <c r="Z37" s="13"/>
      <c r="AA37" s="14"/>
    </row>
    <row r="38" spans="1:27" ht="43.2" x14ac:dyDescent="0.3">
      <c r="A38" s="3" t="s">
        <v>51</v>
      </c>
      <c r="B38" s="3" t="s">
        <v>66</v>
      </c>
      <c r="C38" s="3" t="s">
        <v>157</v>
      </c>
      <c r="D38" s="2">
        <v>3</v>
      </c>
      <c r="E38" s="5">
        <f>86231.18-4899.7</f>
        <v>81331.48</v>
      </c>
      <c r="F38" s="4">
        <v>2.4</v>
      </c>
      <c r="G38" s="5">
        <f>89909.49</f>
        <v>89909.49</v>
      </c>
      <c r="H38" s="4">
        <v>2.4</v>
      </c>
      <c r="I38" s="5">
        <f>94198.58-229.22</f>
        <v>93969.36</v>
      </c>
      <c r="J38" s="4">
        <v>2.4</v>
      </c>
      <c r="K38" s="5">
        <f>98046.78-253.66</f>
        <v>97793.12</v>
      </c>
      <c r="L38" s="4">
        <v>2.4</v>
      </c>
      <c r="M38" s="5">
        <f>100599.42-2882.65</f>
        <v>97716.77</v>
      </c>
      <c r="N38" s="2">
        <v>2.5</v>
      </c>
      <c r="O38" s="5">
        <f>107048.33+4413.68</f>
        <v>111462.01000000001</v>
      </c>
      <c r="P38" s="2">
        <v>2.5</v>
      </c>
      <c r="Q38" s="5">
        <f>110853.79-530.67</f>
        <v>110323.12</v>
      </c>
      <c r="R38" s="24">
        <v>2.5</v>
      </c>
      <c r="S38" s="10">
        <f>114421.51-1238.59</f>
        <v>113182.92</v>
      </c>
      <c r="T38" s="2">
        <v>2.5</v>
      </c>
      <c r="U38" s="5">
        <f>119430.26</f>
        <v>119430.26</v>
      </c>
      <c r="V38" s="2">
        <v>2.5</v>
      </c>
      <c r="W38" s="5">
        <f>122870.08-0</f>
        <v>122870.08</v>
      </c>
      <c r="X38" s="2">
        <v>2.5</v>
      </c>
      <c r="Y38" s="5">
        <f>99101.93-9386.79</f>
        <v>89715.139999999985</v>
      </c>
      <c r="Z38" s="2">
        <v>2.5</v>
      </c>
      <c r="AA38" s="5">
        <f>116615.65*0.4</f>
        <v>46646.26</v>
      </c>
    </row>
    <row r="39" spans="1:27" ht="43.2" x14ac:dyDescent="0.3">
      <c r="A39" s="3" t="s">
        <v>52</v>
      </c>
      <c r="B39" s="3" t="s">
        <v>67</v>
      </c>
      <c r="C39" s="3" t="s">
        <v>284</v>
      </c>
      <c r="D39" s="2">
        <v>3.79</v>
      </c>
      <c r="E39" s="5">
        <f>131256.5-7477.44</f>
        <v>123779.06</v>
      </c>
      <c r="F39" s="4">
        <v>3.79</v>
      </c>
      <c r="G39" s="5">
        <f>132712.35-12877.36</f>
        <v>119834.99</v>
      </c>
      <c r="H39" s="4">
        <v>3.79</v>
      </c>
      <c r="I39" s="5">
        <f>131601.81-6606.3</f>
        <v>124995.51</v>
      </c>
      <c r="J39" s="4">
        <v>2.79</v>
      </c>
      <c r="K39" s="5">
        <f>111377.01-2702.7</f>
        <v>108674.31</v>
      </c>
      <c r="L39" s="4">
        <v>2.79</v>
      </c>
      <c r="M39" s="5">
        <f>103904.17-8832.51</f>
        <v>95071.66</v>
      </c>
      <c r="N39" s="24">
        <v>2.76</v>
      </c>
      <c r="O39" s="5">
        <f>39147.51+5053.82+27119.44+21622.16+3813.09-475.06</f>
        <v>96280.960000000006</v>
      </c>
      <c r="P39" s="24">
        <v>2.8</v>
      </c>
      <c r="Q39" s="5">
        <f>103959.79-1136.02</f>
        <v>102823.76999999999</v>
      </c>
      <c r="R39" s="24">
        <v>2.8</v>
      </c>
      <c r="S39" s="10">
        <f>114421.51-1238.59</f>
        <v>113182.92</v>
      </c>
      <c r="T39" s="2">
        <v>2.8</v>
      </c>
      <c r="U39" s="5">
        <f>80390.19-1888.9</f>
        <v>78501.290000000008</v>
      </c>
      <c r="V39" s="2">
        <v>1.8</v>
      </c>
      <c r="W39" s="5">
        <f>68614.04-2924.69</f>
        <v>65689.349999999991</v>
      </c>
      <c r="X39" s="2">
        <v>1.8</v>
      </c>
      <c r="Y39" s="5">
        <f>65668.93-2499.44</f>
        <v>63169.489999999991</v>
      </c>
      <c r="Z39" s="2">
        <v>1.95</v>
      </c>
      <c r="AA39" s="5">
        <f>75157.29*0.4</f>
        <v>30062.915999999997</v>
      </c>
    </row>
    <row r="40" spans="1:27" ht="28.8" x14ac:dyDescent="0.3">
      <c r="A40" s="3" t="s">
        <v>53</v>
      </c>
      <c r="B40" s="3" t="s">
        <v>68</v>
      </c>
      <c r="C40" s="3" t="s">
        <v>158</v>
      </c>
      <c r="D40" s="2">
        <v>1.5</v>
      </c>
      <c r="E40" s="5">
        <f>48714.5-1876.32</f>
        <v>46838.18</v>
      </c>
      <c r="F40" s="4">
        <v>1.5</v>
      </c>
      <c r="G40" s="5">
        <f>49605.73-96.71</f>
        <v>49509.020000000004</v>
      </c>
      <c r="H40" s="4">
        <v>1.5</v>
      </c>
      <c r="I40" s="5">
        <f>51453.09-1360.35</f>
        <v>50092.74</v>
      </c>
      <c r="J40" s="4">
        <v>1.5</v>
      </c>
      <c r="K40" s="5">
        <f>52754.98-519.99</f>
        <v>52234.990000000005</v>
      </c>
      <c r="L40" s="4">
        <v>1.5</v>
      </c>
      <c r="M40" s="5">
        <f>53979.95-333.65</f>
        <v>53646.299999999996</v>
      </c>
      <c r="N40" s="2">
        <v>1.5</v>
      </c>
      <c r="O40" s="5">
        <f>19479.09+18899.06+10321.21-3801.64</f>
        <v>44897.72</v>
      </c>
      <c r="P40" s="2">
        <v>1.5</v>
      </c>
      <c r="Q40" s="5">
        <f>53235.9-4210.68</f>
        <v>49025.22</v>
      </c>
      <c r="R40" s="2">
        <v>1.5</v>
      </c>
      <c r="S40" s="5">
        <f>54029.85-2665.64</f>
        <v>51364.21</v>
      </c>
      <c r="T40" s="2">
        <v>1.5</v>
      </c>
      <c r="U40" s="5">
        <f>55245.68-1720.11</f>
        <v>53525.57</v>
      </c>
      <c r="V40" s="2">
        <v>1.5</v>
      </c>
      <c r="W40" s="5">
        <f>56408.16-1285.91</f>
        <v>55122.25</v>
      </c>
      <c r="X40" s="2">
        <v>1.46</v>
      </c>
      <c r="Y40" s="5">
        <f>54856.14-1629.07</f>
        <v>53227.07</v>
      </c>
      <c r="Z40" s="2">
        <v>1.5</v>
      </c>
      <c r="AA40" s="5">
        <f>55372.05*0.4</f>
        <v>22148.820000000003</v>
      </c>
    </row>
    <row r="41" spans="1:27" ht="28.8" x14ac:dyDescent="0.3">
      <c r="A41" s="3" t="s">
        <v>54</v>
      </c>
      <c r="B41" s="3" t="s">
        <v>69</v>
      </c>
      <c r="C41" s="3" t="s">
        <v>277</v>
      </c>
      <c r="D41" s="2">
        <v>2</v>
      </c>
      <c r="E41" s="5">
        <f>86992.25-4969.75</f>
        <v>82022.5</v>
      </c>
      <c r="F41" s="4">
        <v>1.5</v>
      </c>
      <c r="G41" s="5">
        <f>82024.76-3325.22</f>
        <v>78699.539999999994</v>
      </c>
      <c r="H41" s="4">
        <v>1.5</v>
      </c>
      <c r="I41" s="5">
        <f>75657.3-2698.79</f>
        <v>72958.510000000009</v>
      </c>
      <c r="J41" s="4">
        <v>1</v>
      </c>
      <c r="K41" s="5">
        <f>63321.31-1391.44</f>
        <v>61929.869999999995</v>
      </c>
      <c r="L41" s="4">
        <v>1</v>
      </c>
      <c r="M41" s="5">
        <f>58832.01-6654.14</f>
        <v>52177.87</v>
      </c>
      <c r="N41" s="2">
        <v>1</v>
      </c>
      <c r="O41" s="5">
        <f>50300.44+11793.52-1641.07</f>
        <v>60452.890000000007</v>
      </c>
      <c r="P41" s="2">
        <v>1</v>
      </c>
      <c r="Q41" s="5">
        <f>12674.87-10748.88</f>
        <v>1925.9900000000016</v>
      </c>
      <c r="R41" s="13"/>
      <c r="S41" s="14"/>
      <c r="T41" s="13"/>
      <c r="U41" s="14"/>
      <c r="V41" s="13"/>
      <c r="W41" s="14"/>
      <c r="X41" s="13"/>
      <c r="Y41" s="14"/>
      <c r="Z41" s="13"/>
      <c r="AA41" s="14"/>
    </row>
    <row r="42" spans="1:27" ht="43.2" x14ac:dyDescent="0.3">
      <c r="A42" s="3" t="s">
        <v>55</v>
      </c>
      <c r="B42" s="3" t="s">
        <v>70</v>
      </c>
      <c r="C42" s="3" t="s">
        <v>276</v>
      </c>
      <c r="D42" s="2">
        <v>2.8</v>
      </c>
      <c r="E42" s="5">
        <f>59951.15+32592.13+40127.4-18343.04</f>
        <v>114327.63999999998</v>
      </c>
      <c r="F42" s="4">
        <v>2.82</v>
      </c>
      <c r="G42" s="5">
        <f>51627.87+11799.56+21125.85+42180.26-4152.04</f>
        <v>122581.50000000001</v>
      </c>
      <c r="H42" s="4">
        <v>2.8</v>
      </c>
      <c r="I42" s="5">
        <f>10476.07+52329.42+22309.29+28784.13+16251.23-6575.16</f>
        <v>123574.98</v>
      </c>
      <c r="J42" s="4">
        <v>2.8</v>
      </c>
      <c r="K42" s="5">
        <f>19625.55+55432.22+23049.16+49731.42-5844.78</f>
        <v>141993.57</v>
      </c>
      <c r="L42" s="4">
        <v>2.8</v>
      </c>
      <c r="M42" s="5">
        <f>16354.63+47538.1+19726.56+14922.55-27222.93</f>
        <v>71318.91</v>
      </c>
      <c r="N42" s="13"/>
      <c r="O42" s="14"/>
      <c r="P42" s="13"/>
      <c r="Q42" s="14"/>
      <c r="R42" s="13"/>
      <c r="S42" s="14"/>
      <c r="T42" s="13"/>
      <c r="U42" s="14"/>
      <c r="V42" s="13"/>
      <c r="W42" s="14"/>
      <c r="X42" s="13"/>
      <c r="Y42" s="14"/>
      <c r="Z42" s="13"/>
      <c r="AA42" s="14"/>
    </row>
    <row r="43" spans="1:27" ht="28.8" x14ac:dyDescent="0.3">
      <c r="A43" s="3" t="s">
        <v>56</v>
      </c>
      <c r="B43" s="3" t="s">
        <v>70</v>
      </c>
      <c r="C43" s="3" t="s">
        <v>159</v>
      </c>
      <c r="D43" s="2">
        <v>2.8</v>
      </c>
      <c r="E43" s="5">
        <f>65992.03+60132.11+34932.55-18343.04</f>
        <v>142713.65</v>
      </c>
      <c r="F43" s="4">
        <v>2.8</v>
      </c>
      <c r="G43" s="5">
        <f>11799.56+69997.6+31617.43+36722.48</f>
        <v>150137.07</v>
      </c>
      <c r="H43" s="4">
        <v>2.5299999999999998</v>
      </c>
      <c r="I43" s="5">
        <f>10476.07+71776.24+32801.92+25078.44</f>
        <v>140132.66999999998</v>
      </c>
      <c r="J43" s="9">
        <v>2</v>
      </c>
      <c r="K43" s="5">
        <f>19625.55+73448.1+34744.14+25041.04</f>
        <v>152858.83000000002</v>
      </c>
      <c r="L43" s="4">
        <v>2.5499999999999998</v>
      </c>
      <c r="M43" s="5">
        <f>16354.63+62452.56+25443.77+5887.66+14719.16</f>
        <v>124857.78000000001</v>
      </c>
      <c r="N43" s="24">
        <v>2.5</v>
      </c>
      <c r="O43" s="5">
        <f>19625.55+58778.87+26007.58+7850.21+19625.55</f>
        <v>131887.76</v>
      </c>
      <c r="P43" s="2">
        <v>2.5</v>
      </c>
      <c r="Q43" s="5">
        <f>133619.33+232.64</f>
        <v>133851.97</v>
      </c>
      <c r="R43" s="2">
        <v>2.5</v>
      </c>
      <c r="S43" s="5">
        <f>119518.3-0</f>
        <v>119518.3</v>
      </c>
      <c r="T43" s="2">
        <v>2.5</v>
      </c>
      <c r="U43" s="5">
        <f>122187.58-1817.43</f>
        <v>120370.15000000001</v>
      </c>
      <c r="V43" s="2">
        <v>2.5</v>
      </c>
      <c r="W43" s="5">
        <f>128288.19-3098.1</f>
        <v>125190.09</v>
      </c>
      <c r="X43" s="2">
        <v>2.5</v>
      </c>
      <c r="Y43" s="5">
        <f>133116.84-3863.94</f>
        <v>129252.9</v>
      </c>
      <c r="Z43" s="2">
        <v>1.5</v>
      </c>
      <c r="AA43" s="5">
        <f>139541.7*0.4</f>
        <v>55816.680000000008</v>
      </c>
    </row>
    <row r="44" spans="1:27" ht="28.8" x14ac:dyDescent="0.3">
      <c r="A44" s="3" t="s">
        <v>203</v>
      </c>
      <c r="B44" s="3" t="s">
        <v>216</v>
      </c>
      <c r="C44" s="3" t="s">
        <v>215</v>
      </c>
      <c r="D44" s="13"/>
      <c r="E44" s="14"/>
      <c r="F44" s="4">
        <v>1</v>
      </c>
      <c r="G44" s="10">
        <v>12104.92</v>
      </c>
      <c r="H44" s="4">
        <v>1</v>
      </c>
      <c r="I44" s="5">
        <f>34585.48-697.61</f>
        <v>33887.870000000003</v>
      </c>
      <c r="J44" s="4">
        <v>1</v>
      </c>
      <c r="K44" s="5">
        <f>32300.58-600.77</f>
        <v>31699.81</v>
      </c>
      <c r="L44" s="15"/>
      <c r="M44" s="14"/>
      <c r="N44" s="13"/>
      <c r="O44" s="14"/>
      <c r="P44" s="13"/>
      <c r="Q44" s="14"/>
      <c r="R44" s="13"/>
      <c r="S44" s="14"/>
      <c r="T44" s="13"/>
      <c r="U44" s="14"/>
      <c r="V44" s="13"/>
      <c r="W44" s="14"/>
      <c r="X44" s="13"/>
      <c r="Y44" s="14"/>
      <c r="Z44" s="13"/>
      <c r="AA44" s="14"/>
    </row>
    <row r="45" spans="1:27" ht="28.8" x14ac:dyDescent="0.3">
      <c r="A45" s="3" t="s">
        <v>204</v>
      </c>
      <c r="B45" s="3" t="s">
        <v>205</v>
      </c>
      <c r="C45" s="3" t="s">
        <v>217</v>
      </c>
      <c r="D45" s="13"/>
      <c r="E45" s="14"/>
      <c r="F45" s="4">
        <v>1</v>
      </c>
      <c r="G45" s="5">
        <v>31382.38</v>
      </c>
      <c r="H45" s="4">
        <v>1</v>
      </c>
      <c r="I45" s="5">
        <f>32168.57-1070.58</f>
        <v>31097.989999999998</v>
      </c>
      <c r="J45" s="4">
        <v>1</v>
      </c>
      <c r="K45" s="5">
        <f>29502.92+3494.42</f>
        <v>32997.339999999997</v>
      </c>
      <c r="L45" s="4"/>
      <c r="M45" s="5"/>
      <c r="N45" s="13"/>
      <c r="O45" s="14"/>
      <c r="P45" s="13"/>
      <c r="Q45" s="14"/>
      <c r="R45" s="13"/>
      <c r="S45" s="14"/>
      <c r="T45" s="13"/>
      <c r="U45" s="14"/>
      <c r="V45" s="13"/>
      <c r="W45" s="14"/>
      <c r="X45" s="13"/>
      <c r="Y45" s="14"/>
      <c r="Z45" s="13"/>
      <c r="AA45" s="14"/>
    </row>
    <row r="46" spans="1:27" x14ac:dyDescent="0.3">
      <c r="A46" s="3" t="s">
        <v>261</v>
      </c>
      <c r="B46" s="3" t="s">
        <v>253</v>
      </c>
      <c r="C46" s="3" t="s">
        <v>262</v>
      </c>
      <c r="D46" s="13"/>
      <c r="E46" s="14"/>
      <c r="F46" s="15"/>
      <c r="G46" s="14"/>
      <c r="H46" s="4">
        <v>1</v>
      </c>
      <c r="I46" s="5">
        <f>19423.59</f>
        <v>19423.59</v>
      </c>
      <c r="J46" s="4">
        <v>1</v>
      </c>
      <c r="K46" s="5">
        <f>40559.58-10465.78</f>
        <v>30093.800000000003</v>
      </c>
      <c r="L46" s="4">
        <v>1</v>
      </c>
      <c r="M46" s="5">
        <f>40559.58-7280.64</f>
        <v>33278.94</v>
      </c>
      <c r="N46" s="13"/>
      <c r="O46" s="14"/>
      <c r="P46" s="13"/>
      <c r="Q46" s="14"/>
      <c r="R46" s="13"/>
      <c r="S46" s="14"/>
      <c r="T46" s="13"/>
      <c r="U46" s="14"/>
      <c r="V46" s="13"/>
      <c r="W46" s="14"/>
      <c r="X46" s="13"/>
      <c r="Y46" s="14"/>
      <c r="Z46" s="13"/>
      <c r="AA46" s="14"/>
    </row>
    <row r="47" spans="1:27" x14ac:dyDescent="0.3">
      <c r="A47" s="3" t="s">
        <v>57</v>
      </c>
      <c r="B47" s="3" t="s">
        <v>58</v>
      </c>
      <c r="C47" s="3" t="s">
        <v>187</v>
      </c>
      <c r="D47" s="2">
        <v>1</v>
      </c>
      <c r="E47" s="5">
        <f>32861.4-2045.53</f>
        <v>30815.870000000003</v>
      </c>
      <c r="F47" s="9"/>
      <c r="G47" s="10">
        <f>18102.87-1261.39</f>
        <v>16841.48</v>
      </c>
      <c r="H47" s="15"/>
      <c r="I47" s="14"/>
      <c r="J47" s="15"/>
      <c r="K47" s="14"/>
      <c r="L47" s="15"/>
      <c r="M47" s="14"/>
      <c r="N47" s="13"/>
      <c r="O47" s="14"/>
      <c r="P47" s="13"/>
      <c r="Q47" s="14"/>
      <c r="R47" s="13"/>
      <c r="S47" s="14"/>
      <c r="T47" s="13"/>
      <c r="U47" s="14"/>
      <c r="V47" s="13"/>
      <c r="W47" s="14"/>
      <c r="X47" s="13"/>
      <c r="Y47" s="14"/>
      <c r="Z47" s="13"/>
      <c r="AA47" s="14"/>
    </row>
    <row r="48" spans="1:27" x14ac:dyDescent="0.3">
      <c r="A48" s="3" t="s">
        <v>206</v>
      </c>
      <c r="B48" s="3" t="s">
        <v>58</v>
      </c>
      <c r="C48" s="3" t="s">
        <v>218</v>
      </c>
      <c r="D48" s="8"/>
      <c r="E48" s="6"/>
      <c r="F48" s="9">
        <v>1</v>
      </c>
      <c r="G48" s="10">
        <v>15642.84</v>
      </c>
      <c r="H48" s="9">
        <v>1</v>
      </c>
      <c r="I48" s="10">
        <f>34597.72-587.42</f>
        <v>34010.300000000003</v>
      </c>
      <c r="J48" s="9">
        <v>1</v>
      </c>
      <c r="K48" s="10">
        <f>35403.53-901.46</f>
        <v>34502.07</v>
      </c>
      <c r="L48" s="9">
        <v>1</v>
      </c>
      <c r="M48" s="5">
        <f>19129.32</f>
        <v>19129.32</v>
      </c>
      <c r="N48" s="13"/>
      <c r="O48" s="14"/>
      <c r="P48" s="13"/>
      <c r="Q48" s="14"/>
      <c r="R48" s="13"/>
      <c r="S48" s="14"/>
      <c r="T48" s="13"/>
      <c r="U48" s="14"/>
      <c r="V48" s="13"/>
      <c r="W48" s="14"/>
      <c r="X48" s="13"/>
      <c r="Y48" s="14"/>
      <c r="Z48" s="13"/>
      <c r="AA48" s="14"/>
    </row>
    <row r="49" spans="1:27" ht="28.8" x14ac:dyDescent="0.3">
      <c r="A49" s="3" t="s">
        <v>145</v>
      </c>
      <c r="B49" s="3" t="s">
        <v>146</v>
      </c>
      <c r="C49" s="3" t="s">
        <v>192</v>
      </c>
      <c r="D49" s="2">
        <v>6</v>
      </c>
      <c r="E49" s="5">
        <f>193980.98-7317.18</f>
        <v>186663.80000000002</v>
      </c>
      <c r="F49" s="15"/>
      <c r="G49" s="14"/>
      <c r="H49" s="15"/>
      <c r="I49" s="14"/>
      <c r="J49" s="15"/>
      <c r="K49" s="14"/>
      <c r="L49" s="15"/>
      <c r="M49" s="5"/>
      <c r="N49" s="13"/>
      <c r="O49" s="14"/>
      <c r="P49" s="13"/>
      <c r="Q49" s="14"/>
      <c r="R49" s="13"/>
      <c r="S49" s="14"/>
      <c r="T49" s="13"/>
      <c r="U49" s="14"/>
      <c r="V49" s="13"/>
      <c r="W49" s="14"/>
      <c r="X49" s="13"/>
      <c r="Y49" s="14"/>
      <c r="Z49" s="13"/>
      <c r="AA49" s="14"/>
    </row>
    <row r="50" spans="1:27" ht="28.8" x14ac:dyDescent="0.3">
      <c r="A50" s="3" t="s">
        <v>59</v>
      </c>
      <c r="B50" s="3" t="s">
        <v>71</v>
      </c>
      <c r="C50" s="3" t="s">
        <v>289</v>
      </c>
      <c r="D50" s="2">
        <v>1.79</v>
      </c>
      <c r="E50" s="5">
        <f>59682.18-3271.85</f>
        <v>56410.33</v>
      </c>
      <c r="F50" s="4">
        <v>2</v>
      </c>
      <c r="G50" s="5">
        <f>68564.12-2634.99</f>
        <v>65929.12999999999</v>
      </c>
      <c r="H50" s="4">
        <v>2</v>
      </c>
      <c r="I50" s="5">
        <f>72430.21-2483.38</f>
        <v>69946.83</v>
      </c>
      <c r="J50" s="4">
        <v>2</v>
      </c>
      <c r="K50" s="5">
        <f>75383.78-3692.16</f>
        <v>71691.62</v>
      </c>
      <c r="L50" s="4">
        <v>2</v>
      </c>
      <c r="M50" s="5">
        <f>40421.15+35779.4</f>
        <v>76200.55</v>
      </c>
      <c r="N50" s="2">
        <v>2</v>
      </c>
      <c r="O50" s="5">
        <f>40764.26+35792.14-11.41</f>
        <v>76544.989999999991</v>
      </c>
      <c r="P50" s="2">
        <v>2</v>
      </c>
      <c r="Q50" s="5">
        <f>76926.66-587.02</f>
        <v>76339.64</v>
      </c>
      <c r="R50" s="2">
        <v>2</v>
      </c>
      <c r="S50" s="5">
        <f>77899.89-1119.44</f>
        <v>76780.45</v>
      </c>
      <c r="T50" s="2">
        <v>2</v>
      </c>
      <c r="U50" s="5">
        <f>79599.86-1035.29</f>
        <v>78564.570000000007</v>
      </c>
      <c r="V50" s="2">
        <v>2</v>
      </c>
      <c r="W50" s="5">
        <f>75394.22-372.09</f>
        <v>75022.13</v>
      </c>
      <c r="X50" s="2">
        <v>1</v>
      </c>
      <c r="Y50" s="5">
        <f>37554.05-2617.43</f>
        <v>34936.620000000003</v>
      </c>
      <c r="Z50" s="2">
        <v>1</v>
      </c>
      <c r="AA50" s="5">
        <f>44929.37*0.4</f>
        <v>17971.748000000003</v>
      </c>
    </row>
    <row r="51" spans="1:27" x14ac:dyDescent="0.3">
      <c r="A51" s="3" t="s">
        <v>60</v>
      </c>
      <c r="B51" s="3" t="s">
        <v>61</v>
      </c>
      <c r="C51" s="3" t="s">
        <v>147</v>
      </c>
      <c r="D51" s="2">
        <v>1</v>
      </c>
      <c r="E51" s="5">
        <f>24650.35-1098.46</f>
        <v>23551.89</v>
      </c>
      <c r="F51" s="4">
        <v>1</v>
      </c>
      <c r="G51" s="5">
        <f>17305.41-810.88</f>
        <v>16494.53</v>
      </c>
      <c r="H51" s="15"/>
      <c r="I51" s="14"/>
      <c r="J51" s="15"/>
      <c r="K51" s="14"/>
      <c r="L51" s="15"/>
      <c r="M51" s="14"/>
      <c r="N51" s="13"/>
      <c r="O51" s="14"/>
      <c r="P51" s="13"/>
      <c r="Q51" s="14"/>
      <c r="R51" s="13"/>
      <c r="S51" s="14"/>
      <c r="T51" s="13"/>
      <c r="U51" s="14"/>
      <c r="V51" s="13"/>
      <c r="W51" s="14"/>
      <c r="X51" s="13"/>
      <c r="Y51" s="14"/>
      <c r="Z51" s="13"/>
      <c r="AA51" s="14"/>
    </row>
    <row r="52" spans="1:27" ht="43.2" x14ac:dyDescent="0.3">
      <c r="A52" s="3" t="s">
        <v>72</v>
      </c>
      <c r="B52" s="3" t="s">
        <v>73</v>
      </c>
      <c r="C52" s="3" t="s">
        <v>160</v>
      </c>
      <c r="D52" s="2">
        <v>1.5</v>
      </c>
      <c r="E52" s="5">
        <f>21652.9+2539.51</f>
        <v>24192.410000000003</v>
      </c>
      <c r="F52" s="15"/>
      <c r="G52" s="14"/>
      <c r="H52" s="15"/>
      <c r="I52" s="14"/>
      <c r="J52" s="15"/>
      <c r="K52" s="14"/>
      <c r="L52" s="15"/>
      <c r="M52" s="14"/>
      <c r="N52" s="13"/>
      <c r="O52" s="14"/>
      <c r="P52" s="13"/>
      <c r="Q52" s="14"/>
      <c r="R52" s="13"/>
      <c r="S52" s="14"/>
      <c r="T52" s="13"/>
      <c r="U52" s="14"/>
      <c r="V52" s="13"/>
      <c r="W52" s="14"/>
      <c r="X52" s="13"/>
      <c r="Y52" s="14"/>
      <c r="Z52" s="13"/>
      <c r="AA52" s="14"/>
    </row>
    <row r="53" spans="1:27" x14ac:dyDescent="0.3">
      <c r="A53" s="3" t="s">
        <v>139</v>
      </c>
      <c r="B53" s="3" t="s">
        <v>140</v>
      </c>
      <c r="C53" s="3" t="s">
        <v>182</v>
      </c>
      <c r="D53" s="2">
        <v>1</v>
      </c>
      <c r="E53" s="5">
        <v>24321.06</v>
      </c>
      <c r="F53" s="4">
        <v>1</v>
      </c>
      <c r="G53" s="5">
        <f>29936.08-8240.17</f>
        <v>21695.910000000003</v>
      </c>
      <c r="H53" s="4">
        <v>1</v>
      </c>
      <c r="I53" s="5">
        <f>30686.09-449.89</f>
        <v>30236.2</v>
      </c>
      <c r="J53" s="4">
        <v>1</v>
      </c>
      <c r="K53" s="5">
        <f>3644.74-406.02</f>
        <v>3238.72</v>
      </c>
      <c r="L53" s="4"/>
      <c r="M53" s="14"/>
      <c r="N53" s="13"/>
      <c r="O53" s="14"/>
      <c r="P53" s="13"/>
      <c r="Q53" s="14"/>
      <c r="R53" s="13"/>
      <c r="S53" s="14"/>
      <c r="T53" s="13"/>
      <c r="U53" s="14"/>
      <c r="V53" s="13"/>
      <c r="W53" s="14"/>
      <c r="X53" s="13"/>
      <c r="Y53" s="14"/>
      <c r="Z53" s="13"/>
      <c r="AA53" s="14"/>
    </row>
    <row r="54" spans="1:27" x14ac:dyDescent="0.3">
      <c r="A54" s="3" t="s">
        <v>208</v>
      </c>
      <c r="B54" s="3" t="s">
        <v>140</v>
      </c>
      <c r="C54" s="3" t="s">
        <v>295</v>
      </c>
      <c r="D54" s="8">
        <v>1</v>
      </c>
      <c r="E54" s="6">
        <v>12113.97</v>
      </c>
      <c r="F54" s="4">
        <v>1</v>
      </c>
      <c r="G54" s="5">
        <f>28588.05</f>
        <v>28588.05</v>
      </c>
      <c r="H54" s="4">
        <v>1</v>
      </c>
      <c r="I54" s="5">
        <v>31270.54</v>
      </c>
      <c r="J54" s="15"/>
      <c r="K54" s="14"/>
      <c r="L54" s="15"/>
      <c r="M54" s="14"/>
      <c r="N54" s="13"/>
      <c r="O54" s="14"/>
      <c r="P54" s="13"/>
      <c r="Q54" s="14"/>
      <c r="R54" s="13"/>
      <c r="S54" s="14"/>
      <c r="T54" s="13"/>
      <c r="U54" s="14"/>
      <c r="V54" s="13"/>
      <c r="W54" s="14"/>
      <c r="X54" s="13"/>
      <c r="Y54" s="14"/>
      <c r="Z54" s="13"/>
      <c r="AA54" s="14"/>
    </row>
    <row r="55" spans="1:27" ht="28.8" x14ac:dyDescent="0.3">
      <c r="A55" s="3" t="s">
        <v>142</v>
      </c>
      <c r="B55" s="3" t="s">
        <v>140</v>
      </c>
      <c r="C55" s="3" t="s">
        <v>188</v>
      </c>
      <c r="D55" s="2">
        <v>1</v>
      </c>
      <c r="E55" s="5">
        <v>23775.15</v>
      </c>
      <c r="F55" s="4">
        <v>1</v>
      </c>
      <c r="G55" s="5">
        <f>29936.08</f>
        <v>29936.080000000002</v>
      </c>
      <c r="H55" s="4">
        <v>1</v>
      </c>
      <c r="I55" s="5">
        <f>30686.09</f>
        <v>30686.09</v>
      </c>
      <c r="J55" s="4">
        <v>1</v>
      </c>
      <c r="K55" s="5">
        <f>5824.36</f>
        <v>5824.36</v>
      </c>
      <c r="L55" s="4"/>
      <c r="M55" s="14"/>
      <c r="N55" s="13"/>
      <c r="O55" s="14"/>
      <c r="P55" s="13"/>
      <c r="Q55" s="14"/>
      <c r="R55" s="13"/>
      <c r="S55" s="14"/>
      <c r="T55" s="13"/>
      <c r="U55" s="14"/>
      <c r="V55" s="13"/>
      <c r="W55" s="14"/>
      <c r="X55" s="13"/>
      <c r="Y55" s="14"/>
      <c r="Z55" s="13"/>
      <c r="AA55" s="14"/>
    </row>
    <row r="56" spans="1:27" ht="28.8" x14ac:dyDescent="0.3">
      <c r="A56" s="3" t="s">
        <v>143</v>
      </c>
      <c r="B56" s="3" t="s">
        <v>140</v>
      </c>
      <c r="C56" s="3" t="s">
        <v>189</v>
      </c>
      <c r="D56" s="2">
        <v>1</v>
      </c>
      <c r="E56" s="5">
        <v>24784.28</v>
      </c>
      <c r="F56" s="4">
        <v>1</v>
      </c>
      <c r="G56" s="5">
        <f>2039.01+10297.46+14069.21</f>
        <v>26405.68</v>
      </c>
      <c r="H56" s="4">
        <v>1</v>
      </c>
      <c r="I56" s="5">
        <f>10631.92+19677.1</f>
        <v>30309.019999999997</v>
      </c>
      <c r="J56" s="4">
        <v>0.8</v>
      </c>
      <c r="K56" s="5">
        <f>4266.53</f>
        <v>4266.53</v>
      </c>
      <c r="L56" s="4"/>
      <c r="M56" s="14"/>
      <c r="N56" s="13"/>
      <c r="O56" s="14"/>
      <c r="P56" s="13"/>
      <c r="Q56" s="14"/>
      <c r="R56" s="13"/>
      <c r="S56" s="14"/>
      <c r="T56" s="13"/>
      <c r="U56" s="14"/>
      <c r="V56" s="13"/>
      <c r="W56" s="14"/>
      <c r="X56" s="13"/>
      <c r="Y56" s="14"/>
      <c r="Z56" s="13"/>
      <c r="AA56" s="14"/>
    </row>
    <row r="57" spans="1:27" ht="28.8" x14ac:dyDescent="0.3">
      <c r="A57" s="3" t="s">
        <v>207</v>
      </c>
      <c r="B57" s="3" t="s">
        <v>140</v>
      </c>
      <c r="C57" s="3" t="s">
        <v>221</v>
      </c>
      <c r="D57" s="13"/>
      <c r="E57" s="14"/>
      <c r="F57" s="7">
        <v>0.8</v>
      </c>
      <c r="G57" s="5">
        <v>21477.03</v>
      </c>
      <c r="H57" s="4">
        <v>0.74</v>
      </c>
      <c r="I57" s="5">
        <f>22697.92</f>
        <v>22697.919999999998</v>
      </c>
      <c r="J57" s="4">
        <v>0.8</v>
      </c>
      <c r="K57" s="5">
        <v>27333.03</v>
      </c>
      <c r="L57" s="4">
        <v>0.8</v>
      </c>
      <c r="M57" s="5">
        <f>5862.52-1253.72</f>
        <v>4608.8</v>
      </c>
      <c r="N57" s="13"/>
      <c r="O57" s="14"/>
      <c r="P57" s="13"/>
      <c r="Q57" s="14"/>
      <c r="R57" s="13"/>
      <c r="S57" s="14"/>
      <c r="T57" s="13"/>
      <c r="U57" s="14"/>
      <c r="V57" s="13"/>
      <c r="W57" s="14"/>
      <c r="X57" s="13"/>
      <c r="Y57" s="14"/>
      <c r="Z57" s="13"/>
      <c r="AA57" s="14"/>
    </row>
    <row r="58" spans="1:27" ht="28.8" x14ac:dyDescent="0.3">
      <c r="A58" s="3" t="s">
        <v>209</v>
      </c>
      <c r="B58" s="3" t="s">
        <v>220</v>
      </c>
      <c r="C58" s="3" t="s">
        <v>285</v>
      </c>
      <c r="D58" s="2">
        <v>2</v>
      </c>
      <c r="E58" s="10">
        <f>30022.5+21978.55+26482.19-14029.45</f>
        <v>64453.790000000008</v>
      </c>
      <c r="F58" s="9">
        <v>2</v>
      </c>
      <c r="G58" s="5">
        <f>31073.11+16094.19+28262.15-10452.13</f>
        <v>64977.320000000014</v>
      </c>
      <c r="H58" s="4">
        <v>2.2999999999999998</v>
      </c>
      <c r="I58" s="5">
        <f>85767.48-6003.48</f>
        <v>79764</v>
      </c>
      <c r="J58" s="4">
        <v>2.4500000000000002</v>
      </c>
      <c r="K58" s="5">
        <f>98214.03-1988.61</f>
        <v>96225.42</v>
      </c>
      <c r="L58" s="4">
        <v>2.4</v>
      </c>
      <c r="M58" s="5">
        <f>98473.35-4309.91</f>
        <v>94163.44</v>
      </c>
      <c r="N58" s="2">
        <v>2.4</v>
      </c>
      <c r="O58" s="5">
        <f>16307.89+36762.78+32351.32+10239.85-3978.03</f>
        <v>91683.81</v>
      </c>
      <c r="P58" s="2">
        <v>2.4</v>
      </c>
      <c r="Q58" s="5">
        <f>101038.97-5081.95</f>
        <v>95957.02</v>
      </c>
      <c r="R58" s="2">
        <v>2.4</v>
      </c>
      <c r="S58" s="5">
        <f>89563.1-6757.59</f>
        <v>82805.510000000009</v>
      </c>
      <c r="T58" s="2">
        <v>1.4</v>
      </c>
      <c r="U58" s="5">
        <f>70725.62-5838.09</f>
        <v>64887.53</v>
      </c>
      <c r="V58" s="2">
        <v>1.4</v>
      </c>
      <c r="W58" s="5">
        <f>73214.13-1364.39</f>
        <v>71849.740000000005</v>
      </c>
      <c r="X58" s="2">
        <v>1.4</v>
      </c>
      <c r="Y58" s="5">
        <f>75770.34-1246.71</f>
        <v>74523.62999999999</v>
      </c>
      <c r="Z58" s="2">
        <v>1.4</v>
      </c>
      <c r="AA58" s="5">
        <f>77606.91*0.4</f>
        <v>31042.764000000003</v>
      </c>
    </row>
    <row r="59" spans="1:27" ht="28.8" x14ac:dyDescent="0.3">
      <c r="A59" s="3" t="s">
        <v>74</v>
      </c>
      <c r="B59" s="3" t="s">
        <v>75</v>
      </c>
      <c r="C59" s="2" t="s">
        <v>162</v>
      </c>
      <c r="D59" s="2">
        <v>0.92</v>
      </c>
      <c r="E59" s="5">
        <v>30136.55</v>
      </c>
      <c r="F59" s="4">
        <v>0.89</v>
      </c>
      <c r="G59" s="5">
        <f>27559.16</f>
        <v>27559.16</v>
      </c>
      <c r="H59" s="15"/>
      <c r="I59" s="14"/>
      <c r="J59" s="15"/>
      <c r="K59" s="14"/>
      <c r="L59" s="15"/>
      <c r="M59" s="14"/>
      <c r="N59" s="13"/>
      <c r="O59" s="14"/>
      <c r="P59" s="13"/>
      <c r="Q59" s="14"/>
      <c r="R59" s="13"/>
      <c r="S59" s="14"/>
      <c r="T59" s="13"/>
      <c r="U59" s="14"/>
      <c r="V59" s="13"/>
      <c r="W59" s="14"/>
      <c r="X59" s="13"/>
      <c r="Y59" s="14"/>
      <c r="Z59" s="13"/>
      <c r="AA59" s="14"/>
    </row>
    <row r="60" spans="1:27" ht="28.8" x14ac:dyDescent="0.3">
      <c r="A60" s="3" t="s">
        <v>210</v>
      </c>
      <c r="B60" s="3" t="s">
        <v>75</v>
      </c>
      <c r="C60" s="2" t="s">
        <v>219</v>
      </c>
      <c r="D60" s="13"/>
      <c r="E60" s="16"/>
      <c r="F60" s="4">
        <v>1</v>
      </c>
      <c r="G60" s="5">
        <v>29936.080000000002</v>
      </c>
      <c r="H60" s="15"/>
      <c r="I60" s="14"/>
      <c r="J60" s="15"/>
      <c r="K60" s="14"/>
      <c r="L60" s="15"/>
      <c r="M60" s="14"/>
      <c r="N60" s="13"/>
      <c r="O60" s="14"/>
      <c r="P60" s="13"/>
      <c r="Q60" s="14"/>
      <c r="R60" s="13"/>
      <c r="S60" s="14"/>
      <c r="T60" s="13"/>
      <c r="U60" s="14"/>
      <c r="V60" s="13"/>
      <c r="W60" s="14"/>
      <c r="X60" s="13"/>
      <c r="Y60" s="14"/>
      <c r="Z60" s="13"/>
      <c r="AA60" s="14"/>
    </row>
    <row r="61" spans="1:27" ht="72" x14ac:dyDescent="0.3">
      <c r="A61" s="3" t="s">
        <v>76</v>
      </c>
      <c r="B61" s="3" t="s">
        <v>272</v>
      </c>
      <c r="C61" s="3" t="s">
        <v>161</v>
      </c>
      <c r="D61" s="2">
        <v>1</v>
      </c>
      <c r="E61" s="5">
        <f>38047.44-3971.88</f>
        <v>34075.560000000005</v>
      </c>
      <c r="F61" s="4">
        <v>1</v>
      </c>
      <c r="G61" s="5">
        <f>40117.66-1025.06</f>
        <v>39092.600000000006</v>
      </c>
      <c r="H61" s="4">
        <v>1</v>
      </c>
      <c r="I61" s="5">
        <f>41483.59-1020.24</f>
        <v>40463.35</v>
      </c>
      <c r="J61" s="4">
        <v>1</v>
      </c>
      <c r="K61" s="5">
        <f>43557.08-944.53</f>
        <v>42612.55</v>
      </c>
      <c r="L61" s="15"/>
      <c r="M61" s="14"/>
      <c r="N61" s="13"/>
      <c r="O61" s="14"/>
      <c r="P61" s="13"/>
      <c r="Q61" s="14"/>
      <c r="R61" s="13"/>
      <c r="S61" s="14"/>
      <c r="T61" s="13"/>
      <c r="U61" s="14"/>
      <c r="V61" s="13"/>
      <c r="W61" s="14"/>
      <c r="X61" s="13"/>
      <c r="Y61" s="14"/>
      <c r="Z61" s="13"/>
      <c r="AA61" s="14"/>
    </row>
    <row r="62" spans="1:27" ht="28.8" x14ac:dyDescent="0.3">
      <c r="A62" s="3" t="s">
        <v>254</v>
      </c>
      <c r="B62" s="3" t="s">
        <v>255</v>
      </c>
      <c r="C62" s="3" t="s">
        <v>259</v>
      </c>
      <c r="D62" s="13"/>
      <c r="E62" s="14"/>
      <c r="F62" s="9">
        <v>1</v>
      </c>
      <c r="G62" s="10">
        <f>7710.07+29727.28</f>
        <v>37437.35</v>
      </c>
      <c r="H62" s="4">
        <v>1</v>
      </c>
      <c r="I62" s="5">
        <f>46267.91-6790.27</f>
        <v>39477.64</v>
      </c>
      <c r="J62" s="4">
        <v>1</v>
      </c>
      <c r="K62" s="5">
        <f>39035.31-5625.67</f>
        <v>33409.64</v>
      </c>
      <c r="L62" s="15"/>
      <c r="M62" s="14"/>
      <c r="N62" s="13"/>
      <c r="O62" s="14"/>
      <c r="P62" s="13"/>
      <c r="Q62" s="14"/>
      <c r="R62" s="13"/>
      <c r="S62" s="14"/>
      <c r="T62" s="13"/>
      <c r="U62" s="14"/>
      <c r="V62" s="13"/>
      <c r="W62" s="14"/>
      <c r="X62" s="13"/>
      <c r="Y62" s="14"/>
      <c r="Z62" s="13"/>
      <c r="AA62" s="14"/>
    </row>
    <row r="63" spans="1:27" ht="43.2" x14ac:dyDescent="0.3">
      <c r="A63" s="3" t="s">
        <v>77</v>
      </c>
      <c r="B63" s="3" t="s">
        <v>78</v>
      </c>
      <c r="C63" s="28" t="s">
        <v>286</v>
      </c>
      <c r="D63" s="24">
        <v>4</v>
      </c>
      <c r="E63" s="5">
        <f>155311.63-11425.16</f>
        <v>143886.47</v>
      </c>
      <c r="F63" s="9">
        <v>4</v>
      </c>
      <c r="G63" s="5">
        <f>169503.73-12297.98</f>
        <v>157205.75</v>
      </c>
      <c r="H63" s="4">
        <v>4</v>
      </c>
      <c r="I63" s="5">
        <f>134837.13-12833.36</f>
        <v>122003.77</v>
      </c>
      <c r="J63" s="4">
        <v>2</v>
      </c>
      <c r="K63" s="5">
        <f>102097.4-156.56</f>
        <v>101940.84</v>
      </c>
      <c r="L63" s="4">
        <v>2</v>
      </c>
      <c r="M63" s="5">
        <f>103547.11-2584.44</f>
        <v>100962.67</v>
      </c>
      <c r="N63" s="2">
        <v>2</v>
      </c>
      <c r="O63" s="5">
        <f>104030.34-566.25</f>
        <v>103464.09</v>
      </c>
      <c r="P63" s="2">
        <v>2</v>
      </c>
      <c r="Q63" s="5">
        <f>101193.16-843.25</f>
        <v>100349.91</v>
      </c>
      <c r="R63" s="2">
        <v>2</v>
      </c>
      <c r="S63" s="5">
        <f>109123.65-38.77</f>
        <v>109084.87999999999</v>
      </c>
      <c r="T63" s="2">
        <v>2</v>
      </c>
      <c r="U63" s="5">
        <f>112319.49-1584.98</f>
        <v>110734.51000000001</v>
      </c>
      <c r="V63" s="2">
        <v>2</v>
      </c>
      <c r="W63" s="5">
        <f>114506.91-1063.03</f>
        <v>113443.88</v>
      </c>
      <c r="X63" s="2">
        <v>2</v>
      </c>
      <c r="Y63" s="5">
        <f>99896.56-1197.76</f>
        <v>98698.8</v>
      </c>
      <c r="Z63" s="2">
        <v>2</v>
      </c>
      <c r="AA63" s="5">
        <f>118887.97*0.4</f>
        <v>47555.188000000002</v>
      </c>
    </row>
    <row r="64" spans="1:27" ht="86.4" x14ac:dyDescent="0.3">
      <c r="A64" s="3" t="s">
        <v>79</v>
      </c>
      <c r="B64" s="3" t="s">
        <v>80</v>
      </c>
      <c r="C64" s="3" t="s">
        <v>273</v>
      </c>
      <c r="D64" s="2">
        <v>4.5999999999999996</v>
      </c>
      <c r="E64" s="5">
        <f>288380.46-E65-E66-E67-18559.43</f>
        <v>173370.90000000002</v>
      </c>
      <c r="F64" s="4">
        <v>4.5999999999999996</v>
      </c>
      <c r="G64" s="5">
        <f>52205.77+12899.73+15505.57+23175.12+52667.25+5809.41+32317.11-10695.06</f>
        <v>183884.90000000002</v>
      </c>
      <c r="H64" s="4">
        <v>3</v>
      </c>
      <c r="I64" s="5">
        <f>55398.88+20216.98+55872.66+14175.15+28441.86-18957.58</f>
        <v>155147.95000000001</v>
      </c>
      <c r="J64" s="4">
        <v>3</v>
      </c>
      <c r="K64" s="5">
        <f>58619.65+21136.36+59102.92+14505.32-18821.34</f>
        <v>134542.91</v>
      </c>
      <c r="L64" s="4">
        <v>3</v>
      </c>
      <c r="M64" s="5">
        <f>155456.62-15269.14</f>
        <v>140187.47999999998</v>
      </c>
      <c r="N64" s="2">
        <v>3</v>
      </c>
      <c r="O64" s="5">
        <f>155905.09-13090.37</f>
        <v>142814.72</v>
      </c>
      <c r="P64" s="2">
        <v>3</v>
      </c>
      <c r="Q64" s="5">
        <f>158245.89+3039.79</f>
        <v>161285.68000000002</v>
      </c>
      <c r="R64" s="2">
        <v>3</v>
      </c>
      <c r="S64" s="5">
        <f>162206.63-6468.45</f>
        <v>155738.18</v>
      </c>
      <c r="T64" s="2">
        <v>3</v>
      </c>
      <c r="U64" s="5">
        <f>164965.38-5335.02</f>
        <v>159630.36000000002</v>
      </c>
      <c r="V64" s="2">
        <v>3</v>
      </c>
      <c r="W64" s="5">
        <f>167428.49-6348.24</f>
        <v>161080.25</v>
      </c>
      <c r="X64" s="2">
        <v>3</v>
      </c>
      <c r="Y64" s="5">
        <f>169938.3-7489.6</f>
        <v>162448.69999999998</v>
      </c>
      <c r="Z64" s="2">
        <v>3</v>
      </c>
      <c r="AA64" s="5">
        <f>168157.96*0.4</f>
        <v>67263.183999999994</v>
      </c>
    </row>
    <row r="65" spans="1:27" ht="28.8" x14ac:dyDescent="0.3">
      <c r="A65" s="3" t="s">
        <v>84</v>
      </c>
      <c r="B65" s="3" t="s">
        <v>81</v>
      </c>
      <c r="C65" s="3" t="s">
        <v>174</v>
      </c>
      <c r="D65" s="2">
        <v>1</v>
      </c>
      <c r="E65" s="5">
        <f>35733.15</f>
        <v>35733.15</v>
      </c>
      <c r="F65" s="15"/>
      <c r="G65" s="14"/>
      <c r="H65" s="15"/>
      <c r="I65" s="14"/>
      <c r="J65" s="15"/>
      <c r="K65" s="14"/>
      <c r="L65" s="15"/>
      <c r="M65" s="14"/>
      <c r="N65" s="13"/>
      <c r="O65" s="14"/>
      <c r="P65" s="13"/>
      <c r="Q65" s="14"/>
      <c r="R65" s="13"/>
      <c r="S65" s="14"/>
      <c r="T65" s="13"/>
      <c r="U65" s="14"/>
      <c r="V65" s="13"/>
      <c r="W65" s="14"/>
      <c r="X65" s="13"/>
      <c r="Y65" s="14"/>
      <c r="Z65" s="13"/>
      <c r="AA65" s="14"/>
    </row>
    <row r="66" spans="1:27" x14ac:dyDescent="0.3">
      <c r="A66" s="3" t="s">
        <v>82</v>
      </c>
      <c r="B66" s="3" t="s">
        <v>83</v>
      </c>
      <c r="C66" s="3" t="s">
        <v>173</v>
      </c>
      <c r="D66" s="2">
        <v>2</v>
      </c>
      <c r="E66" s="5">
        <f>14650.58+16354.79</f>
        <v>31005.370000000003</v>
      </c>
      <c r="F66" s="4">
        <v>1</v>
      </c>
      <c r="G66" s="5">
        <f>21048.97</f>
        <v>21048.97</v>
      </c>
      <c r="H66" s="15"/>
      <c r="I66" s="14"/>
      <c r="J66" s="15"/>
      <c r="K66" s="14"/>
      <c r="L66" s="15"/>
      <c r="M66" s="14"/>
      <c r="N66" s="13"/>
      <c r="O66" s="14"/>
      <c r="P66" s="13"/>
      <c r="Q66" s="14"/>
      <c r="R66" s="13"/>
      <c r="S66" s="14"/>
      <c r="T66" s="13"/>
      <c r="U66" s="14"/>
      <c r="V66" s="13"/>
      <c r="W66" s="14"/>
      <c r="X66" s="13"/>
      <c r="Y66" s="14"/>
      <c r="Z66" s="13"/>
      <c r="AA66" s="14"/>
    </row>
    <row r="67" spans="1:27" x14ac:dyDescent="0.3">
      <c r="A67" s="3" t="s">
        <v>190</v>
      </c>
      <c r="B67" s="3" t="s">
        <v>83</v>
      </c>
      <c r="C67" s="2" t="s">
        <v>191</v>
      </c>
      <c r="D67" s="2">
        <v>1</v>
      </c>
      <c r="E67" s="5">
        <f>29711.61</f>
        <v>29711.61</v>
      </c>
      <c r="F67" s="4">
        <v>1</v>
      </c>
      <c r="G67" s="5">
        <v>32317.11</v>
      </c>
      <c r="H67" s="4">
        <v>1</v>
      </c>
      <c r="I67" s="5">
        <f>14735.17</f>
        <v>14735.17</v>
      </c>
      <c r="J67" s="4"/>
      <c r="K67" s="5"/>
      <c r="L67" s="15"/>
      <c r="M67" s="14"/>
      <c r="N67" s="13"/>
      <c r="O67" s="14"/>
      <c r="P67" s="13"/>
      <c r="Q67" s="14"/>
      <c r="R67" s="13"/>
      <c r="S67" s="14"/>
      <c r="T67" s="13"/>
      <c r="U67" s="14"/>
      <c r="V67" s="13"/>
      <c r="W67" s="14"/>
      <c r="X67" s="13"/>
      <c r="Y67" s="14"/>
      <c r="Z67" s="13"/>
      <c r="AA67" s="14"/>
    </row>
    <row r="68" spans="1:27" ht="28.8" x14ac:dyDescent="0.3">
      <c r="A68" s="3" t="s">
        <v>183</v>
      </c>
      <c r="B68" s="3" t="s">
        <v>83</v>
      </c>
      <c r="C68" s="3" t="s">
        <v>222</v>
      </c>
      <c r="D68" s="2">
        <v>1</v>
      </c>
      <c r="E68" s="5">
        <v>21500.51</v>
      </c>
      <c r="F68" s="4">
        <v>1</v>
      </c>
      <c r="G68" s="5">
        <f>7964.87+21132.81</f>
        <v>29097.68</v>
      </c>
      <c r="H68" s="4">
        <v>1</v>
      </c>
      <c r="I68" s="5">
        <f>30686.09</f>
        <v>30686.09</v>
      </c>
      <c r="J68" s="4">
        <v>1</v>
      </c>
      <c r="K68" s="5">
        <f>8286.34</f>
        <v>8286.34</v>
      </c>
      <c r="L68" s="15"/>
      <c r="M68" s="14"/>
      <c r="N68" s="13"/>
      <c r="O68" s="14"/>
      <c r="P68" s="13"/>
      <c r="Q68" s="14"/>
      <c r="R68" s="13"/>
      <c r="S68" s="14"/>
      <c r="T68" s="13"/>
      <c r="U68" s="14"/>
      <c r="V68" s="13"/>
      <c r="W68" s="14"/>
      <c r="X68" s="13"/>
      <c r="Y68" s="14"/>
      <c r="Z68" s="13"/>
      <c r="AA68" s="14"/>
    </row>
    <row r="69" spans="1:27" ht="28.8" x14ac:dyDescent="0.3">
      <c r="A69" s="3" t="s">
        <v>223</v>
      </c>
      <c r="B69" s="3" t="s">
        <v>83</v>
      </c>
      <c r="C69" s="3" t="s">
        <v>222</v>
      </c>
      <c r="D69" s="12">
        <v>0.5</v>
      </c>
      <c r="E69" s="5">
        <v>2780.24</v>
      </c>
      <c r="F69" s="4">
        <v>1</v>
      </c>
      <c r="G69" s="5">
        <f>12385.95+3083.18</f>
        <v>15469.130000000001</v>
      </c>
      <c r="H69" s="4">
        <v>0.5</v>
      </c>
      <c r="I69" s="5">
        <f>16932.95+243.41</f>
        <v>17176.36</v>
      </c>
      <c r="J69" s="4">
        <v>0.5</v>
      </c>
      <c r="K69" s="5">
        <f>10326.02+3925.11</f>
        <v>14251.130000000001</v>
      </c>
      <c r="L69" s="15"/>
      <c r="M69" s="14"/>
      <c r="N69" s="13"/>
      <c r="O69" s="14"/>
      <c r="P69" s="13"/>
      <c r="Q69" s="14"/>
      <c r="R69" s="13"/>
      <c r="S69" s="14"/>
      <c r="T69" s="13"/>
      <c r="U69" s="14"/>
      <c r="V69" s="13"/>
      <c r="W69" s="14"/>
      <c r="X69" s="13"/>
      <c r="Y69" s="14"/>
      <c r="Z69" s="13"/>
      <c r="AA69" s="14"/>
    </row>
    <row r="70" spans="1:27" x14ac:dyDescent="0.3">
      <c r="A70" s="3" t="s">
        <v>224</v>
      </c>
      <c r="B70" s="3" t="s">
        <v>83</v>
      </c>
      <c r="C70" s="3" t="s">
        <v>173</v>
      </c>
      <c r="D70" s="19"/>
      <c r="E70" s="14"/>
      <c r="F70" s="4">
        <v>1</v>
      </c>
      <c r="G70" s="5">
        <f>29936.08+9056.39</f>
        <v>38992.47</v>
      </c>
      <c r="H70" s="4">
        <v>1</v>
      </c>
      <c r="I70" s="5">
        <v>31270.54</v>
      </c>
      <c r="J70" s="4">
        <v>1</v>
      </c>
      <c r="K70" s="5">
        <v>6537.43</v>
      </c>
      <c r="L70" s="15"/>
      <c r="M70" s="14"/>
      <c r="N70" s="13"/>
      <c r="O70" s="14"/>
      <c r="P70" s="13"/>
      <c r="Q70" s="14"/>
      <c r="R70" s="13"/>
      <c r="S70" s="14"/>
      <c r="T70" s="13"/>
      <c r="U70" s="14"/>
      <c r="V70" s="13"/>
      <c r="W70" s="14"/>
      <c r="X70" s="13"/>
      <c r="Y70" s="14"/>
      <c r="Z70" s="13"/>
      <c r="AA70" s="14"/>
    </row>
    <row r="71" spans="1:27" x14ac:dyDescent="0.3">
      <c r="A71" s="3" t="s">
        <v>256</v>
      </c>
      <c r="B71" s="3" t="s">
        <v>83</v>
      </c>
      <c r="C71" s="3" t="s">
        <v>268</v>
      </c>
      <c r="D71" s="18"/>
      <c r="E71" s="14"/>
      <c r="F71" s="4">
        <v>1</v>
      </c>
      <c r="G71" s="5">
        <v>29936.080000000002</v>
      </c>
      <c r="H71" s="4">
        <v>1</v>
      </c>
      <c r="I71" s="5">
        <v>30686.09</v>
      </c>
      <c r="J71" s="4">
        <v>1</v>
      </c>
      <c r="K71" s="5">
        <f>9905.49+3925.11</f>
        <v>13830.6</v>
      </c>
      <c r="L71" s="15"/>
      <c r="M71" s="14"/>
      <c r="N71" s="13"/>
      <c r="O71" s="14"/>
      <c r="P71" s="13"/>
      <c r="Q71" s="14"/>
      <c r="R71" s="13"/>
      <c r="S71" s="14"/>
      <c r="T71" s="13"/>
      <c r="U71" s="14"/>
      <c r="V71" s="13"/>
      <c r="W71" s="14"/>
      <c r="X71" s="13"/>
      <c r="Y71" s="14"/>
      <c r="Z71" s="13"/>
      <c r="AA71" s="14"/>
    </row>
    <row r="72" spans="1:27" x14ac:dyDescent="0.3">
      <c r="A72" s="3" t="s">
        <v>85</v>
      </c>
      <c r="B72" s="3" t="s">
        <v>86</v>
      </c>
      <c r="C72" s="3" t="s">
        <v>184</v>
      </c>
      <c r="D72" s="2">
        <v>1</v>
      </c>
      <c r="E72" s="5">
        <f>28995.13-1703.53</f>
        <v>27291.600000000002</v>
      </c>
      <c r="F72" s="9">
        <v>1</v>
      </c>
      <c r="G72" s="10">
        <f>16865.14+1386.6</f>
        <v>18251.739999999998</v>
      </c>
      <c r="H72" s="15"/>
      <c r="I72" s="20"/>
      <c r="J72" s="15"/>
      <c r="K72" s="14"/>
      <c r="L72" s="15"/>
      <c r="M72" s="14"/>
      <c r="N72" s="13"/>
      <c r="O72" s="14"/>
      <c r="P72" s="13"/>
      <c r="Q72" s="14"/>
      <c r="R72" s="13"/>
      <c r="S72" s="14"/>
      <c r="T72" s="13"/>
      <c r="U72" s="14"/>
      <c r="V72" s="13"/>
      <c r="W72" s="14"/>
      <c r="X72" s="13"/>
      <c r="Y72" s="14"/>
      <c r="Z72" s="13"/>
      <c r="AA72" s="14"/>
    </row>
    <row r="73" spans="1:27" ht="28.8" x14ac:dyDescent="0.3">
      <c r="A73" s="3" t="s">
        <v>225</v>
      </c>
      <c r="B73" s="3" t="s">
        <v>226</v>
      </c>
      <c r="C73" s="3" t="s">
        <v>241</v>
      </c>
      <c r="D73" s="8"/>
      <c r="E73" s="6"/>
      <c r="F73" s="4">
        <v>1</v>
      </c>
      <c r="G73" s="5">
        <v>30872.54</v>
      </c>
      <c r="H73" s="4">
        <v>1</v>
      </c>
      <c r="I73" s="5">
        <f>34597.72-3778.88</f>
        <v>30818.84</v>
      </c>
      <c r="J73" s="4">
        <v>1</v>
      </c>
      <c r="K73" s="5">
        <f>22840.98-1436.9</f>
        <v>21404.079999999998</v>
      </c>
      <c r="L73" s="15"/>
      <c r="M73" s="14"/>
      <c r="N73" s="13"/>
      <c r="O73" s="14"/>
      <c r="P73" s="13"/>
      <c r="Q73" s="14"/>
      <c r="R73" s="13"/>
      <c r="S73" s="14"/>
      <c r="T73" s="13"/>
      <c r="U73" s="14"/>
      <c r="V73" s="13"/>
      <c r="W73" s="14"/>
      <c r="X73" s="13"/>
      <c r="Y73" s="14"/>
      <c r="Z73" s="13"/>
      <c r="AA73" s="14"/>
    </row>
    <row r="74" spans="1:27" x14ac:dyDescent="0.3">
      <c r="A74" s="3" t="s">
        <v>87</v>
      </c>
      <c r="B74" s="11" t="s">
        <v>88</v>
      </c>
      <c r="C74" s="3" t="s">
        <v>185</v>
      </c>
      <c r="D74" s="2">
        <v>1</v>
      </c>
      <c r="E74" s="5">
        <f>25381.57-5441.38</f>
        <v>19940.189999999999</v>
      </c>
      <c r="F74" s="4">
        <v>1</v>
      </c>
      <c r="G74" s="5">
        <f>27368.12+2060.02</f>
        <v>29428.14</v>
      </c>
      <c r="H74" s="4">
        <v>0.84</v>
      </c>
      <c r="I74" s="5">
        <f>13838.21</f>
        <v>13838.21</v>
      </c>
      <c r="J74" s="15"/>
      <c r="K74" s="14"/>
      <c r="L74" s="15"/>
      <c r="M74" s="14"/>
      <c r="N74" s="13"/>
      <c r="O74" s="14"/>
      <c r="P74" s="13"/>
      <c r="Q74" s="14"/>
      <c r="R74" s="13"/>
      <c r="S74" s="14"/>
      <c r="T74" s="13"/>
      <c r="U74" s="14"/>
      <c r="V74" s="13"/>
      <c r="W74" s="14"/>
      <c r="X74" s="13"/>
      <c r="Y74" s="14"/>
      <c r="Z74" s="13"/>
      <c r="AA74" s="14"/>
    </row>
    <row r="75" spans="1:27" ht="28.8" x14ac:dyDescent="0.3">
      <c r="A75" s="3" t="s">
        <v>227</v>
      </c>
      <c r="B75" s="3" t="s">
        <v>88</v>
      </c>
      <c r="C75" s="3" t="s">
        <v>242</v>
      </c>
      <c r="D75" s="8">
        <v>1</v>
      </c>
      <c r="E75" s="6">
        <v>5725.18</v>
      </c>
      <c r="F75" s="4">
        <v>1</v>
      </c>
      <c r="G75" s="5">
        <v>45328.47</v>
      </c>
      <c r="H75" s="4">
        <v>1</v>
      </c>
      <c r="I75" s="5">
        <v>46464.160000000003</v>
      </c>
      <c r="J75" s="21">
        <v>1</v>
      </c>
      <c r="K75" s="4">
        <f>41471.02-944.16</f>
        <v>40526.859999999993</v>
      </c>
      <c r="L75" s="15"/>
      <c r="M75" s="14"/>
      <c r="N75" s="13"/>
      <c r="O75" s="14"/>
      <c r="P75" s="13"/>
      <c r="Q75" s="14"/>
      <c r="R75" s="13"/>
      <c r="S75" s="14"/>
      <c r="T75" s="13"/>
      <c r="U75" s="14"/>
      <c r="V75" s="13"/>
      <c r="W75" s="14"/>
      <c r="X75" s="13"/>
      <c r="Y75" s="14"/>
      <c r="Z75" s="13"/>
      <c r="AA75" s="14"/>
    </row>
    <row r="76" spans="1:27" ht="28.8" x14ac:dyDescent="0.3">
      <c r="A76" s="3" t="s">
        <v>228</v>
      </c>
      <c r="B76" s="3" t="s">
        <v>88</v>
      </c>
      <c r="C76" s="3" t="s">
        <v>186</v>
      </c>
      <c r="D76" s="8"/>
      <c r="E76" s="6"/>
      <c r="F76" s="4">
        <v>1</v>
      </c>
      <c r="G76" s="5">
        <v>40984.75</v>
      </c>
      <c r="H76" s="4">
        <v>1</v>
      </c>
      <c r="I76" s="5">
        <f>42011.58-12754.89</f>
        <v>29256.690000000002</v>
      </c>
      <c r="J76" s="4">
        <v>1</v>
      </c>
      <c r="K76" s="5">
        <f>42990.16</f>
        <v>42990.16</v>
      </c>
      <c r="L76" s="15"/>
      <c r="M76" s="14"/>
      <c r="N76" s="13"/>
      <c r="O76" s="14"/>
      <c r="P76" s="13"/>
      <c r="Q76" s="14"/>
      <c r="R76" s="13"/>
      <c r="S76" s="14"/>
      <c r="T76" s="13"/>
      <c r="U76" s="14"/>
      <c r="V76" s="13"/>
      <c r="W76" s="14"/>
      <c r="X76" s="13"/>
      <c r="Y76" s="14"/>
      <c r="Z76" s="13"/>
      <c r="AA76" s="14"/>
    </row>
    <row r="77" spans="1:27" ht="28.8" x14ac:dyDescent="0.3">
      <c r="A77" s="3" t="s">
        <v>89</v>
      </c>
      <c r="B77" s="3" t="s">
        <v>101</v>
      </c>
      <c r="C77" s="2" t="s">
        <v>165</v>
      </c>
      <c r="D77" s="2">
        <v>1</v>
      </c>
      <c r="E77" s="5">
        <f>55178.9-4303.11</f>
        <v>50875.79</v>
      </c>
      <c r="F77" s="4">
        <v>1</v>
      </c>
      <c r="G77" s="5">
        <f>56960.15-4069.33</f>
        <v>52890.82</v>
      </c>
      <c r="H77" s="4">
        <v>1</v>
      </c>
      <c r="I77" s="5">
        <f>55057.73-3515.48</f>
        <v>51542.25</v>
      </c>
      <c r="J77" s="4">
        <v>1</v>
      </c>
      <c r="K77" s="5">
        <f>59747.3-2646.37</f>
        <v>57100.93</v>
      </c>
      <c r="L77">
        <v>1</v>
      </c>
      <c r="M77" s="5">
        <f>59747.3-1523.83</f>
        <v>58223.47</v>
      </c>
      <c r="N77" s="2">
        <v>1</v>
      </c>
      <c r="O77" s="5">
        <f>59747.3-2498.37</f>
        <v>57248.93</v>
      </c>
      <c r="P77">
        <v>1</v>
      </c>
      <c r="Q77" s="5">
        <f>60345.56-2027.3</f>
        <v>58318.259999999995</v>
      </c>
      <c r="R77" s="2">
        <v>1</v>
      </c>
      <c r="S77" s="5">
        <f>61553.91-515.62</f>
        <v>61038.29</v>
      </c>
      <c r="T77">
        <v>1</v>
      </c>
      <c r="U77" s="2">
        <f>62474.93-644.53</f>
        <v>61830.400000000001</v>
      </c>
      <c r="V77" s="2">
        <v>1</v>
      </c>
      <c r="W77" s="5">
        <f>63407.72-577.8</f>
        <v>62829.919999999998</v>
      </c>
      <c r="X77" s="2">
        <v>1</v>
      </c>
      <c r="Y77" s="5">
        <f>45378.79-670.14</f>
        <v>44708.65</v>
      </c>
      <c r="Z77" s="2">
        <v>1</v>
      </c>
      <c r="AA77" s="5">
        <f>55516.54*0.4</f>
        <v>22206.616000000002</v>
      </c>
    </row>
    <row r="78" spans="1:27" x14ac:dyDescent="0.3">
      <c r="A78" s="3" t="s">
        <v>90</v>
      </c>
      <c r="B78" s="3" t="s">
        <v>7</v>
      </c>
      <c r="C78" s="2" t="s">
        <v>162</v>
      </c>
      <c r="D78" s="2">
        <v>1</v>
      </c>
      <c r="E78" s="5">
        <f>41608.62</f>
        <v>41608.620000000003</v>
      </c>
      <c r="F78" s="4">
        <v>1</v>
      </c>
      <c r="G78" s="5">
        <v>44287.95</v>
      </c>
      <c r="H78" s="4">
        <v>1</v>
      </c>
      <c r="I78" s="5">
        <f>12827.82+25119.6</f>
        <v>37947.42</v>
      </c>
      <c r="J78" s="4">
        <v>1</v>
      </c>
      <c r="K78" s="5">
        <f>10575.99+35556.37</f>
        <v>46132.36</v>
      </c>
      <c r="L78" s="4">
        <v>1</v>
      </c>
      <c r="M78" s="5">
        <f>52695.46</f>
        <v>52695.46</v>
      </c>
      <c r="N78" s="2">
        <v>1</v>
      </c>
      <c r="O78" s="5">
        <f>54462.1</f>
        <v>54462.1</v>
      </c>
      <c r="P78" s="13"/>
      <c r="Q78" s="14"/>
      <c r="R78" s="13"/>
      <c r="S78" s="14"/>
      <c r="T78" s="13"/>
      <c r="U78" s="14"/>
      <c r="V78" s="13"/>
      <c r="W78" s="14"/>
      <c r="X78" s="13"/>
      <c r="Y78" s="14"/>
      <c r="Z78" s="13"/>
      <c r="AA78" s="14"/>
    </row>
    <row r="79" spans="1:27" ht="28.8" x14ac:dyDescent="0.3">
      <c r="A79" s="3" t="s">
        <v>91</v>
      </c>
      <c r="B79" s="3" t="s">
        <v>102</v>
      </c>
      <c r="C79" s="2" t="s">
        <v>269</v>
      </c>
      <c r="D79" s="2">
        <v>1.6</v>
      </c>
      <c r="E79" s="5">
        <f>69976.15</f>
        <v>69976.149999999994</v>
      </c>
      <c r="F79" s="4">
        <v>1.6</v>
      </c>
      <c r="G79" s="5">
        <f>35288.59+9439.01+16558.66-4637.87</f>
        <v>56648.389999999992</v>
      </c>
      <c r="H79" s="4">
        <v>0.8</v>
      </c>
      <c r="I79" s="5">
        <f>37673.27-5694.08</f>
        <v>31979.189999999995</v>
      </c>
      <c r="J79" s="4">
        <v>0.8</v>
      </c>
      <c r="K79" s="5">
        <f>38353.67-1910.12</f>
        <v>36443.549999999996</v>
      </c>
      <c r="L79" s="4">
        <v>0.8</v>
      </c>
      <c r="M79" s="5">
        <f>40230.43-1224.85</f>
        <v>39005.58</v>
      </c>
      <c r="N79" s="2">
        <v>0.8</v>
      </c>
      <c r="O79" s="5">
        <f>40381.13-3712.66</f>
        <v>36668.47</v>
      </c>
      <c r="P79" s="2">
        <v>0.8</v>
      </c>
      <c r="Q79" s="5">
        <f>42333.59-703.92</f>
        <v>41629.67</v>
      </c>
      <c r="R79" s="2">
        <v>0.8</v>
      </c>
      <c r="S79" s="5">
        <f>43335.01-461.93</f>
        <v>42873.08</v>
      </c>
      <c r="T79">
        <v>0.8</v>
      </c>
      <c r="U79" s="2">
        <v>45585.37</v>
      </c>
      <c r="V79" s="2">
        <v>0.8</v>
      </c>
      <c r="W79" s="5">
        <f>46429.59-1088.96</f>
        <v>45340.63</v>
      </c>
      <c r="X79" s="2">
        <v>0.8</v>
      </c>
      <c r="Y79" s="5">
        <f>48777.83-2754.62</f>
        <v>46023.21</v>
      </c>
      <c r="Z79" s="2">
        <v>0.8</v>
      </c>
      <c r="AA79" s="5">
        <f>49184.36*0.4</f>
        <v>19673.744000000002</v>
      </c>
    </row>
    <row r="80" spans="1:27" ht="28.8" x14ac:dyDescent="0.3">
      <c r="A80" s="3" t="s">
        <v>229</v>
      </c>
      <c r="B80" s="3" t="s">
        <v>233</v>
      </c>
      <c r="C80" s="2" t="s">
        <v>243</v>
      </c>
      <c r="D80" s="8"/>
      <c r="E80" s="6"/>
      <c r="F80" s="4">
        <v>1</v>
      </c>
      <c r="G80" s="5">
        <f>3346.16+14884.93+20898.26</f>
        <v>39129.35</v>
      </c>
      <c r="H80" s="4">
        <v>1</v>
      </c>
      <c r="I80" s="5">
        <f>42011.58</f>
        <v>42011.58</v>
      </c>
      <c r="J80" s="4">
        <v>1</v>
      </c>
      <c r="K80" s="5">
        <f>25077.59</f>
        <v>25077.59</v>
      </c>
      <c r="L80" s="15"/>
      <c r="M80" s="14"/>
      <c r="N80" s="13"/>
      <c r="O80" s="14"/>
      <c r="P80" s="13"/>
      <c r="Q80" s="14"/>
      <c r="R80" s="13"/>
      <c r="S80" s="14"/>
      <c r="T80" s="13"/>
      <c r="U80" s="14"/>
      <c r="V80" s="13"/>
      <c r="W80" s="14"/>
      <c r="X80" s="13"/>
      <c r="Y80" s="14"/>
      <c r="Z80" s="13"/>
      <c r="AA80" s="14"/>
    </row>
    <row r="81" spans="1:27" x14ac:dyDescent="0.3">
      <c r="A81" s="3" t="s">
        <v>92</v>
      </c>
      <c r="B81" s="3" t="s">
        <v>93</v>
      </c>
      <c r="C81" s="2" t="s">
        <v>180</v>
      </c>
      <c r="D81" s="2">
        <v>1</v>
      </c>
      <c r="E81" s="5">
        <f>37660.44-410.83</f>
        <v>37249.61</v>
      </c>
      <c r="F81" s="9"/>
      <c r="G81" s="10">
        <f>3185.14-138.3</f>
        <v>3046.8399999999997</v>
      </c>
      <c r="H81" s="15"/>
      <c r="I81" s="14"/>
      <c r="J81" s="15"/>
      <c r="K81" s="14"/>
      <c r="L81" s="15"/>
      <c r="M81" s="14"/>
      <c r="N81" s="13"/>
      <c r="O81" s="14"/>
      <c r="P81" s="13"/>
      <c r="Q81" s="14"/>
      <c r="R81" s="13"/>
      <c r="S81" s="14"/>
      <c r="T81" s="13"/>
      <c r="U81" s="14"/>
      <c r="V81" s="13"/>
      <c r="W81" s="14"/>
      <c r="X81" s="13"/>
      <c r="Y81" s="14"/>
      <c r="Z81" s="13"/>
      <c r="AA81" s="14"/>
    </row>
    <row r="82" spans="1:27" x14ac:dyDescent="0.3">
      <c r="A82" s="3" t="s">
        <v>230</v>
      </c>
      <c r="B82" s="3" t="s">
        <v>93</v>
      </c>
      <c r="C82" s="2" t="s">
        <v>244</v>
      </c>
      <c r="D82" s="13"/>
      <c r="E82" s="14"/>
      <c r="F82" s="4">
        <v>1</v>
      </c>
      <c r="G82" s="5">
        <v>38672.17</v>
      </c>
      <c r="H82" s="4">
        <v>1</v>
      </c>
      <c r="I82" s="5">
        <f>43199.47-468.26</f>
        <v>42731.21</v>
      </c>
      <c r="J82" s="4">
        <v>1</v>
      </c>
      <c r="K82" s="5">
        <f>28527.83+2138.99-391.55</f>
        <v>30275.27</v>
      </c>
      <c r="L82" s="4">
        <v>0.8</v>
      </c>
      <c r="M82" s="5">
        <f>3169.75+7456.44</f>
        <v>10626.189999999999</v>
      </c>
      <c r="N82" s="13"/>
      <c r="O82" s="14"/>
      <c r="P82" s="13"/>
      <c r="Q82" s="14"/>
      <c r="R82" s="13"/>
      <c r="S82" s="14"/>
      <c r="T82" s="13"/>
      <c r="U82" s="14"/>
      <c r="V82" s="13"/>
      <c r="W82" s="14"/>
      <c r="X82" s="13"/>
      <c r="Y82" s="14"/>
      <c r="Z82" s="13"/>
      <c r="AA82" s="14"/>
    </row>
    <row r="83" spans="1:27" x14ac:dyDescent="0.3">
      <c r="A83" s="3" t="s">
        <v>231</v>
      </c>
      <c r="B83" s="3" t="s">
        <v>232</v>
      </c>
      <c r="C83" s="2" t="s">
        <v>245</v>
      </c>
      <c r="D83" s="13"/>
      <c r="E83" s="14"/>
      <c r="F83" s="4">
        <v>1</v>
      </c>
      <c r="G83" s="5">
        <f>13294.15</f>
        <v>13294.15</v>
      </c>
      <c r="H83" s="4">
        <v>1</v>
      </c>
      <c r="I83" s="5">
        <f>44639.6-2276.11</f>
        <v>42363.49</v>
      </c>
      <c r="J83" s="4">
        <v>1</v>
      </c>
      <c r="K83" s="5">
        <f>36469.82-1964.61+3481.21-2038.29</f>
        <v>35948.129999999997</v>
      </c>
      <c r="L83" s="4">
        <v>1</v>
      </c>
      <c r="M83" s="5">
        <f>28279.04+1047.33</f>
        <v>29326.370000000003</v>
      </c>
      <c r="N83" s="13"/>
      <c r="O83" s="14"/>
      <c r="P83" s="13"/>
      <c r="Q83" s="14"/>
      <c r="R83" s="13"/>
      <c r="S83" s="14"/>
      <c r="T83" s="13"/>
      <c r="U83" s="14"/>
      <c r="V83" s="13"/>
      <c r="W83" s="14"/>
      <c r="X83" s="13"/>
      <c r="Y83" s="14"/>
      <c r="Z83" s="13"/>
      <c r="AA83" s="14"/>
    </row>
    <row r="84" spans="1:27" ht="28.8" x14ac:dyDescent="0.3">
      <c r="A84" s="3" t="s">
        <v>94</v>
      </c>
      <c r="B84" s="3" t="s">
        <v>103</v>
      </c>
      <c r="C84" s="2" t="s">
        <v>274</v>
      </c>
      <c r="D84" s="2">
        <v>2</v>
      </c>
      <c r="E84" s="5">
        <f>65831.7-9213.33</f>
        <v>56618.369999999995</v>
      </c>
      <c r="F84" s="4">
        <v>2</v>
      </c>
      <c r="G84" s="5">
        <f>55035.16-4010.44</f>
        <v>51024.72</v>
      </c>
      <c r="H84" s="4">
        <v>1</v>
      </c>
      <c r="I84" s="5">
        <f>38438.73-3580.26</f>
        <v>34858.47</v>
      </c>
      <c r="J84" s="4">
        <v>1</v>
      </c>
      <c r="K84" s="5">
        <f>40298.23-151.29</f>
        <v>40146.94</v>
      </c>
      <c r="L84" s="4">
        <v>1</v>
      </c>
      <c r="M84" s="5">
        <f>40758.79-107.24</f>
        <v>40651.550000000003</v>
      </c>
      <c r="N84" s="2">
        <v>1</v>
      </c>
      <c r="O84" s="5">
        <f>40785.39-320.47</f>
        <v>40464.92</v>
      </c>
      <c r="P84" s="2">
        <v>1</v>
      </c>
      <c r="Q84" s="5">
        <f>31210.29-1292.96</f>
        <v>29917.33</v>
      </c>
      <c r="R84" s="2">
        <v>1</v>
      </c>
      <c r="S84" s="5">
        <f>41510-7161.55</f>
        <v>34348.449999999997</v>
      </c>
      <c r="T84" s="2">
        <v>1</v>
      </c>
      <c r="U84" s="5">
        <f>42742.29-5405.49</f>
        <v>37336.800000000003</v>
      </c>
      <c r="V84" s="2">
        <v>1</v>
      </c>
      <c r="W84" s="5">
        <f>43683.86-3168.41</f>
        <v>40515.449999999997</v>
      </c>
      <c r="X84" s="2">
        <v>1</v>
      </c>
      <c r="Y84" s="5">
        <f>42908.66-2644.52</f>
        <v>40264.140000000007</v>
      </c>
      <c r="Z84" s="2">
        <v>1</v>
      </c>
      <c r="AA84" s="5">
        <f>41185.26*0.4</f>
        <v>16474.104000000003</v>
      </c>
    </row>
    <row r="85" spans="1:27" x14ac:dyDescent="0.3">
      <c r="A85" s="3" t="s">
        <v>95</v>
      </c>
      <c r="B85" s="3" t="s">
        <v>96</v>
      </c>
      <c r="C85" s="2" t="s">
        <v>246</v>
      </c>
      <c r="D85" s="2">
        <v>1</v>
      </c>
      <c r="E85" s="5">
        <f>27335.38-597.24</f>
        <v>26738.14</v>
      </c>
      <c r="F85" s="4">
        <v>1</v>
      </c>
      <c r="G85" s="5">
        <f>29936.08-1403.53</f>
        <v>28532.550000000003</v>
      </c>
      <c r="H85" s="4">
        <v>1</v>
      </c>
      <c r="I85" s="5">
        <f>25554.96-1470.8</f>
        <v>24084.16</v>
      </c>
      <c r="J85" s="15"/>
      <c r="K85" s="14"/>
      <c r="L85" s="15"/>
      <c r="M85" s="14"/>
      <c r="N85" s="13"/>
      <c r="O85" s="14"/>
      <c r="P85" s="13"/>
      <c r="Q85" s="14"/>
      <c r="R85" s="13"/>
      <c r="S85" s="14"/>
      <c r="T85" s="13"/>
      <c r="U85" s="14"/>
      <c r="V85" s="13"/>
      <c r="W85" s="14"/>
      <c r="X85" s="13"/>
      <c r="Y85" s="14"/>
      <c r="Z85" s="13"/>
      <c r="AA85" s="14"/>
    </row>
    <row r="86" spans="1:27" ht="43.2" x14ac:dyDescent="0.3">
      <c r="A86" s="3" t="s">
        <v>97</v>
      </c>
      <c r="B86" s="3" t="s">
        <v>104</v>
      </c>
      <c r="C86" s="2" t="s">
        <v>164</v>
      </c>
      <c r="D86" s="2">
        <v>1</v>
      </c>
      <c r="E86" s="5">
        <f>39322.89-12831.35</f>
        <v>26491.54</v>
      </c>
      <c r="F86" s="4">
        <v>1</v>
      </c>
      <c r="G86" s="5">
        <f>41610.17-10094.85</f>
        <v>31515.32</v>
      </c>
      <c r="H86" s="4">
        <v>1</v>
      </c>
      <c r="I86" s="5">
        <f>43275.17-10931.38</f>
        <v>32343.79</v>
      </c>
      <c r="J86" s="4">
        <v>0.88</v>
      </c>
      <c r="K86" s="5">
        <f>39875.3-10959.99</f>
        <v>28915.310000000005</v>
      </c>
      <c r="L86" s="9">
        <v>0.92</v>
      </c>
      <c r="M86" s="10">
        <f>42439.34-5885.02</f>
        <v>36554.319999999992</v>
      </c>
      <c r="N86" s="2">
        <v>0.8</v>
      </c>
      <c r="O86" s="5">
        <f>38003.82-11267.66</f>
        <v>26736.16</v>
      </c>
      <c r="P86" s="2">
        <v>1</v>
      </c>
      <c r="Q86" s="5">
        <f>38904.99-11179.84</f>
        <v>27725.149999999998</v>
      </c>
      <c r="R86" s="24">
        <v>0.8</v>
      </c>
      <c r="S86" s="5">
        <f>40751.5-12534.26</f>
        <v>28217.239999999998</v>
      </c>
      <c r="T86" s="2">
        <v>0.8</v>
      </c>
      <c r="U86" s="5">
        <f>41894.97-14519.8</f>
        <v>27375.170000000002</v>
      </c>
      <c r="V86" s="2">
        <v>0.8</v>
      </c>
      <c r="W86" s="5">
        <f>43614.6-16709.55</f>
        <v>26905.05</v>
      </c>
      <c r="X86" s="2">
        <v>0.8</v>
      </c>
      <c r="Y86" s="5">
        <f>44823.63-18111.65</f>
        <v>26711.979999999996</v>
      </c>
      <c r="Z86" s="2">
        <v>0.8</v>
      </c>
      <c r="AA86" s="5">
        <f>46160.26*0.4</f>
        <v>18464.104000000003</v>
      </c>
    </row>
    <row r="87" spans="1:27" ht="43.2" x14ac:dyDescent="0.3">
      <c r="A87" s="3" t="s">
        <v>263</v>
      </c>
      <c r="B87" s="3" t="s">
        <v>257</v>
      </c>
      <c r="C87" s="2" t="s">
        <v>264</v>
      </c>
      <c r="D87" s="13"/>
      <c r="E87" s="14"/>
      <c r="F87" s="9">
        <v>1</v>
      </c>
      <c r="G87" s="10">
        <v>39825.870000000003</v>
      </c>
      <c r="H87" s="4">
        <v>1</v>
      </c>
      <c r="I87" s="5">
        <f>16569.35+19872.13</f>
        <v>36441.479999999996</v>
      </c>
      <c r="J87" s="4">
        <v>1</v>
      </c>
      <c r="K87" s="5">
        <f>10139.89+31330.93</f>
        <v>41470.82</v>
      </c>
      <c r="L87" s="15"/>
      <c r="M87" s="14"/>
      <c r="N87" s="13"/>
      <c r="O87" s="14"/>
      <c r="P87" s="13"/>
      <c r="Q87" s="14"/>
      <c r="R87" s="13"/>
      <c r="S87" s="14"/>
      <c r="T87" s="13"/>
      <c r="U87" s="14"/>
      <c r="V87" s="13"/>
      <c r="W87" s="14"/>
      <c r="X87" s="13"/>
      <c r="Y87" s="14"/>
      <c r="Z87" s="13"/>
      <c r="AA87" s="14"/>
    </row>
    <row r="88" spans="1:27" ht="43.2" x14ac:dyDescent="0.3">
      <c r="A88" s="3" t="s">
        <v>98</v>
      </c>
      <c r="B88" s="3" t="s">
        <v>107</v>
      </c>
      <c r="C88" s="28" t="s">
        <v>297</v>
      </c>
      <c r="D88" s="2">
        <v>1.5</v>
      </c>
      <c r="E88" s="5">
        <f>54616.53-5803.02</f>
        <v>48813.509999999995</v>
      </c>
      <c r="F88" s="4">
        <v>1.5</v>
      </c>
      <c r="G88" s="5">
        <f>57416.78-1577.29</f>
        <v>55839.49</v>
      </c>
      <c r="H88" s="4">
        <v>1.5</v>
      </c>
      <c r="I88" s="5">
        <f>24603.78-1403.01</f>
        <v>23200.77</v>
      </c>
      <c r="J88" s="4">
        <v>0.5</v>
      </c>
      <c r="K88" s="5">
        <f>22060.97+1727.8</f>
        <v>23788.77</v>
      </c>
      <c r="L88" s="4">
        <v>0.5</v>
      </c>
      <c r="M88" s="5">
        <f>22141.51-626.78</f>
        <v>21514.73</v>
      </c>
      <c r="N88" s="2">
        <v>0.5</v>
      </c>
      <c r="O88" s="5">
        <f>23027.53-113.94</f>
        <v>22913.59</v>
      </c>
      <c r="P88" s="2">
        <v>0.5</v>
      </c>
      <c r="Q88" s="5">
        <f>42333.59</f>
        <v>42333.59</v>
      </c>
      <c r="R88" s="2">
        <v>0.5</v>
      </c>
      <c r="S88" s="5">
        <f>12196.19+1134.98</f>
        <v>13331.17</v>
      </c>
      <c r="T88" s="13"/>
      <c r="U88" s="14"/>
      <c r="V88" s="13"/>
      <c r="W88" s="14"/>
      <c r="X88" s="13"/>
      <c r="Y88" s="14"/>
      <c r="Z88" s="13"/>
      <c r="AA88" s="14"/>
    </row>
    <row r="89" spans="1:27" ht="28.8" x14ac:dyDescent="0.3">
      <c r="A89" s="3" t="s">
        <v>99</v>
      </c>
      <c r="B89" s="3" t="s">
        <v>106</v>
      </c>
      <c r="C89" s="2" t="s">
        <v>163</v>
      </c>
      <c r="D89" s="2">
        <v>1.5</v>
      </c>
      <c r="E89" s="5">
        <f>66613.97-4912.06</f>
        <v>61701.91</v>
      </c>
      <c r="F89" s="4">
        <v>1.5</v>
      </c>
      <c r="G89" s="5">
        <f>71846.39-5334.24</f>
        <v>66512.149999999994</v>
      </c>
      <c r="H89" s="4">
        <v>1.5</v>
      </c>
      <c r="I89" s="5">
        <f>61723.73-7002.43</f>
        <v>54721.3</v>
      </c>
      <c r="J89" s="4">
        <v>1.5</v>
      </c>
      <c r="K89" s="5">
        <f>68835.56+643.78</f>
        <v>69479.34</v>
      </c>
      <c r="L89" s="4">
        <v>1.5</v>
      </c>
      <c r="M89" s="5">
        <f>67957.05-2946.29</f>
        <v>65010.76</v>
      </c>
      <c r="N89" s="2">
        <v>1.5</v>
      </c>
      <c r="O89" s="5">
        <f>70768.71-1922.04</f>
        <v>68846.670000000013</v>
      </c>
      <c r="P89" s="2">
        <v>1.5</v>
      </c>
      <c r="Q89" s="5">
        <f>69483.81-3967.62</f>
        <v>65516.189999999995</v>
      </c>
      <c r="R89" s="2">
        <v>1.5</v>
      </c>
      <c r="S89" s="5">
        <f>74922.88-2148.17</f>
        <v>72774.710000000006</v>
      </c>
      <c r="T89" s="2">
        <v>1.5</v>
      </c>
      <c r="U89" s="5">
        <f>75381.36-4105.57</f>
        <v>71275.790000000008</v>
      </c>
      <c r="V89" s="2">
        <v>1.5</v>
      </c>
      <c r="W89" s="5">
        <f>80708.13-1355.77</f>
        <v>79352.36</v>
      </c>
      <c r="X89" s="2">
        <v>1.5</v>
      </c>
      <c r="Y89" s="5">
        <f>84180.96-3839.31</f>
        <v>80341.650000000009</v>
      </c>
      <c r="Z89" s="2">
        <v>1.5</v>
      </c>
      <c r="AA89" s="5">
        <f>93401.53*0.4</f>
        <v>37360.612000000001</v>
      </c>
    </row>
    <row r="90" spans="1:27" ht="28.8" x14ac:dyDescent="0.3">
      <c r="A90" s="3" t="s">
        <v>100</v>
      </c>
      <c r="B90" s="3" t="s">
        <v>105</v>
      </c>
      <c r="C90" s="2" t="s">
        <v>165</v>
      </c>
      <c r="D90" s="2">
        <v>1</v>
      </c>
      <c r="E90" s="5">
        <f>60560.36-3477.41</f>
        <v>57082.95</v>
      </c>
      <c r="F90" s="4">
        <v>1</v>
      </c>
      <c r="G90" s="5">
        <f>47170.68-2001.01</f>
        <v>45169.67</v>
      </c>
      <c r="H90" s="4">
        <v>1</v>
      </c>
      <c r="I90" s="5">
        <f>41770.94-623.52</f>
        <v>41147.420000000006</v>
      </c>
      <c r="J90" s="4">
        <v>1</v>
      </c>
      <c r="K90" s="5">
        <f>17240.95+32617.82-129.7</f>
        <v>49729.070000000007</v>
      </c>
      <c r="L90" s="4">
        <v>1</v>
      </c>
      <c r="M90" s="5">
        <f>40042.43-7549.28</f>
        <v>32493.15</v>
      </c>
      <c r="N90" s="2">
        <v>1</v>
      </c>
      <c r="O90" s="5">
        <f>35763.32-1572.59</f>
        <v>34190.730000000003</v>
      </c>
      <c r="P90" s="2">
        <v>1</v>
      </c>
      <c r="Q90" s="5">
        <f>34827.18+6559.82</f>
        <v>41387</v>
      </c>
      <c r="R90" s="2">
        <v>1</v>
      </c>
      <c r="S90" s="5">
        <f>35524.58-168.01</f>
        <v>35356.57</v>
      </c>
      <c r="T90" s="2">
        <v>1</v>
      </c>
      <c r="U90" s="5">
        <f>36056.15-856.44</f>
        <v>35199.71</v>
      </c>
      <c r="V90" s="2">
        <v>1</v>
      </c>
      <c r="W90" s="5">
        <f>36594.43-754.94</f>
        <v>35839.49</v>
      </c>
      <c r="X90" s="2">
        <v>1</v>
      </c>
      <c r="Y90" s="5">
        <f>35211.59-402.7</f>
        <v>34808.89</v>
      </c>
      <c r="Z90" s="2">
        <v>1</v>
      </c>
      <c r="AA90" s="5">
        <f>37325.87*0.4</f>
        <v>14930.348000000002</v>
      </c>
    </row>
    <row r="91" spans="1:27" x14ac:dyDescent="0.3">
      <c r="A91" s="3" t="s">
        <v>108</v>
      </c>
      <c r="B91" s="3" t="s">
        <v>109</v>
      </c>
      <c r="C91" s="24" t="s">
        <v>296</v>
      </c>
      <c r="D91" s="2">
        <v>1</v>
      </c>
      <c r="E91" s="5">
        <f>29156.3-1214.05</f>
        <v>27942.25</v>
      </c>
      <c r="F91" s="4">
        <v>1</v>
      </c>
      <c r="G91" s="5">
        <f>32030.78-5103.1</f>
        <v>26927.68</v>
      </c>
      <c r="H91" s="4">
        <v>1</v>
      </c>
      <c r="I91" s="5">
        <f>28812.51+2895.38</f>
        <v>31707.89</v>
      </c>
      <c r="J91" s="15"/>
      <c r="K91" s="14"/>
      <c r="L91" s="15"/>
      <c r="M91" s="14"/>
      <c r="N91" s="13"/>
      <c r="O91" s="14"/>
      <c r="P91" s="13"/>
      <c r="Q91" s="14"/>
      <c r="R91" s="13"/>
      <c r="S91" s="14"/>
      <c r="T91" s="13"/>
      <c r="U91" s="14"/>
      <c r="V91" s="13"/>
      <c r="W91" s="14"/>
      <c r="X91" s="13"/>
      <c r="Y91" s="14"/>
      <c r="Z91" s="13"/>
      <c r="AA91" s="14"/>
    </row>
    <row r="92" spans="1:27" ht="28.8" x14ac:dyDescent="0.3">
      <c r="A92" s="3" t="s">
        <v>110</v>
      </c>
      <c r="B92" s="3" t="s">
        <v>112</v>
      </c>
      <c r="C92" s="3" t="s">
        <v>166</v>
      </c>
      <c r="D92" s="2">
        <v>2.5</v>
      </c>
      <c r="E92" s="5">
        <f>115583.7-9728.09</f>
        <v>105855.61</v>
      </c>
      <c r="F92" s="4">
        <v>2.5</v>
      </c>
      <c r="G92" s="5">
        <f>119226.73-3655.34</f>
        <v>115571.39</v>
      </c>
      <c r="H92" s="4">
        <v>2.5</v>
      </c>
      <c r="I92" s="5">
        <f>125294.52-3305.35</f>
        <v>121989.17</v>
      </c>
      <c r="J92" s="4">
        <v>2.5</v>
      </c>
      <c r="K92" s="5">
        <f>108460.57-2033.89</f>
        <v>106426.68000000001</v>
      </c>
      <c r="L92" s="9">
        <v>2.5</v>
      </c>
      <c r="M92" s="5">
        <f>110458.84-5515.04</f>
        <v>104943.8</v>
      </c>
      <c r="N92" s="24">
        <v>2.5</v>
      </c>
      <c r="O92" s="5">
        <f>98011.49-2530.5</f>
        <v>95480.99</v>
      </c>
      <c r="P92" s="2">
        <v>2</v>
      </c>
      <c r="Q92" s="5">
        <f>81392.27-383.56</f>
        <v>81008.710000000006</v>
      </c>
      <c r="R92" s="2">
        <v>2</v>
      </c>
      <c r="S92" s="5">
        <f>83022.16-806.85</f>
        <v>82215.31</v>
      </c>
      <c r="T92" s="2">
        <v>2</v>
      </c>
      <c r="U92" s="5">
        <f>84264.36-3810.11</f>
        <v>80454.25</v>
      </c>
      <c r="V92" s="2">
        <v>2</v>
      </c>
      <c r="W92" s="5">
        <f>77866.67-2632.22</f>
        <v>75234.45</v>
      </c>
      <c r="X92" s="2">
        <v>2</v>
      </c>
      <c r="Y92" s="5">
        <f>48414.55-9168.23</f>
        <v>39246.320000000007</v>
      </c>
      <c r="Z92" s="2">
        <v>2</v>
      </c>
      <c r="AA92" s="5">
        <f>82937.22*0.4</f>
        <v>33174.887999999999</v>
      </c>
    </row>
    <row r="93" spans="1:27" ht="28.8" x14ac:dyDescent="0.3">
      <c r="A93" s="3" t="s">
        <v>111</v>
      </c>
      <c r="B93" s="3" t="s">
        <v>113</v>
      </c>
      <c r="C93" s="2" t="s">
        <v>279</v>
      </c>
      <c r="D93" s="2">
        <v>3</v>
      </c>
      <c r="E93" s="5">
        <f>127954.74-13467.69</f>
        <v>114487.05</v>
      </c>
      <c r="F93" s="4">
        <v>2.5</v>
      </c>
      <c r="G93" s="5">
        <f>133434.89-4469.75</f>
        <v>128965.14000000001</v>
      </c>
      <c r="H93" s="4">
        <v>3</v>
      </c>
      <c r="I93" s="5">
        <f>138293.77-5731.73</f>
        <v>132562.03999999998</v>
      </c>
      <c r="J93" s="4">
        <v>2</v>
      </c>
      <c r="K93" s="5">
        <f>101397.78-262.21</f>
        <v>101135.56999999999</v>
      </c>
      <c r="L93" s="4">
        <v>2</v>
      </c>
      <c r="M93" s="5">
        <f>101397.78-1476.35</f>
        <v>99921.43</v>
      </c>
      <c r="N93" s="2">
        <v>2</v>
      </c>
      <c r="O93" s="5">
        <f>99823.54-8376.46</f>
        <v>91447.079999999987</v>
      </c>
      <c r="P93" s="2">
        <v>2</v>
      </c>
      <c r="Q93" s="5">
        <f>102235.46-0</f>
        <v>102235.46</v>
      </c>
      <c r="R93" s="2">
        <v>1.5</v>
      </c>
      <c r="S93" s="5">
        <f>69354.23-2315.41</f>
        <v>67038.819999999992</v>
      </c>
      <c r="T93" s="2">
        <v>1.5</v>
      </c>
      <c r="U93" s="5">
        <f>57505.36+689.78</f>
        <v>58195.14</v>
      </c>
      <c r="V93" s="2">
        <v>1</v>
      </c>
      <c r="W93" s="5">
        <f>58364.05-0</f>
        <v>58364.05</v>
      </c>
      <c r="X93" s="2">
        <v>1</v>
      </c>
      <c r="Y93" s="5">
        <f>59238.85-614.05</f>
        <v>58624.799999999996</v>
      </c>
      <c r="Z93" s="2">
        <v>1</v>
      </c>
      <c r="AA93" s="5">
        <f>29765.23*0.4</f>
        <v>11906.092000000001</v>
      </c>
    </row>
    <row r="94" spans="1:27" ht="28.8" x14ac:dyDescent="0.3">
      <c r="A94" s="3" t="s">
        <v>114</v>
      </c>
      <c r="B94" s="3" t="s">
        <v>115</v>
      </c>
      <c r="C94" s="2" t="s">
        <v>167</v>
      </c>
      <c r="D94" s="2">
        <v>1</v>
      </c>
      <c r="E94" s="5">
        <f>44707.47-1388.14</f>
        <v>43319.33</v>
      </c>
      <c r="F94" s="4">
        <v>1</v>
      </c>
      <c r="G94" s="5">
        <f>46986.95-1212.49</f>
        <v>45774.46</v>
      </c>
      <c r="H94" s="4">
        <v>1</v>
      </c>
      <c r="I94" s="5">
        <f>48942.14-1210.89</f>
        <v>47731.25</v>
      </c>
      <c r="J94" s="4">
        <v>1</v>
      </c>
      <c r="K94" s="5">
        <f>51209.71-1613.33</f>
        <v>49596.38</v>
      </c>
      <c r="L94" s="4">
        <v>1</v>
      </c>
      <c r="M94" s="5">
        <f>52015.19-1276.44</f>
        <v>50738.75</v>
      </c>
      <c r="N94" s="2">
        <v>1</v>
      </c>
      <c r="O94" s="5">
        <f>53142.73-465.88</f>
        <v>52676.850000000006</v>
      </c>
      <c r="P94" s="2">
        <v>1</v>
      </c>
      <c r="Q94" s="5">
        <f>17927.72-356.5</f>
        <v>17571.22</v>
      </c>
      <c r="R94" s="2">
        <v>1</v>
      </c>
      <c r="S94" s="5">
        <f>47905.5+2284</f>
        <v>50189.5</v>
      </c>
      <c r="T94" s="2">
        <v>1</v>
      </c>
      <c r="U94" s="5">
        <f>59615.68</f>
        <v>59615.68</v>
      </c>
      <c r="V94" s="2">
        <v>1</v>
      </c>
      <c r="W94" s="5">
        <f>62552.99</f>
        <v>62552.99</v>
      </c>
      <c r="X94" s="2">
        <v>1</v>
      </c>
      <c r="Y94" s="5">
        <f>64358.27-22027.94</f>
        <v>42330.33</v>
      </c>
      <c r="Z94" s="2">
        <v>1</v>
      </c>
      <c r="AA94" s="5">
        <f>64675.12*0.4</f>
        <v>25870.048000000003</v>
      </c>
    </row>
    <row r="95" spans="1:27" x14ac:dyDescent="0.3">
      <c r="A95" s="3" t="s">
        <v>116</v>
      </c>
      <c r="B95" s="3" t="s">
        <v>117</v>
      </c>
      <c r="C95" s="2" t="s">
        <v>181</v>
      </c>
      <c r="D95" s="2">
        <v>1</v>
      </c>
      <c r="E95" s="5">
        <f>32861.4-1163.46</f>
        <v>31697.940000000002</v>
      </c>
      <c r="F95" s="4">
        <v>1</v>
      </c>
      <c r="G95" s="5">
        <f>17919.98-1481.38</f>
        <v>16438.599999999999</v>
      </c>
      <c r="H95" s="15"/>
      <c r="I95" s="14"/>
      <c r="J95" s="15"/>
      <c r="K95" s="14"/>
      <c r="L95" s="15"/>
      <c r="M95" s="14"/>
      <c r="N95" s="13"/>
      <c r="O95" s="14"/>
      <c r="P95" s="13"/>
      <c r="Q95" s="14"/>
      <c r="R95" s="13"/>
      <c r="S95" s="14"/>
      <c r="T95" s="13"/>
      <c r="U95" s="14"/>
      <c r="V95" s="13"/>
      <c r="W95" s="14"/>
      <c r="X95" s="13"/>
      <c r="Y95" s="14"/>
      <c r="Z95" s="13"/>
      <c r="AA95" s="14"/>
    </row>
    <row r="96" spans="1:27" x14ac:dyDescent="0.3">
      <c r="A96" s="3" t="s">
        <v>118</v>
      </c>
      <c r="B96" s="3" t="s">
        <v>119</v>
      </c>
      <c r="C96" s="2" t="s">
        <v>175</v>
      </c>
      <c r="D96" s="2">
        <v>1</v>
      </c>
      <c r="E96" s="5">
        <f>29156.3-550.07</f>
        <v>28606.23</v>
      </c>
      <c r="F96" s="4">
        <v>1</v>
      </c>
      <c r="G96" s="5">
        <f>12011.36-183.97</f>
        <v>11827.390000000001</v>
      </c>
      <c r="H96" s="15"/>
      <c r="I96" s="14"/>
      <c r="J96" s="15"/>
      <c r="K96" s="14"/>
      <c r="L96" s="15"/>
      <c r="M96" s="14"/>
      <c r="N96" s="13"/>
      <c r="O96" s="14"/>
      <c r="P96" s="13"/>
      <c r="Q96" s="14"/>
      <c r="R96" s="13"/>
      <c r="S96" s="14"/>
      <c r="T96" s="13"/>
      <c r="U96" s="14"/>
      <c r="V96" s="13"/>
      <c r="W96" s="14"/>
      <c r="X96" s="13"/>
      <c r="Y96" s="14"/>
      <c r="Z96" s="13"/>
      <c r="AA96" s="14"/>
    </row>
    <row r="97" spans="1:27" ht="43.2" x14ac:dyDescent="0.3">
      <c r="A97" s="3" t="s">
        <v>120</v>
      </c>
      <c r="B97" s="3" t="s">
        <v>123</v>
      </c>
      <c r="C97" s="3" t="s">
        <v>168</v>
      </c>
      <c r="D97" s="2">
        <v>1</v>
      </c>
      <c r="E97" s="5">
        <f>55880.22-4187.45</f>
        <v>51692.770000000004</v>
      </c>
      <c r="F97" s="4">
        <v>1</v>
      </c>
      <c r="G97" s="5">
        <f>57662.53-2144.87</f>
        <v>55517.659999999996</v>
      </c>
      <c r="H97" s="4">
        <v>1</v>
      </c>
      <c r="I97" s="5">
        <f>59110.34-1652.49</f>
        <v>57457.85</v>
      </c>
      <c r="J97" s="4">
        <v>1</v>
      </c>
      <c r="K97" s="5">
        <f>60496.66-2319.37</f>
        <v>58177.29</v>
      </c>
      <c r="L97" s="4">
        <v>1</v>
      </c>
      <c r="M97" s="5">
        <f>60499.85-2674.67</f>
        <v>57825.18</v>
      </c>
      <c r="N97" s="2">
        <v>1</v>
      </c>
      <c r="O97" s="5">
        <f>60499.85-350.98</f>
        <v>60148.869999999995</v>
      </c>
      <c r="P97" s="2">
        <v>1</v>
      </c>
      <c r="Q97" s="5">
        <f>61105.74-508</f>
        <v>60597.74</v>
      </c>
      <c r="R97" s="2">
        <v>1</v>
      </c>
      <c r="S97" s="5">
        <f>62329.4-486.5</f>
        <v>61842.9</v>
      </c>
      <c r="T97" s="2">
        <v>1</v>
      </c>
      <c r="U97" s="5">
        <f>63262.03-536.6</f>
        <v>62725.43</v>
      </c>
      <c r="V97" s="2">
        <v>1</v>
      </c>
      <c r="W97" s="5">
        <f>64206.59-556.74</f>
        <v>63649.85</v>
      </c>
      <c r="X97" s="24">
        <v>1</v>
      </c>
      <c r="Y97" s="10">
        <f>65169.05-777.31</f>
        <v>64391.740000000005</v>
      </c>
      <c r="Z97" s="2">
        <v>1</v>
      </c>
      <c r="AA97" s="5">
        <f>65489.87*0.4</f>
        <v>26195.948000000004</v>
      </c>
    </row>
    <row r="98" spans="1:27" x14ac:dyDescent="0.3">
      <c r="A98" s="3" t="s">
        <v>234</v>
      </c>
      <c r="B98" s="3" t="s">
        <v>235</v>
      </c>
      <c r="C98" s="3" t="s">
        <v>247</v>
      </c>
      <c r="D98" s="8"/>
      <c r="E98" s="6"/>
      <c r="F98" s="4">
        <v>1</v>
      </c>
      <c r="G98" s="5">
        <v>22382.93</v>
      </c>
      <c r="H98" s="4">
        <v>1</v>
      </c>
      <c r="I98" s="5">
        <f>33173.8-6411.66</f>
        <v>26762.140000000003</v>
      </c>
      <c r="J98" s="4">
        <v>1</v>
      </c>
      <c r="K98" s="5">
        <f>24861.3+2572.47</f>
        <v>27433.77</v>
      </c>
      <c r="L98" s="4">
        <v>1</v>
      </c>
      <c r="M98" s="5">
        <f>21792.1-4197.45</f>
        <v>17594.649999999998</v>
      </c>
      <c r="N98" s="13"/>
      <c r="O98" s="14"/>
      <c r="P98" s="13"/>
      <c r="Q98" s="14"/>
      <c r="R98" s="13"/>
      <c r="S98" s="14"/>
      <c r="T98" s="13"/>
      <c r="U98" s="14"/>
      <c r="V98" s="13"/>
      <c r="W98" s="14"/>
      <c r="X98" s="19"/>
      <c r="Y98" s="29"/>
      <c r="Z98" s="13"/>
      <c r="AA98" s="14"/>
    </row>
    <row r="99" spans="1:27" x14ac:dyDescent="0.3">
      <c r="A99" s="3" t="s">
        <v>121</v>
      </c>
      <c r="B99" s="3" t="s">
        <v>122</v>
      </c>
      <c r="C99" s="2" t="s">
        <v>169</v>
      </c>
      <c r="D99" s="2">
        <v>1</v>
      </c>
      <c r="E99" s="5">
        <f>25353.46-369.65</f>
        <v>24983.809999999998</v>
      </c>
      <c r="F99" s="15"/>
      <c r="G99" s="14"/>
      <c r="H99" s="15"/>
      <c r="I99" s="14"/>
      <c r="J99" s="15"/>
      <c r="K99" s="14"/>
      <c r="L99" s="15"/>
      <c r="M99" s="14"/>
      <c r="N99" s="13"/>
      <c r="O99" s="14"/>
      <c r="P99" s="13"/>
      <c r="Q99" s="14"/>
      <c r="R99" s="13"/>
      <c r="S99" s="14"/>
      <c r="T99" s="13"/>
      <c r="U99" s="14"/>
      <c r="V99" s="13"/>
      <c r="W99" s="14"/>
      <c r="X99" s="19"/>
      <c r="Y99" s="29"/>
      <c r="Z99" s="13"/>
      <c r="AA99" s="14"/>
    </row>
    <row r="100" spans="1:27" ht="28.8" x14ac:dyDescent="0.3">
      <c r="A100" s="3" t="s">
        <v>240</v>
      </c>
      <c r="B100" s="3" t="s">
        <v>122</v>
      </c>
      <c r="C100" s="2" t="s">
        <v>169</v>
      </c>
      <c r="D100" s="2"/>
      <c r="E100" s="5">
        <v>9002.5400000000009</v>
      </c>
      <c r="F100" s="15"/>
      <c r="G100" s="14"/>
      <c r="H100" s="15"/>
      <c r="I100" s="14"/>
      <c r="J100" s="15"/>
      <c r="K100" s="14"/>
      <c r="L100" s="15"/>
      <c r="M100" s="14"/>
      <c r="N100" s="13"/>
      <c r="O100" s="14"/>
      <c r="P100" s="13"/>
      <c r="Q100" s="14"/>
      <c r="R100" s="13"/>
      <c r="S100" s="14"/>
      <c r="T100" s="13"/>
      <c r="U100" s="14"/>
      <c r="V100" s="13"/>
      <c r="W100" s="14"/>
      <c r="X100" s="19"/>
      <c r="Y100" s="29"/>
      <c r="Z100" s="13"/>
      <c r="AA100" s="14"/>
    </row>
    <row r="101" spans="1:27" ht="43.2" x14ac:dyDescent="0.3">
      <c r="A101" s="3" t="s">
        <v>124</v>
      </c>
      <c r="B101" s="3" t="s">
        <v>125</v>
      </c>
      <c r="C101" s="3" t="s">
        <v>275</v>
      </c>
      <c r="D101" s="2">
        <v>2</v>
      </c>
      <c r="E101" s="5">
        <f>138837.42-43960.04-24425.09</f>
        <v>70452.290000000008</v>
      </c>
      <c r="F101" s="4">
        <v>2</v>
      </c>
      <c r="G101" s="5">
        <f>24868.96+51421.15+22288.58-8160.81</f>
        <v>90417.88</v>
      </c>
      <c r="H101" s="4">
        <v>2</v>
      </c>
      <c r="I101" s="5">
        <f>25550.79+53506.35+23446.57-3528.16</f>
        <v>98975.549999999988</v>
      </c>
      <c r="J101" s="4">
        <v>2</v>
      </c>
      <c r="K101" s="5">
        <f>26936.06+55164.09+24116.33-21412.22</f>
        <v>84804.26</v>
      </c>
      <c r="L101" s="4">
        <v>2</v>
      </c>
      <c r="M101" s="5">
        <f>27007.83+34990.25+5220.23+24731.56-4091.78</f>
        <v>87858.09</v>
      </c>
      <c r="N101" s="24">
        <v>1.5</v>
      </c>
      <c r="O101" s="5">
        <f>80090.47-6691.23</f>
        <v>73399.240000000005</v>
      </c>
      <c r="P101" s="24">
        <v>1.85</v>
      </c>
      <c r="Q101" s="5">
        <f>102277.94-4095.46</f>
        <v>98182.48</v>
      </c>
      <c r="R101" s="2">
        <v>2</v>
      </c>
      <c r="S101" s="5">
        <f>113325.12-1036.95</f>
        <v>112288.17</v>
      </c>
      <c r="T101" s="2">
        <v>2</v>
      </c>
      <c r="U101" s="5">
        <f>115661.57-405.8</f>
        <v>115255.77</v>
      </c>
      <c r="V101" s="2">
        <v>2</v>
      </c>
      <c r="W101" s="5">
        <f>117541.78-0</f>
        <v>117541.78</v>
      </c>
      <c r="X101" s="2">
        <v>2</v>
      </c>
      <c r="Y101" s="5">
        <f>120076.12-0</f>
        <v>120076.12</v>
      </c>
      <c r="Z101" s="2">
        <v>2</v>
      </c>
      <c r="AA101" s="5">
        <f>120667.03*0.4</f>
        <v>48266.812000000005</v>
      </c>
    </row>
    <row r="102" spans="1:27" ht="28.8" x14ac:dyDescent="0.3">
      <c r="A102" s="3" t="s">
        <v>126</v>
      </c>
      <c r="B102" s="3" t="s">
        <v>127</v>
      </c>
      <c r="C102" s="2" t="s">
        <v>186</v>
      </c>
      <c r="D102" s="2">
        <v>1</v>
      </c>
      <c r="E102" s="5">
        <v>43960.04</v>
      </c>
      <c r="F102" s="4">
        <v>1</v>
      </c>
      <c r="G102" s="5">
        <v>45138.28</v>
      </c>
      <c r="H102" s="4">
        <v>1</v>
      </c>
      <c r="I102" s="5">
        <v>42399.62</v>
      </c>
      <c r="J102" s="15"/>
      <c r="K102" s="14"/>
      <c r="L102" s="15"/>
      <c r="M102" s="14"/>
      <c r="N102" s="13"/>
      <c r="O102" s="14"/>
      <c r="P102" s="13"/>
      <c r="Q102" s="14"/>
      <c r="R102" s="13"/>
      <c r="S102" s="14"/>
      <c r="T102" s="13"/>
      <c r="U102" s="14"/>
      <c r="V102" s="13"/>
      <c r="W102" s="14"/>
      <c r="X102" s="13"/>
      <c r="Y102" s="14"/>
      <c r="Z102" s="13"/>
      <c r="AA102" s="14"/>
    </row>
    <row r="103" spans="1:27" x14ac:dyDescent="0.3">
      <c r="A103" s="3" t="s">
        <v>236</v>
      </c>
      <c r="B103" s="3" t="s">
        <v>237</v>
      </c>
      <c r="C103" s="2" t="s">
        <v>248</v>
      </c>
      <c r="D103" s="8">
        <v>1</v>
      </c>
      <c r="E103" s="6">
        <v>5349.2</v>
      </c>
      <c r="F103" s="4">
        <v>1</v>
      </c>
      <c r="G103" s="5">
        <v>32469.53</v>
      </c>
      <c r="H103" s="4">
        <v>1</v>
      </c>
      <c r="I103" s="5">
        <v>33282.080000000002</v>
      </c>
      <c r="J103" s="4">
        <v>1</v>
      </c>
      <c r="K103" s="5">
        <f>5676.38+19772.71</f>
        <v>25449.09</v>
      </c>
      <c r="L103" s="4"/>
      <c r="M103" s="14"/>
      <c r="N103" s="13"/>
      <c r="O103" s="14"/>
      <c r="P103" s="13"/>
      <c r="Q103" s="14"/>
      <c r="R103" s="13"/>
      <c r="S103" s="14"/>
      <c r="T103" s="13"/>
      <c r="U103" s="14"/>
      <c r="V103" s="13"/>
      <c r="W103" s="14"/>
      <c r="X103" s="13"/>
      <c r="Y103" s="14"/>
      <c r="Z103" s="13"/>
      <c r="AA103" s="14"/>
    </row>
    <row r="104" spans="1:27" x14ac:dyDescent="0.3">
      <c r="A104" s="3" t="s">
        <v>238</v>
      </c>
      <c r="B104" s="3" t="s">
        <v>237</v>
      </c>
      <c r="C104" s="2" t="s">
        <v>249</v>
      </c>
      <c r="D104" s="13"/>
      <c r="E104" s="14"/>
      <c r="F104" s="4">
        <v>1</v>
      </c>
      <c r="G104" s="5">
        <v>26565.32</v>
      </c>
      <c r="H104" s="4">
        <v>1</v>
      </c>
      <c r="I104" s="5">
        <v>36167.9</v>
      </c>
      <c r="J104" s="4">
        <v>1</v>
      </c>
      <c r="K104" s="5">
        <v>37011.25</v>
      </c>
      <c r="L104" s="4">
        <v>1</v>
      </c>
      <c r="M104" s="5">
        <v>9252.81</v>
      </c>
      <c r="N104" s="13"/>
      <c r="O104" s="14"/>
      <c r="P104" s="13"/>
      <c r="Q104" s="14"/>
      <c r="R104" s="13"/>
      <c r="S104" s="14"/>
      <c r="T104" s="13"/>
      <c r="U104" s="14"/>
      <c r="V104" s="13"/>
      <c r="W104" s="14"/>
      <c r="X104" s="13"/>
      <c r="Y104" s="14"/>
      <c r="Z104" s="13"/>
      <c r="AA104" s="14"/>
    </row>
    <row r="105" spans="1:27" x14ac:dyDescent="0.3">
      <c r="A105" s="3" t="s">
        <v>265</v>
      </c>
      <c r="B105" s="3" t="s">
        <v>237</v>
      </c>
      <c r="C105" s="2" t="s">
        <v>266</v>
      </c>
      <c r="D105" s="13"/>
      <c r="E105" s="14"/>
      <c r="F105" s="15"/>
      <c r="G105" s="14"/>
      <c r="H105" s="9">
        <v>0.88</v>
      </c>
      <c r="I105" s="5">
        <f>25580.65</f>
        <v>25580.65</v>
      </c>
      <c r="J105" s="4">
        <v>1</v>
      </c>
      <c r="K105" s="5">
        <f>12888.84+19091.44</f>
        <v>31980.28</v>
      </c>
      <c r="L105" s="15"/>
      <c r="M105" s="14"/>
      <c r="N105" s="13"/>
      <c r="O105" s="14"/>
      <c r="P105" s="13"/>
      <c r="Q105" s="14"/>
      <c r="R105" s="13"/>
      <c r="S105" s="14"/>
      <c r="T105" s="13"/>
      <c r="U105" s="14"/>
      <c r="V105" s="13"/>
      <c r="W105" s="14"/>
      <c r="X105" s="13"/>
      <c r="Y105" s="14"/>
      <c r="Z105" s="13"/>
      <c r="AA105" s="14"/>
    </row>
    <row r="106" spans="1:27" ht="28.8" x14ac:dyDescent="0.3">
      <c r="A106" s="3" t="s">
        <v>128</v>
      </c>
      <c r="B106" s="3" t="s">
        <v>129</v>
      </c>
      <c r="C106" s="3" t="s">
        <v>298</v>
      </c>
      <c r="D106" s="2">
        <v>2</v>
      </c>
      <c r="E106" s="5">
        <v>68299.87</v>
      </c>
      <c r="F106" s="4">
        <v>2</v>
      </c>
      <c r="G106" s="5">
        <f>50420.54-11243.74</f>
        <v>39176.800000000003</v>
      </c>
      <c r="H106" s="4">
        <v>2</v>
      </c>
      <c r="I106" s="5">
        <f>72495.19-2931.84</f>
        <v>69563.350000000006</v>
      </c>
      <c r="J106" s="4">
        <v>2</v>
      </c>
      <c r="K106" s="5">
        <f>37394.04+37394.04-4039.33</f>
        <v>70748.75</v>
      </c>
      <c r="L106" s="4">
        <v>2</v>
      </c>
      <c r="M106" s="5">
        <f>75568.98-2927.14</f>
        <v>72641.84</v>
      </c>
      <c r="N106" s="2">
        <v>2</v>
      </c>
      <c r="O106" s="5">
        <f>75596.29-3716.32</f>
        <v>71879.969999999987</v>
      </c>
      <c r="P106" s="2">
        <v>2</v>
      </c>
      <c r="Q106" s="5">
        <f>75951-7864.1</f>
        <v>68086.899999999994</v>
      </c>
      <c r="R106" s="2">
        <v>1</v>
      </c>
      <c r="S106" s="5">
        <f>77014.66-7921.09</f>
        <v>69093.570000000007</v>
      </c>
      <c r="T106" s="2">
        <v>2</v>
      </c>
      <c r="U106" s="5">
        <f>62754.94-8120.07</f>
        <v>54634.87</v>
      </c>
      <c r="V106" s="2">
        <v>1</v>
      </c>
      <c r="W106" s="5">
        <f>38510.52</f>
        <v>38510.519999999997</v>
      </c>
      <c r="X106" s="2">
        <v>1</v>
      </c>
      <c r="Y106" s="5">
        <f>41208.1-4519.7</f>
        <v>36688.400000000001</v>
      </c>
      <c r="Z106" s="2">
        <v>1</v>
      </c>
      <c r="AA106" s="5">
        <f>41621.29*0.4</f>
        <v>16648.516</v>
      </c>
    </row>
    <row r="107" spans="1:27" ht="43.2" x14ac:dyDescent="0.3">
      <c r="A107" s="3" t="s">
        <v>132</v>
      </c>
      <c r="B107" s="3" t="s">
        <v>131</v>
      </c>
      <c r="C107" s="3" t="s">
        <v>282</v>
      </c>
      <c r="D107" s="2">
        <v>2</v>
      </c>
      <c r="E107" s="5">
        <f>34256.2+37547.3-15436.54</f>
        <v>56366.96</v>
      </c>
      <c r="F107" s="4">
        <v>2</v>
      </c>
      <c r="G107" s="5">
        <f>36091.34+39507.74-18216.16</f>
        <v>57382.919999999984</v>
      </c>
      <c r="H107" s="4">
        <v>2</v>
      </c>
      <c r="I107" s="5">
        <f>37993.81+41969.99-6784.44</f>
        <v>73179.359999999986</v>
      </c>
      <c r="J107" s="4">
        <v>2</v>
      </c>
      <c r="K107" s="5">
        <f>39973.93+44079.21-5353.41</f>
        <v>78699.73</v>
      </c>
      <c r="L107" s="4">
        <v>2</v>
      </c>
      <c r="M107" s="5">
        <f>85069-4426.93</f>
        <v>80642.070000000007</v>
      </c>
      <c r="N107" s="2">
        <v>2</v>
      </c>
      <c r="O107" s="5">
        <f>85444.64-5393.38</f>
        <v>80051.259999999995</v>
      </c>
      <c r="P107" s="2">
        <v>1</v>
      </c>
      <c r="Q107" s="5">
        <f>40966.57-10544.36</f>
        <v>30422.21</v>
      </c>
      <c r="R107" s="2">
        <v>1</v>
      </c>
      <c r="S107" s="5">
        <f>16708.82-7819.2</f>
        <v>8889.619999999999</v>
      </c>
      <c r="T107" s="13"/>
      <c r="U107" s="14"/>
      <c r="V107" s="13"/>
      <c r="W107" s="14"/>
      <c r="X107" s="13"/>
      <c r="Y107" s="14"/>
      <c r="Z107" s="13"/>
      <c r="AA107" s="14"/>
    </row>
    <row r="108" spans="1:27" x14ac:dyDescent="0.3">
      <c r="A108" s="3" t="s">
        <v>130</v>
      </c>
      <c r="B108" s="3" t="s">
        <v>131</v>
      </c>
      <c r="C108" s="3" t="s">
        <v>170</v>
      </c>
      <c r="D108" s="2">
        <v>2</v>
      </c>
      <c r="E108" s="5">
        <f>19530.88+13713.17+6406.47</f>
        <v>39650.520000000004</v>
      </c>
      <c r="F108" s="4">
        <v>2</v>
      </c>
      <c r="G108" s="5">
        <f>17457.57+3181.7</f>
        <v>20639.27</v>
      </c>
      <c r="H108" s="4">
        <v>1</v>
      </c>
      <c r="I108" s="5">
        <v>13774.56</v>
      </c>
      <c r="J108" s="15"/>
      <c r="K108" s="14"/>
      <c r="L108" s="15"/>
      <c r="M108" s="14"/>
      <c r="N108" s="13"/>
      <c r="O108" s="13"/>
      <c r="P108" s="13"/>
      <c r="Q108" s="14"/>
      <c r="R108" s="13"/>
      <c r="S108" s="14"/>
      <c r="T108" s="13"/>
      <c r="U108" s="14"/>
      <c r="V108" s="13"/>
      <c r="W108" s="14"/>
      <c r="X108" s="13"/>
      <c r="Y108" s="14"/>
      <c r="Z108" s="13"/>
      <c r="AA108" s="14"/>
    </row>
    <row r="109" spans="1:27" x14ac:dyDescent="0.3">
      <c r="D109">
        <f>SUM(D6:D108)</f>
        <v>123.19999999999997</v>
      </c>
      <c r="E109" s="1">
        <f>SUM(E6:E108)</f>
        <v>3948828.68</v>
      </c>
      <c r="F109" s="1">
        <f>SUM(F5:F108)</f>
        <v>122.00999999999999</v>
      </c>
      <c r="G109" s="1">
        <f>SUM(G5:G108)</f>
        <v>4209658.3000000007</v>
      </c>
      <c r="H109">
        <f>SUM(H5:H108)</f>
        <v>109.99</v>
      </c>
      <c r="I109" s="1">
        <f>SUM(I7:I108)</f>
        <v>3990526.6600000006</v>
      </c>
      <c r="J109">
        <f>SUM(J5:J108)</f>
        <v>91.759999999999977</v>
      </c>
      <c r="K109" s="1">
        <f>SUM(K5:K108)+K20</f>
        <v>3488853.2799999989</v>
      </c>
      <c r="L109" s="1">
        <f t="shared" ref="L109:Q109" si="0">SUM(L5:L108)</f>
        <v>66.169999999999987</v>
      </c>
      <c r="M109" s="1">
        <f t="shared" si="0"/>
        <v>2598558.38</v>
      </c>
      <c r="N109">
        <f t="shared" si="0"/>
        <v>52.919999999999995</v>
      </c>
      <c r="O109" s="1">
        <f t="shared" si="0"/>
        <v>2303413.2400000002</v>
      </c>
      <c r="P109" s="1">
        <f t="shared" si="0"/>
        <v>47.550000000000004</v>
      </c>
      <c r="Q109" s="1">
        <f t="shared" si="0"/>
        <v>2034281.4299999997</v>
      </c>
      <c r="R109" s="1">
        <f>SUM(R5:R107)</f>
        <v>43.17</v>
      </c>
      <c r="S109" s="1">
        <f t="shared" ref="S109:AA109" si="1">SUM(S5:S108)</f>
        <v>1970355.85</v>
      </c>
      <c r="T109" s="1">
        <f t="shared" si="1"/>
        <v>40.299999999999997</v>
      </c>
      <c r="U109" s="1">
        <f t="shared" si="1"/>
        <v>1812856.31</v>
      </c>
      <c r="V109" s="1">
        <f t="shared" si="1"/>
        <v>36.799999999999997</v>
      </c>
      <c r="W109" s="1">
        <f t="shared" si="1"/>
        <v>1755012.4500000002</v>
      </c>
      <c r="X109" s="1">
        <f t="shared" si="1"/>
        <v>34.760000000000005</v>
      </c>
      <c r="Y109" s="1">
        <f t="shared" si="1"/>
        <v>1591668.48</v>
      </c>
      <c r="Z109" s="17">
        <f t="shared" si="1"/>
        <v>33.450000000000003</v>
      </c>
      <c r="AA109" s="1">
        <f t="shared" si="1"/>
        <v>697650.32399999991</v>
      </c>
    </row>
    <row r="110" spans="1:27" x14ac:dyDescent="0.3">
      <c r="AA110" t="s">
        <v>292</v>
      </c>
    </row>
  </sheetData>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34290-D191-4B75-A8D2-A040F7D4480B}">
  <dimension ref="A1:O20"/>
  <sheetViews>
    <sheetView tabSelected="1" topLeftCell="A4" workbookViewId="0">
      <selection activeCell="B3" sqref="B3"/>
    </sheetView>
  </sheetViews>
  <sheetFormatPr defaultRowHeight="14.4" x14ac:dyDescent="0.3"/>
  <cols>
    <col min="1" max="1" width="28.5546875" customWidth="1"/>
    <col min="2" max="2" width="56.5546875" customWidth="1"/>
    <col min="3" max="3" width="9" customWidth="1"/>
    <col min="4" max="4" width="11.44140625" bestFit="1" customWidth="1"/>
    <col min="5" max="5" width="11.5546875" customWidth="1"/>
    <col min="6" max="6" width="11.44140625" bestFit="1" customWidth="1"/>
    <col min="7" max="7" width="11.33203125" customWidth="1"/>
    <col min="8" max="8" width="11.6640625" customWidth="1"/>
    <col min="9" max="9" width="12.44140625" customWidth="1"/>
    <col min="10" max="14" width="11.44140625" bestFit="1" customWidth="1"/>
    <col min="15" max="15" width="12.88671875" customWidth="1"/>
  </cols>
  <sheetData>
    <row r="1" spans="1:15" x14ac:dyDescent="0.3">
      <c r="A1" s="2" t="s">
        <v>16</v>
      </c>
      <c r="B1" s="33"/>
      <c r="C1" s="34"/>
      <c r="D1" s="34"/>
      <c r="E1" s="34"/>
      <c r="F1" s="34"/>
      <c r="G1" s="34"/>
      <c r="H1" s="34"/>
      <c r="I1" s="34"/>
      <c r="J1" s="34"/>
      <c r="K1" s="34"/>
      <c r="L1" s="34"/>
      <c r="M1" s="34"/>
      <c r="N1" s="34"/>
      <c r="O1" s="35"/>
    </row>
    <row r="2" spans="1:15" x14ac:dyDescent="0.3">
      <c r="A2" s="37"/>
      <c r="B2" s="38"/>
      <c r="C2" s="38"/>
      <c r="D2" s="38"/>
      <c r="E2" s="38"/>
      <c r="F2" s="38"/>
      <c r="G2" s="38"/>
      <c r="H2" s="38"/>
      <c r="I2" s="38"/>
      <c r="J2" s="38"/>
      <c r="K2" s="38"/>
      <c r="L2" s="38"/>
      <c r="M2" s="38"/>
      <c r="N2" s="38"/>
      <c r="O2" s="39"/>
    </row>
    <row r="3" spans="1:15" ht="115.2" x14ac:dyDescent="0.3">
      <c r="A3" s="2" t="s">
        <v>0</v>
      </c>
      <c r="B3" s="2"/>
      <c r="C3" s="3" t="s">
        <v>1</v>
      </c>
      <c r="D3" s="2">
        <v>2010</v>
      </c>
      <c r="E3" s="2">
        <v>2011</v>
      </c>
      <c r="F3" s="2">
        <v>2012</v>
      </c>
      <c r="G3" s="2">
        <v>2013</v>
      </c>
      <c r="H3" s="2">
        <v>2014</v>
      </c>
      <c r="I3" s="2">
        <v>2015</v>
      </c>
      <c r="J3" s="2">
        <v>2016</v>
      </c>
      <c r="K3" s="2">
        <v>2017</v>
      </c>
      <c r="L3" s="2">
        <v>2018</v>
      </c>
      <c r="M3" s="2">
        <v>2019</v>
      </c>
      <c r="N3" s="2">
        <v>2020</v>
      </c>
      <c r="O3" s="2">
        <v>2021</v>
      </c>
    </row>
    <row r="4" spans="1:15" ht="43.2" x14ac:dyDescent="0.3">
      <c r="A4" s="2"/>
      <c r="B4" s="2"/>
      <c r="C4" s="2"/>
      <c r="D4" s="2"/>
      <c r="E4" s="2"/>
      <c r="F4" s="2"/>
      <c r="G4" s="2"/>
      <c r="H4" s="2"/>
      <c r="I4" s="2"/>
      <c r="J4" s="2"/>
      <c r="K4" s="2"/>
      <c r="L4" s="2"/>
      <c r="M4" s="2"/>
      <c r="N4" s="3" t="s">
        <v>307</v>
      </c>
      <c r="O4" s="2"/>
    </row>
    <row r="5" spans="1:15" x14ac:dyDescent="0.3">
      <c r="A5" s="2"/>
      <c r="B5" s="2"/>
      <c r="C5" s="2"/>
      <c r="D5" s="2"/>
      <c r="E5" s="2"/>
      <c r="F5" s="2"/>
      <c r="G5" s="2"/>
      <c r="H5" s="2"/>
      <c r="I5" s="2"/>
      <c r="J5" s="2"/>
      <c r="K5" s="2"/>
      <c r="L5" s="2"/>
      <c r="M5" s="2"/>
      <c r="N5" s="2"/>
      <c r="O5" s="2"/>
    </row>
    <row r="6" spans="1:15" ht="86.4" x14ac:dyDescent="0.3">
      <c r="A6" s="2" t="s">
        <v>3</v>
      </c>
      <c r="B6" s="30" t="s">
        <v>312</v>
      </c>
      <c r="C6" s="2">
        <v>3</v>
      </c>
      <c r="D6" s="5">
        <v>21000</v>
      </c>
      <c r="E6" s="5">
        <v>21000</v>
      </c>
      <c r="F6" s="5">
        <v>21000</v>
      </c>
      <c r="G6" s="5">
        <v>21000</v>
      </c>
      <c r="H6" s="5">
        <v>21000</v>
      </c>
      <c r="I6" s="5">
        <v>21000</v>
      </c>
      <c r="J6" s="5">
        <v>21000</v>
      </c>
      <c r="K6" s="5">
        <v>21000</v>
      </c>
      <c r="L6" s="5">
        <v>21000</v>
      </c>
      <c r="M6" s="5">
        <v>21000</v>
      </c>
      <c r="N6" s="5">
        <v>21000</v>
      </c>
      <c r="O6" s="36" t="s">
        <v>308</v>
      </c>
    </row>
    <row r="7" spans="1:15" ht="86.4" x14ac:dyDescent="0.3">
      <c r="A7" s="2" t="s">
        <v>6</v>
      </c>
      <c r="B7" s="3" t="s">
        <v>303</v>
      </c>
      <c r="C7" s="2">
        <v>3</v>
      </c>
      <c r="D7" s="5">
        <v>21000</v>
      </c>
      <c r="E7" s="5">
        <v>21000</v>
      </c>
      <c r="F7" s="5">
        <v>21000</v>
      </c>
      <c r="G7" s="5">
        <v>21000</v>
      </c>
      <c r="H7" s="5">
        <v>21000</v>
      </c>
      <c r="I7" s="5">
        <v>21000</v>
      </c>
      <c r="J7" s="5">
        <v>21000</v>
      </c>
      <c r="K7" s="5">
        <v>21000</v>
      </c>
      <c r="L7" s="5">
        <v>21000</v>
      </c>
      <c r="M7" s="5">
        <v>21000</v>
      </c>
      <c r="N7" s="5">
        <v>21000</v>
      </c>
      <c r="O7" s="36" t="s">
        <v>308</v>
      </c>
    </row>
    <row r="8" spans="1:15" ht="144" x14ac:dyDescent="0.3">
      <c r="A8" s="2" t="s">
        <v>4</v>
      </c>
      <c r="B8" s="3" t="s">
        <v>311</v>
      </c>
      <c r="C8" s="3" t="s">
        <v>305</v>
      </c>
      <c r="D8" s="5">
        <v>14000</v>
      </c>
      <c r="E8" s="5">
        <v>14000</v>
      </c>
      <c r="F8" s="5">
        <v>14000</v>
      </c>
      <c r="G8" s="5">
        <v>14000</v>
      </c>
      <c r="H8" s="5">
        <v>14000</v>
      </c>
      <c r="I8" s="5">
        <f>37800+1750+970.97</f>
        <v>40520.97</v>
      </c>
      <c r="J8" s="5">
        <v>42000</v>
      </c>
      <c r="K8" s="5">
        <v>42000</v>
      </c>
      <c r="L8" s="5">
        <f>49000+2913.74</f>
        <v>51913.74</v>
      </c>
      <c r="M8" s="5">
        <v>63000</v>
      </c>
      <c r="N8" s="5">
        <f>45745.85</f>
        <v>45745.85</v>
      </c>
      <c r="O8" s="36" t="s">
        <v>308</v>
      </c>
    </row>
    <row r="9" spans="1:15" ht="43.2" x14ac:dyDescent="0.3">
      <c r="A9" s="2" t="s">
        <v>7</v>
      </c>
      <c r="B9" s="3" t="s">
        <v>299</v>
      </c>
      <c r="C9" s="2">
        <v>1</v>
      </c>
      <c r="D9" s="5">
        <v>7000</v>
      </c>
      <c r="E9" s="5">
        <v>7000</v>
      </c>
      <c r="F9" s="5">
        <v>7000</v>
      </c>
      <c r="G9" s="5">
        <v>7000</v>
      </c>
      <c r="H9" s="5">
        <v>7000</v>
      </c>
      <c r="I9" s="5">
        <v>7000</v>
      </c>
      <c r="J9" s="5">
        <v>7000</v>
      </c>
      <c r="K9" s="5">
        <v>7000</v>
      </c>
      <c r="L9" s="5">
        <v>7000</v>
      </c>
      <c r="M9" s="5">
        <v>7000</v>
      </c>
      <c r="N9" s="5">
        <v>1750</v>
      </c>
      <c r="O9" s="14">
        <v>0</v>
      </c>
    </row>
    <row r="10" spans="1:15" ht="86.4" x14ac:dyDescent="0.3">
      <c r="A10" s="2" t="s">
        <v>12</v>
      </c>
      <c r="B10" s="3" t="s">
        <v>310</v>
      </c>
      <c r="C10" s="2">
        <v>2</v>
      </c>
      <c r="D10" s="5">
        <v>14000</v>
      </c>
      <c r="E10" s="5">
        <v>14000</v>
      </c>
      <c r="F10" s="5">
        <v>14000</v>
      </c>
      <c r="G10" s="5">
        <v>14000</v>
      </c>
      <c r="H10" s="5">
        <v>14000</v>
      </c>
      <c r="I10" s="5">
        <v>14000</v>
      </c>
      <c r="J10" s="5">
        <v>14000</v>
      </c>
      <c r="K10" s="5">
        <v>14000</v>
      </c>
      <c r="L10" s="5">
        <v>14000</v>
      </c>
      <c r="M10" s="5">
        <v>14000</v>
      </c>
      <c r="N10" s="5">
        <v>12221.31</v>
      </c>
      <c r="O10" s="36" t="s">
        <v>308</v>
      </c>
    </row>
    <row r="11" spans="1:15" ht="28.8" x14ac:dyDescent="0.3">
      <c r="A11" s="2" t="s">
        <v>5</v>
      </c>
      <c r="B11" s="3" t="s">
        <v>301</v>
      </c>
      <c r="C11" s="2">
        <v>1</v>
      </c>
      <c r="D11" s="5">
        <v>7000</v>
      </c>
      <c r="E11" s="5">
        <v>7000</v>
      </c>
      <c r="F11" s="5">
        <v>7000</v>
      </c>
      <c r="G11" s="5">
        <v>7000</v>
      </c>
      <c r="H11" s="5">
        <v>7000</v>
      </c>
      <c r="I11" s="5">
        <f>2917</f>
        <v>2917</v>
      </c>
      <c r="J11" s="14">
        <v>0</v>
      </c>
      <c r="K11" s="14">
        <v>0</v>
      </c>
      <c r="L11" s="14">
        <v>0</v>
      </c>
      <c r="M11" s="14">
        <v>0</v>
      </c>
      <c r="N11" s="14">
        <v>0</v>
      </c>
      <c r="O11" s="14">
        <v>0</v>
      </c>
    </row>
    <row r="12" spans="1:15" ht="28.8" x14ac:dyDescent="0.3">
      <c r="A12" s="2" t="s">
        <v>2</v>
      </c>
      <c r="B12" s="3" t="s">
        <v>302</v>
      </c>
      <c r="C12" s="2">
        <v>4</v>
      </c>
      <c r="D12" s="5">
        <v>28000</v>
      </c>
      <c r="E12" s="5">
        <v>21000</v>
      </c>
      <c r="F12" s="5">
        <v>21000</v>
      </c>
      <c r="G12" s="5">
        <v>21000</v>
      </c>
      <c r="H12" s="14">
        <v>0</v>
      </c>
      <c r="I12" s="14">
        <v>0</v>
      </c>
      <c r="J12" s="14">
        <v>0</v>
      </c>
      <c r="K12" s="14">
        <v>0</v>
      </c>
      <c r="L12" s="14">
        <v>0</v>
      </c>
      <c r="M12" s="14">
        <v>0</v>
      </c>
      <c r="N12" s="14">
        <v>0</v>
      </c>
      <c r="O12" s="14">
        <v>0</v>
      </c>
    </row>
    <row r="13" spans="1:15" ht="28.8" x14ac:dyDescent="0.3">
      <c r="A13" s="2" t="s">
        <v>9</v>
      </c>
      <c r="B13" s="30" t="s">
        <v>300</v>
      </c>
      <c r="C13" s="2">
        <v>3</v>
      </c>
      <c r="D13" s="5">
        <v>21000</v>
      </c>
      <c r="E13" s="5">
        <v>7000</v>
      </c>
      <c r="F13" s="5">
        <v>7000</v>
      </c>
      <c r="G13" s="5">
        <v>7000</v>
      </c>
      <c r="H13" s="5">
        <v>7000</v>
      </c>
      <c r="I13" s="14">
        <v>0</v>
      </c>
      <c r="J13" s="14">
        <v>0</v>
      </c>
      <c r="K13" s="14">
        <v>0</v>
      </c>
      <c r="L13" s="14">
        <v>0</v>
      </c>
      <c r="M13" s="14">
        <v>0</v>
      </c>
      <c r="N13" s="14">
        <v>0</v>
      </c>
      <c r="O13" s="14">
        <v>0</v>
      </c>
    </row>
    <row r="14" spans="1:15" ht="69" x14ac:dyDescent="0.3">
      <c r="A14" s="2" t="s">
        <v>13</v>
      </c>
      <c r="B14" s="31" t="s">
        <v>15</v>
      </c>
      <c r="C14" s="3" t="s">
        <v>306</v>
      </c>
      <c r="D14" s="5">
        <v>21000</v>
      </c>
      <c r="E14" s="5">
        <v>21000</v>
      </c>
      <c r="F14" s="5">
        <v>21000</v>
      </c>
      <c r="G14" s="5">
        <v>21000</v>
      </c>
      <c r="H14" s="5">
        <v>56000</v>
      </c>
      <c r="I14" s="5">
        <v>49000</v>
      </c>
      <c r="J14" s="14">
        <v>0</v>
      </c>
      <c r="K14" s="14">
        <v>0</v>
      </c>
      <c r="L14" s="14">
        <v>0</v>
      </c>
      <c r="M14" s="14">
        <v>0</v>
      </c>
      <c r="N14" s="14">
        <v>0</v>
      </c>
      <c r="O14" s="14">
        <v>0</v>
      </c>
    </row>
    <row r="15" spans="1:15" ht="57.6" x14ac:dyDescent="0.3">
      <c r="A15" s="2" t="s">
        <v>8</v>
      </c>
      <c r="B15" s="32" t="s">
        <v>313</v>
      </c>
      <c r="C15" s="2">
        <v>1</v>
      </c>
      <c r="D15" s="5">
        <v>7000</v>
      </c>
      <c r="E15" s="5">
        <v>7000</v>
      </c>
      <c r="F15" s="5">
        <v>7000</v>
      </c>
      <c r="G15" s="5">
        <v>7000</v>
      </c>
      <c r="H15" s="14">
        <v>0</v>
      </c>
      <c r="I15" s="14">
        <v>0</v>
      </c>
      <c r="J15" s="14">
        <v>0</v>
      </c>
      <c r="K15" s="14">
        <v>0</v>
      </c>
      <c r="L15" s="14">
        <v>0</v>
      </c>
      <c r="M15" s="14">
        <v>0</v>
      </c>
      <c r="N15" s="14">
        <v>0</v>
      </c>
      <c r="O15" s="14">
        <v>0</v>
      </c>
    </row>
    <row r="16" spans="1:15" x14ac:dyDescent="0.3">
      <c r="A16" s="2" t="s">
        <v>10</v>
      </c>
      <c r="B16" s="2" t="s">
        <v>14</v>
      </c>
      <c r="C16" s="2">
        <v>2</v>
      </c>
      <c r="D16" s="5"/>
      <c r="E16" s="5">
        <v>14000</v>
      </c>
      <c r="F16" s="5">
        <v>14000</v>
      </c>
      <c r="G16" s="5">
        <v>14000</v>
      </c>
      <c r="H16" s="14">
        <v>0</v>
      </c>
      <c r="I16" s="14">
        <v>0</v>
      </c>
      <c r="J16" s="14">
        <v>0</v>
      </c>
      <c r="K16" s="14">
        <v>0</v>
      </c>
      <c r="L16" s="14">
        <v>0</v>
      </c>
      <c r="M16" s="14">
        <v>0</v>
      </c>
      <c r="N16" s="14">
        <v>0</v>
      </c>
      <c r="O16" s="14">
        <v>0</v>
      </c>
    </row>
    <row r="17" spans="1:15" x14ac:dyDescent="0.3">
      <c r="A17" s="2" t="s">
        <v>11</v>
      </c>
      <c r="B17" s="2" t="s">
        <v>14</v>
      </c>
      <c r="C17" s="2">
        <v>2</v>
      </c>
      <c r="D17" s="5"/>
      <c r="E17" s="5">
        <v>14000</v>
      </c>
      <c r="F17" s="5">
        <v>14000</v>
      </c>
      <c r="G17" s="5">
        <v>14000</v>
      </c>
      <c r="H17" s="14">
        <v>0</v>
      </c>
      <c r="I17" s="14">
        <v>0</v>
      </c>
      <c r="J17" s="14">
        <v>0</v>
      </c>
      <c r="K17" s="14">
        <v>0</v>
      </c>
      <c r="L17" s="14">
        <v>0</v>
      </c>
      <c r="M17" s="14">
        <v>0</v>
      </c>
      <c r="N17" s="14">
        <v>0</v>
      </c>
      <c r="O17" s="14">
        <v>0</v>
      </c>
    </row>
    <row r="18" spans="1:15" ht="43.2" x14ac:dyDescent="0.3">
      <c r="A18" s="2" t="s">
        <v>7</v>
      </c>
      <c r="B18" s="3" t="s">
        <v>304</v>
      </c>
      <c r="C18" s="2">
        <v>1</v>
      </c>
      <c r="D18" s="14">
        <v>0</v>
      </c>
      <c r="E18" s="14">
        <v>0</v>
      </c>
      <c r="F18" s="14">
        <v>0</v>
      </c>
      <c r="G18" s="14">
        <v>0</v>
      </c>
      <c r="H18" s="14">
        <v>0</v>
      </c>
      <c r="I18" s="14">
        <v>0</v>
      </c>
      <c r="J18" s="5">
        <f>38240.81</f>
        <v>38240.81</v>
      </c>
      <c r="K18" s="5">
        <v>39005.629999999997</v>
      </c>
      <c r="L18" s="5">
        <f>39785.74</f>
        <v>39785.74</v>
      </c>
      <c r="M18" s="5">
        <f>40581.45</f>
        <v>40581.449999999997</v>
      </c>
      <c r="N18" s="5">
        <v>41393.08</v>
      </c>
      <c r="O18" s="36" t="s">
        <v>309</v>
      </c>
    </row>
    <row r="19" spans="1:15" x14ac:dyDescent="0.3">
      <c r="A19" s="2"/>
      <c r="B19" s="2"/>
      <c r="C19" s="2"/>
      <c r="D19" s="5"/>
      <c r="E19" s="5"/>
      <c r="F19" s="5"/>
      <c r="G19" s="5"/>
      <c r="H19" s="5"/>
      <c r="I19" s="5"/>
      <c r="J19" s="5"/>
      <c r="K19" s="5"/>
      <c r="L19" s="5"/>
      <c r="M19" s="5"/>
      <c r="N19" s="5"/>
      <c r="O19" s="5"/>
    </row>
    <row r="20" spans="1:15" x14ac:dyDescent="0.3">
      <c r="A20" s="2"/>
      <c r="B20" s="2"/>
      <c r="C20" s="2"/>
      <c r="D20" s="5">
        <f>SUM(D6:D17)</f>
        <v>161000</v>
      </c>
      <c r="E20" s="5">
        <f t="shared" ref="E20:N20" si="0">SUM(E6:E18)</f>
        <v>168000</v>
      </c>
      <c r="F20" s="5">
        <f t="shared" si="0"/>
        <v>168000</v>
      </c>
      <c r="G20" s="5">
        <f t="shared" si="0"/>
        <v>168000</v>
      </c>
      <c r="H20" s="5">
        <f t="shared" si="0"/>
        <v>147000</v>
      </c>
      <c r="I20" s="5">
        <f t="shared" si="0"/>
        <v>155437.97</v>
      </c>
      <c r="J20" s="5">
        <f t="shared" si="0"/>
        <v>143240.81</v>
      </c>
      <c r="K20" s="5">
        <f t="shared" si="0"/>
        <v>144005.63</v>
      </c>
      <c r="L20" s="5">
        <f t="shared" si="0"/>
        <v>154699.47999999998</v>
      </c>
      <c r="M20" s="5">
        <f t="shared" si="0"/>
        <v>166581.45000000001</v>
      </c>
      <c r="N20" s="5">
        <f t="shared" si="0"/>
        <v>143110.24</v>
      </c>
      <c r="O20" s="2"/>
    </row>
  </sheetData>
  <mergeCells count="1">
    <mergeCell ref="A2:O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216F35AF2CB9468CD9A6F9808E74AF" ma:contentTypeVersion="14" ma:contentTypeDescription="Een nieuw document maken." ma:contentTypeScope="" ma:versionID="db101bd186e8e5e7eca18f79632caaf8">
  <xsd:schema xmlns:xsd="http://www.w3.org/2001/XMLSchema" xmlns:xs="http://www.w3.org/2001/XMLSchema" xmlns:p="http://schemas.microsoft.com/office/2006/metadata/properties" xmlns:ns2="03d5240a-782c-4048-8313-d01b5d6ab2a6" xmlns:ns3="ceeae0c4-f3ff-4153-af2f-582bafa5e89e" targetNamespace="http://schemas.microsoft.com/office/2006/metadata/properties" ma:root="true" ma:fieldsID="990a8f55025b5bacff4e9d2c56e651a2" ns2:_="" ns3:_="">
    <xsd:import namespace="03d5240a-782c-4048-8313-d01b5d6ab2a6"/>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5240a-782c-4048-8313-d01b5d6ab2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E122A-C1BB-489A-883C-DCE6CB93BA32}">
  <ds:schemaRefs>
    <ds:schemaRef ds:uri="http://schemas.microsoft.com/sharepoint/v3/contenttype/forms"/>
  </ds:schemaRefs>
</ds:datastoreItem>
</file>

<file path=customXml/itemProps2.xml><?xml version="1.0" encoding="utf-8"?>
<ds:datastoreItem xmlns:ds="http://schemas.openxmlformats.org/officeDocument/2006/customXml" ds:itemID="{750EDFD7-67B5-493C-B7C1-FC520F7CE9D9}">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ceeae0c4-f3ff-4153-af2f-582bafa5e89e"/>
    <ds:schemaRef ds:uri="http://schemas.openxmlformats.org/package/2006/metadata/core-properties"/>
    <ds:schemaRef ds:uri="03d5240a-782c-4048-8313-d01b5d6ab2a6"/>
    <ds:schemaRef ds:uri="http://www.w3.org/XML/1998/namespace"/>
  </ds:schemaRefs>
</ds:datastoreItem>
</file>

<file path=customXml/itemProps3.xml><?xml version="1.0" encoding="utf-8"?>
<ds:datastoreItem xmlns:ds="http://schemas.openxmlformats.org/officeDocument/2006/customXml" ds:itemID="{F6BF5DCE-037F-4C8B-AF4C-7B4FA49DC7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5240a-782c-4048-8313-d01b5d6ab2a6"/>
    <ds:schemaRef ds:uri="ceeae0c4-f3ff-4153-af2f-582bafa5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Tewerkstellingsprojecten</vt:lpstr>
      <vt:lpstr>LokaleDiensteneconomie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Bleeckere, Christel</dc:creator>
  <cp:lastModifiedBy>Schonk Jan</cp:lastModifiedBy>
  <dcterms:created xsi:type="dcterms:W3CDTF">2021-06-04T10:58:30Z</dcterms:created>
  <dcterms:modified xsi:type="dcterms:W3CDTF">2021-07-01T15:10:45Z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0x0101002E216F35AF2CB9468CD9A6F9808E74AF</vt:lpwstr>
  </property>
  <property fmtid="{D5CDD505-2E9C-101B-9397-08002B2CF9AE}" pid="3" name="Jaartal0">
    <vt:lpwstr>59;#2020|f037855d-264a-4a7a-a2f9-32249277ec7d</vt:lpwstr>
  </property>
  <property fmtid="{D5CDD505-2E9C-101B-9397-08002B2CF9AE}" pid="4" name="bewaartermijn0">
    <vt:lpwstr/>
  </property>
  <property fmtid="{D5CDD505-2E9C-101B-9397-08002B2CF9AE}" pid="5" name="Taal.0">
    <vt:lpwstr>10;#Nederlands|9b99b39c-8acc-495e-9f29-fbf22be0ce46</vt:lpwstr>
  </property>
  <property fmtid="{D5CDD505-2E9C-101B-9397-08002B2CF9AE}" pid="6" name="publiek0">
    <vt:lpwstr>11;#Iedereen|613499d3-92e7-4b79-bb95-13a095146a5e</vt:lpwstr>
  </property>
  <property fmtid="{D5CDD505-2E9C-101B-9397-08002B2CF9AE}" pid="7" name="Document status0">
    <vt:lpwstr>22;#Draft|d2c5986f-1c62-42af-b979-ee62ea3de0cf</vt:lpwstr>
  </property>
  <property fmtid="{D5CDD505-2E9C-101B-9397-08002B2CF9AE}" pid="8" name="Vertrouwelijk0">
    <vt:lpwstr>23;#Nee|0600f0c8-084b-4f1d-a651-03e2befc4206</vt:lpwstr>
  </property>
</Properties>
</file>