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voskb\Desktop\"/>
    </mc:Choice>
  </mc:AlternateContent>
  <xr:revisionPtr revIDLastSave="0" documentId="8_{8050A456-640E-472C-89F1-F91CD86597F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ibliodata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3" i="1" l="1"/>
  <c r="N23" i="1"/>
  <c r="M56" i="1"/>
  <c r="N56" i="1"/>
  <c r="N45" i="1" l="1"/>
  <c r="N44" i="1"/>
  <c r="N12" i="1"/>
  <c r="N11" i="1"/>
  <c r="N16" i="1"/>
  <c r="N49" i="1"/>
  <c r="N63" i="1"/>
  <c r="N60" i="1"/>
  <c r="N64" i="1" l="1"/>
  <c r="N52" i="1"/>
  <c r="N46" i="1"/>
  <c r="N53" i="1" s="1"/>
  <c r="N41" i="1"/>
  <c r="N36" i="1"/>
  <c r="N30" i="1"/>
  <c r="N27" i="1"/>
  <c r="N31" i="1" s="1"/>
  <c r="N19" i="1"/>
  <c r="N13" i="1"/>
  <c r="N20" i="1" l="1"/>
  <c r="O16" i="1"/>
  <c r="M49" i="1" l="1"/>
  <c r="M16" i="1"/>
  <c r="M12" i="1" l="1"/>
  <c r="M45" i="1" l="1"/>
  <c r="M44" i="1"/>
  <c r="M11" i="1"/>
  <c r="M63" i="1" l="1"/>
  <c r="M60" i="1"/>
  <c r="M64" i="1" s="1"/>
  <c r="M52" i="1"/>
  <c r="M46" i="1"/>
  <c r="M41" i="1"/>
  <c r="M36" i="1"/>
  <c r="M30" i="1"/>
  <c r="M27" i="1"/>
  <c r="M19" i="1"/>
  <c r="M13" i="1"/>
  <c r="M20" i="1" s="1"/>
  <c r="M53" i="1" l="1"/>
  <c r="M31" i="1"/>
  <c r="F19" i="1"/>
  <c r="G19" i="1"/>
  <c r="H19" i="1"/>
  <c r="I19" i="1"/>
  <c r="E19" i="1"/>
  <c r="L63" i="1" l="1"/>
  <c r="L60" i="1"/>
  <c r="L52" i="1"/>
  <c r="L53" i="1" s="1"/>
  <c r="L31" i="1"/>
  <c r="L19" i="1"/>
  <c r="L13" i="1"/>
  <c r="L64" i="1" l="1"/>
  <c r="L20" i="1"/>
  <c r="H45" i="1" l="1"/>
  <c r="H44" i="1"/>
  <c r="H59" i="1"/>
  <c r="H58" i="1"/>
  <c r="G45" i="1" l="1"/>
  <c r="G44" i="1"/>
  <c r="G59" i="1"/>
  <c r="G58" i="1"/>
  <c r="B52" i="1"/>
  <c r="F45" i="1"/>
  <c r="F44" i="1"/>
  <c r="F59" i="1"/>
  <c r="F58" i="1"/>
  <c r="E45" i="1"/>
  <c r="E44" i="1"/>
  <c r="E59" i="1"/>
  <c r="E58" i="1"/>
  <c r="D59" i="1"/>
  <c r="D45" i="1"/>
  <c r="D44" i="1"/>
  <c r="D58" i="1"/>
  <c r="B45" i="1"/>
  <c r="B44" i="1"/>
  <c r="B59" i="1"/>
  <c r="B58" i="1"/>
  <c r="C63" i="1"/>
  <c r="C59" i="1"/>
  <c r="C58" i="1"/>
  <c r="C60" i="1" s="1"/>
  <c r="C52" i="1"/>
  <c r="C45" i="1"/>
  <c r="C44" i="1"/>
  <c r="C46" i="1" l="1"/>
  <c r="C53" i="1" s="1"/>
  <c r="B60" i="1"/>
  <c r="B64" i="1" s="1"/>
  <c r="B46" i="1"/>
  <c r="B53" i="1"/>
  <c r="C64" i="1"/>
  <c r="K64" i="1"/>
  <c r="K63" i="1"/>
  <c r="K60" i="1"/>
  <c r="D52" i="1"/>
  <c r="E52" i="1"/>
  <c r="F52" i="1"/>
  <c r="G52" i="1"/>
  <c r="H52" i="1"/>
  <c r="I52" i="1"/>
  <c r="J52" i="1"/>
  <c r="K52" i="1"/>
  <c r="K46" i="1"/>
  <c r="K41" i="1"/>
  <c r="K36" i="1"/>
  <c r="K19" i="1"/>
  <c r="K13" i="1"/>
  <c r="K53" i="1" l="1"/>
  <c r="K20" i="1"/>
  <c r="J64" i="1"/>
  <c r="D63" i="1"/>
  <c r="E63" i="1"/>
  <c r="F63" i="1"/>
  <c r="G63" i="1"/>
  <c r="H63" i="1"/>
  <c r="I63" i="1"/>
  <c r="J63" i="1"/>
  <c r="D60" i="1"/>
  <c r="E60" i="1"/>
  <c r="F60" i="1"/>
  <c r="I60" i="1"/>
  <c r="J60" i="1"/>
  <c r="J46" i="1"/>
  <c r="J53" i="1" s="1"/>
  <c r="J41" i="1"/>
  <c r="J36" i="1"/>
  <c r="C30" i="1"/>
  <c r="D30" i="1"/>
  <c r="E30" i="1"/>
  <c r="F30" i="1"/>
  <c r="G30" i="1"/>
  <c r="H30" i="1"/>
  <c r="I30" i="1"/>
  <c r="J30" i="1"/>
  <c r="K30" i="1"/>
  <c r="B30" i="1"/>
  <c r="C27" i="1"/>
  <c r="D27" i="1"/>
  <c r="E27" i="1"/>
  <c r="F27" i="1"/>
  <c r="G27" i="1"/>
  <c r="H27" i="1"/>
  <c r="I27" i="1"/>
  <c r="J27" i="1"/>
  <c r="K27" i="1"/>
  <c r="B27" i="1"/>
  <c r="J13" i="1"/>
  <c r="J19" i="1"/>
  <c r="I46" i="1"/>
  <c r="I53" i="1" s="1"/>
  <c r="I41" i="1"/>
  <c r="I36" i="1"/>
  <c r="I13" i="1"/>
  <c r="I20" i="1" s="1"/>
  <c r="F64" i="1"/>
  <c r="H39" i="1"/>
  <c r="H38" i="1"/>
  <c r="H35" i="1"/>
  <c r="H34" i="1"/>
  <c r="H13" i="1"/>
  <c r="H20" i="1" s="1"/>
  <c r="G64" i="1"/>
  <c r="G46" i="1"/>
  <c r="G53" i="1" s="1"/>
  <c r="G39" i="1"/>
  <c r="G38" i="1"/>
  <c r="G35" i="1"/>
  <c r="G34" i="1"/>
  <c r="G13" i="1"/>
  <c r="G20" i="1" s="1"/>
  <c r="B31" i="1" l="1"/>
  <c r="H31" i="1"/>
  <c r="I64" i="1"/>
  <c r="D31" i="1"/>
  <c r="G36" i="1"/>
  <c r="H36" i="1"/>
  <c r="H41" i="1"/>
  <c r="J20" i="1"/>
  <c r="G41" i="1"/>
  <c r="H64" i="1"/>
  <c r="G31" i="1"/>
  <c r="C31" i="1"/>
  <c r="K31" i="1"/>
  <c r="G60" i="1"/>
  <c r="I31" i="1"/>
  <c r="E31" i="1"/>
  <c r="H46" i="1"/>
  <c r="H53" i="1" s="1"/>
  <c r="F31" i="1"/>
  <c r="H60" i="1"/>
  <c r="J31" i="1"/>
  <c r="F46" i="1" l="1"/>
  <c r="F53" i="1" s="1"/>
  <c r="F38" i="1"/>
  <c r="F39" i="1"/>
  <c r="F35" i="1"/>
  <c r="F34" i="1"/>
  <c r="F13" i="1"/>
  <c r="F20" i="1" s="1"/>
  <c r="E12" i="1"/>
  <c r="E13" i="1" s="1"/>
  <c r="E20" i="1" s="1"/>
  <c r="D13" i="1"/>
  <c r="D20" i="1" s="1"/>
  <c r="C13" i="1"/>
  <c r="C20" i="1" s="1"/>
  <c r="B13" i="1"/>
  <c r="B20" i="1" s="1"/>
  <c r="E39" i="1"/>
  <c r="E38" i="1"/>
  <c r="E41" i="1" s="1"/>
  <c r="E35" i="1"/>
  <c r="E34" i="1"/>
  <c r="D39" i="1"/>
  <c r="D38" i="1"/>
  <c r="D41" i="1" s="1"/>
  <c r="D35" i="1"/>
  <c r="D34" i="1"/>
  <c r="C39" i="1"/>
  <c r="C38" i="1"/>
  <c r="C34" i="1"/>
  <c r="C35" i="1"/>
  <c r="B39" i="1"/>
  <c r="B38" i="1"/>
  <c r="B34" i="1"/>
  <c r="B35" i="1"/>
  <c r="E64" i="1"/>
  <c r="E46" i="1"/>
  <c r="E53" i="1" s="1"/>
  <c r="D64" i="1"/>
  <c r="D46" i="1"/>
  <c r="D53" i="1" s="1"/>
  <c r="D36" i="1" l="1"/>
  <c r="B41" i="1"/>
  <c r="C41" i="1"/>
  <c r="B36" i="1"/>
  <c r="C36" i="1"/>
  <c r="F36" i="1"/>
  <c r="E36" i="1"/>
  <c r="F41" i="1"/>
</calcChain>
</file>

<file path=xl/sharedStrings.xml><?xml version="1.0" encoding="utf-8"?>
<sst xmlns="http://schemas.openxmlformats.org/spreadsheetml/2006/main" count="56" uniqueCount="41">
  <si>
    <t>Lezers jeugd</t>
  </si>
  <si>
    <t>DAISY</t>
  </si>
  <si>
    <t>BRAILLE</t>
  </si>
  <si>
    <t xml:space="preserve">TOTAAL </t>
  </si>
  <si>
    <t xml:space="preserve">UITLENINGEN </t>
  </si>
  <si>
    <t xml:space="preserve">COLLECTIE </t>
  </si>
  <si>
    <t>Jeugd</t>
  </si>
  <si>
    <t>Volwassenen</t>
  </si>
  <si>
    <t>TOTAAL</t>
  </si>
  <si>
    <t xml:space="preserve">LEZERS </t>
  </si>
  <si>
    <t>Totaal particulieren</t>
  </si>
  <si>
    <t>Muziekpartituren</t>
  </si>
  <si>
    <t>Totaal organisaties</t>
  </si>
  <si>
    <t xml:space="preserve">Lezers via organisaties jeugd </t>
  </si>
  <si>
    <t xml:space="preserve">Lezers via organisaties volwassenen </t>
  </si>
  <si>
    <t xml:space="preserve">Totaal lezers via organisaties </t>
  </si>
  <si>
    <t>Organisaties zonder bruikleen collectie</t>
  </si>
  <si>
    <t>Organisaties met bruikleencollectie</t>
  </si>
  <si>
    <t>Lezers rechtstreeks via LP jeugd</t>
  </si>
  <si>
    <t>Lezers rechtstreeks via LP volwassenen</t>
  </si>
  <si>
    <t>Lezers  volwassenen</t>
  </si>
  <si>
    <t>Totaal Lezers</t>
  </si>
  <si>
    <t>Organisaties zonder bruikleencollectie</t>
  </si>
  <si>
    <t>Medewerkers via organisaties jeugd</t>
  </si>
  <si>
    <t xml:space="preserve">Totaal medewerkers via organisaties </t>
  </si>
  <si>
    <t xml:space="preserve">Totaal Lezers rechtstreeks via LP </t>
  </si>
  <si>
    <t xml:space="preserve">Medewerkers via organisaties volwas. </t>
  </si>
  <si>
    <t xml:space="preserve">Totaal door lezers rechtstreeks via LP </t>
  </si>
  <si>
    <t xml:space="preserve">Door lezers via organisaties jeugd </t>
  </si>
  <si>
    <t>Door lezers rechtstreeks via LP jeugd</t>
  </si>
  <si>
    <t>Door lezers rechtstreeks via LP volwassenen</t>
  </si>
  <si>
    <t xml:space="preserve">Door lezers via organisaties volwassenen </t>
  </si>
  <si>
    <t xml:space="preserve">Totaal door lezers via organisaties </t>
  </si>
  <si>
    <t>Door organisaties zonder bruikleen collectie</t>
  </si>
  <si>
    <t>Door organisaties met bruikleencollectie</t>
  </si>
  <si>
    <t>Totaal door organisaties</t>
  </si>
  <si>
    <t>door medewerkers via organisaties jeugd</t>
  </si>
  <si>
    <t xml:space="preserve">door medewerkers via organisaties volwassenen </t>
  </si>
  <si>
    <t xml:space="preserve">Door jeugd </t>
  </si>
  <si>
    <t>Door volwassenen</t>
  </si>
  <si>
    <t>Door organisaties zonder bruikleencollectie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</si>
</sst>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8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4FAB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Fill="1"/>
    <xf numFmtId="3" fontId="1" fillId="0" borderId="0" xfId="0" applyNumberFormat="1" applyFont="1" applyAlignment="1">
      <alignment horizontal="center"/>
    </xf>
    <xf numFmtId="1" fontId="1" fillId="0" borderId="0" xfId="0" applyNumberFormat="1" applyFont="1"/>
    <xf numFmtId="0" fontId="2" fillId="0" borderId="0" xfId="0" applyFont="1" applyFill="1" applyBorder="1"/>
    <xf numFmtId="3" fontId="2" fillId="0" borderId="0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4" borderId="1" xfId="0" applyFont="1" applyFill="1" applyBorder="1"/>
    <xf numFmtId="3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3" fontId="3" fillId="0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3" fontId="3" fillId="3" borderId="1" xfId="0" applyNumberFormat="1" applyFont="1" applyFill="1" applyBorder="1" applyAlignment="1">
      <alignment horizontal="center"/>
    </xf>
    <xf numFmtId="3" fontId="3" fillId="6" borderId="1" xfId="0" applyNumberFormat="1" applyFont="1" applyFill="1" applyBorder="1" applyAlignment="1">
      <alignment horizontal="center"/>
    </xf>
    <xf numFmtId="3" fontId="3" fillId="4" borderId="1" xfId="0" applyNumberFormat="1" applyFont="1" applyFill="1" applyBorder="1"/>
    <xf numFmtId="3" fontId="3" fillId="2" borderId="1" xfId="0" applyNumberFormat="1" applyFont="1" applyFill="1" applyBorder="1"/>
    <xf numFmtId="3" fontId="3" fillId="7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1" xfId="0" applyFont="1" applyFill="1" applyBorder="1"/>
    <xf numFmtId="3" fontId="3" fillId="5" borderId="1" xfId="0" applyNumberFormat="1" applyFont="1" applyFill="1" applyBorder="1" applyAlignment="1">
      <alignment horizontal="center"/>
    </xf>
    <xf numFmtId="0" fontId="4" fillId="6" borderId="1" xfId="0" applyFont="1" applyFill="1" applyBorder="1"/>
    <xf numFmtId="0" fontId="3" fillId="9" borderId="1" xfId="0" applyFont="1" applyFill="1" applyBorder="1"/>
    <xf numFmtId="3" fontId="3" fillId="9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3" borderId="1" xfId="0" applyFont="1" applyFill="1" applyBorder="1"/>
    <xf numFmtId="3" fontId="4" fillId="0" borderId="1" xfId="0" applyNumberFormat="1" applyFont="1" applyFill="1" applyBorder="1" applyAlignment="1">
      <alignment horizontal="center"/>
    </xf>
    <xf numFmtId="3" fontId="4" fillId="9" borderId="1" xfId="0" applyNumberFormat="1" applyFont="1" applyFill="1" applyBorder="1" applyAlignment="1">
      <alignment horizontal="center"/>
    </xf>
    <xf numFmtId="0" fontId="4" fillId="8" borderId="1" xfId="0" applyFont="1" applyFill="1" applyBorder="1"/>
    <xf numFmtId="3" fontId="4" fillId="8" borderId="1" xfId="0" applyNumberFormat="1" applyFont="1" applyFill="1" applyBorder="1" applyAlignment="1">
      <alignment horizontal="center"/>
    </xf>
    <xf numFmtId="0" fontId="4" fillId="7" borderId="1" xfId="0" applyFont="1" applyFill="1" applyBorder="1"/>
    <xf numFmtId="1" fontId="3" fillId="0" borderId="1" xfId="0" applyNumberFormat="1" applyFont="1" applyBorder="1" applyAlignment="1">
      <alignment horizontal="center"/>
    </xf>
    <xf numFmtId="3" fontId="1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CC"/>
      <color rgb="FFF4FA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45721</xdr:rowOff>
    </xdr:from>
    <xdr:to>
      <xdr:col>3</xdr:col>
      <xdr:colOff>152400</xdr:colOff>
      <xdr:row>5</xdr:row>
      <xdr:rowOff>76201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" y="45721"/>
          <a:ext cx="3230880" cy="678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8:O66"/>
  <sheetViews>
    <sheetView tabSelected="1" zoomScaleNormal="100" workbookViewId="0">
      <selection activeCell="A74" sqref="A74"/>
    </sheetView>
  </sheetViews>
  <sheetFormatPr defaultColWidth="9.109375" defaultRowHeight="10.199999999999999" x14ac:dyDescent="0.2"/>
  <cols>
    <col min="1" max="1" width="31.21875" style="1" customWidth="1"/>
    <col min="2" max="2" width="7.109375" style="1" customWidth="1"/>
    <col min="3" max="3" width="6.77734375" style="1" customWidth="1"/>
    <col min="4" max="4" width="6.88671875" style="1" customWidth="1"/>
    <col min="5" max="5" width="7" style="1" customWidth="1"/>
    <col min="6" max="6" width="7.44140625" style="1" customWidth="1"/>
    <col min="7" max="7" width="6.88671875" style="3" customWidth="1"/>
    <col min="8" max="9" width="6.88671875" style="1" customWidth="1"/>
    <col min="10" max="10" width="6.77734375" style="4" customWidth="1"/>
    <col min="11" max="11" width="6.77734375" style="1" customWidth="1"/>
    <col min="12" max="13" width="6.33203125" style="1" customWidth="1"/>
    <col min="14" max="16384" width="9.109375" style="1"/>
  </cols>
  <sheetData>
    <row r="8" spans="1:15" ht="12" x14ac:dyDescent="0.25">
      <c r="A8" s="7"/>
      <c r="B8" s="8">
        <v>2008</v>
      </c>
      <c r="C8" s="8">
        <v>2009</v>
      </c>
      <c r="D8" s="8">
        <v>2010</v>
      </c>
      <c r="E8" s="8">
        <v>2011</v>
      </c>
      <c r="F8" s="8">
        <v>2012</v>
      </c>
      <c r="G8" s="39">
        <v>2013</v>
      </c>
      <c r="H8" s="8">
        <v>2014</v>
      </c>
      <c r="I8" s="8">
        <v>2015</v>
      </c>
      <c r="J8" s="39">
        <v>2016</v>
      </c>
      <c r="K8" s="8">
        <v>2017</v>
      </c>
      <c r="L8" s="8">
        <v>2018</v>
      </c>
      <c r="M8" s="8">
        <v>2019</v>
      </c>
      <c r="N8" s="8">
        <v>2020</v>
      </c>
    </row>
    <row r="9" spans="1:15" ht="12" x14ac:dyDescent="0.25">
      <c r="A9" s="10" t="s">
        <v>9</v>
      </c>
      <c r="B9" s="11"/>
      <c r="C9" s="11"/>
      <c r="D9" s="11"/>
      <c r="E9" s="11"/>
      <c r="F9" s="11"/>
      <c r="G9" s="11"/>
      <c r="H9" s="12"/>
      <c r="I9" s="12"/>
      <c r="J9" s="13"/>
      <c r="K9" s="12"/>
      <c r="L9" s="12"/>
      <c r="M9" s="12"/>
      <c r="N9" s="12"/>
    </row>
    <row r="10" spans="1:15" ht="12" x14ac:dyDescent="0.25">
      <c r="A10" s="14" t="s">
        <v>1</v>
      </c>
      <c r="B10" s="15"/>
      <c r="C10" s="15"/>
      <c r="D10" s="15"/>
      <c r="E10" s="15"/>
      <c r="F10" s="15"/>
      <c r="G10" s="15"/>
      <c r="H10" s="16"/>
      <c r="I10" s="16"/>
      <c r="J10" s="17"/>
      <c r="K10" s="16"/>
      <c r="L10" s="16"/>
      <c r="M10" s="16"/>
      <c r="N10" s="16"/>
    </row>
    <row r="11" spans="1:15" ht="12" x14ac:dyDescent="0.25">
      <c r="A11" s="27" t="s">
        <v>18</v>
      </c>
      <c r="B11" s="19">
        <v>136</v>
      </c>
      <c r="C11" s="19">
        <v>210</v>
      </c>
      <c r="D11" s="19">
        <v>307</v>
      </c>
      <c r="E11" s="28">
        <v>381</v>
      </c>
      <c r="F11" s="28">
        <v>668</v>
      </c>
      <c r="G11" s="28">
        <v>710</v>
      </c>
      <c r="H11" s="28">
        <v>739</v>
      </c>
      <c r="I11" s="28">
        <v>809</v>
      </c>
      <c r="J11" s="9">
        <v>814</v>
      </c>
      <c r="K11" s="9">
        <v>1068</v>
      </c>
      <c r="L11" s="9">
        <v>1766</v>
      </c>
      <c r="M11" s="9">
        <f>2861-800-28</f>
        <v>2033</v>
      </c>
      <c r="N11" s="9">
        <f>3994-N14-N21</f>
        <v>2468</v>
      </c>
    </row>
    <row r="12" spans="1:15" ht="12" x14ac:dyDescent="0.25">
      <c r="A12" s="27" t="s">
        <v>19</v>
      </c>
      <c r="B12" s="19">
        <v>2394</v>
      </c>
      <c r="C12" s="19">
        <v>2809</v>
      </c>
      <c r="D12" s="19">
        <v>2906</v>
      </c>
      <c r="E12" s="28">
        <f>2888</f>
        <v>2888</v>
      </c>
      <c r="F12" s="28">
        <v>3006</v>
      </c>
      <c r="G12" s="28">
        <v>3012</v>
      </c>
      <c r="H12" s="28">
        <v>3839</v>
      </c>
      <c r="I12" s="28">
        <v>3442</v>
      </c>
      <c r="J12" s="9">
        <v>3531</v>
      </c>
      <c r="K12" s="9">
        <v>3719</v>
      </c>
      <c r="L12" s="9">
        <v>4333</v>
      </c>
      <c r="M12" s="9">
        <f>6073-893-653</f>
        <v>4527</v>
      </c>
      <c r="N12" s="9">
        <f>6854-N15-N22</f>
        <v>5100</v>
      </c>
    </row>
    <row r="13" spans="1:15" ht="12" x14ac:dyDescent="0.25">
      <c r="A13" s="29" t="s">
        <v>25</v>
      </c>
      <c r="B13" s="22">
        <f t="shared" ref="B13:K13" si="0">B11+B12</f>
        <v>2530</v>
      </c>
      <c r="C13" s="22">
        <f t="shared" si="0"/>
        <v>3019</v>
      </c>
      <c r="D13" s="22">
        <f t="shared" si="0"/>
        <v>3213</v>
      </c>
      <c r="E13" s="22">
        <f t="shared" si="0"/>
        <v>3269</v>
      </c>
      <c r="F13" s="22">
        <f t="shared" si="0"/>
        <v>3674</v>
      </c>
      <c r="G13" s="22">
        <f t="shared" si="0"/>
        <v>3722</v>
      </c>
      <c r="H13" s="22">
        <f t="shared" si="0"/>
        <v>4578</v>
      </c>
      <c r="I13" s="22">
        <f t="shared" si="0"/>
        <v>4251</v>
      </c>
      <c r="J13" s="22">
        <f t="shared" si="0"/>
        <v>4345</v>
      </c>
      <c r="K13" s="22">
        <f t="shared" si="0"/>
        <v>4787</v>
      </c>
      <c r="L13" s="22">
        <f>L11+L12</f>
        <v>6099</v>
      </c>
      <c r="M13" s="22">
        <f>M11+M12</f>
        <v>6560</v>
      </c>
      <c r="N13" s="22">
        <f>N11+N12</f>
        <v>7568</v>
      </c>
    </row>
    <row r="14" spans="1:15" ht="12" x14ac:dyDescent="0.25">
      <c r="A14" s="27" t="s">
        <v>13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>
        <v>800</v>
      </c>
      <c r="N14" s="19">
        <v>1497</v>
      </c>
    </row>
    <row r="15" spans="1:15" ht="12" x14ac:dyDescent="0.25">
      <c r="A15" s="27" t="s">
        <v>14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>
        <v>893</v>
      </c>
      <c r="N15" s="19">
        <v>800</v>
      </c>
    </row>
    <row r="16" spans="1:15" ht="12" x14ac:dyDescent="0.25">
      <c r="A16" s="29" t="s">
        <v>15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>
        <f>M14+M15</f>
        <v>1693</v>
      </c>
      <c r="N16" s="22">
        <f>N14+N15</f>
        <v>2297</v>
      </c>
      <c r="O16" s="40">
        <f>N13+N16</f>
        <v>9865</v>
      </c>
    </row>
    <row r="17" spans="1:14" ht="12" x14ac:dyDescent="0.25">
      <c r="A17" s="27" t="s">
        <v>16</v>
      </c>
      <c r="B17" s="19"/>
      <c r="C17" s="19"/>
      <c r="D17" s="19"/>
      <c r="E17" s="19"/>
      <c r="F17" s="19"/>
      <c r="G17" s="19">
        <v>59</v>
      </c>
      <c r="H17" s="19">
        <v>58</v>
      </c>
      <c r="I17" s="19">
        <v>35</v>
      </c>
      <c r="J17" s="9">
        <v>37</v>
      </c>
      <c r="K17" s="9">
        <v>35</v>
      </c>
      <c r="L17" s="9">
        <v>43</v>
      </c>
      <c r="M17" s="9">
        <v>35</v>
      </c>
      <c r="N17" s="9">
        <v>33</v>
      </c>
    </row>
    <row r="18" spans="1:14" ht="12" x14ac:dyDescent="0.25">
      <c r="A18" s="27" t="s">
        <v>17</v>
      </c>
      <c r="B18" s="19">
        <v>209</v>
      </c>
      <c r="C18" s="19">
        <v>500</v>
      </c>
      <c r="D18" s="19">
        <v>604</v>
      </c>
      <c r="E18" s="19">
        <v>676</v>
      </c>
      <c r="F18" s="19">
        <v>758</v>
      </c>
      <c r="G18" s="19">
        <v>844</v>
      </c>
      <c r="H18" s="19">
        <v>909</v>
      </c>
      <c r="I18" s="19">
        <v>977</v>
      </c>
      <c r="J18" s="9">
        <v>1032</v>
      </c>
      <c r="K18" s="9">
        <v>1089</v>
      </c>
      <c r="L18" s="9">
        <v>1150</v>
      </c>
      <c r="M18" s="9">
        <v>1362</v>
      </c>
      <c r="N18" s="9">
        <v>1562</v>
      </c>
    </row>
    <row r="19" spans="1:14" ht="12" x14ac:dyDescent="0.25">
      <c r="A19" s="29" t="s">
        <v>12</v>
      </c>
      <c r="B19" s="22">
        <v>209</v>
      </c>
      <c r="C19" s="22">
        <v>500</v>
      </c>
      <c r="D19" s="22">
        <v>604</v>
      </c>
      <c r="E19" s="22">
        <f>E18+E17</f>
        <v>676</v>
      </c>
      <c r="F19" s="22">
        <f>F18+F17</f>
        <v>758</v>
      </c>
      <c r="G19" s="22">
        <f>G18+G17</f>
        <v>903</v>
      </c>
      <c r="H19" s="22">
        <f>H18+H17</f>
        <v>967</v>
      </c>
      <c r="I19" s="22">
        <f>I18+I17</f>
        <v>1012</v>
      </c>
      <c r="J19" s="22">
        <f>SUM(J18+J17)</f>
        <v>1069</v>
      </c>
      <c r="K19" s="22">
        <f>SUM(K18+K17)</f>
        <v>1124</v>
      </c>
      <c r="L19" s="22">
        <f>L18+L17</f>
        <v>1193</v>
      </c>
      <c r="M19" s="22">
        <f>M17+M18</f>
        <v>1397</v>
      </c>
      <c r="N19" s="22">
        <f>N18+N17</f>
        <v>1595</v>
      </c>
    </row>
    <row r="20" spans="1:14" ht="12" x14ac:dyDescent="0.25">
      <c r="A20" s="36" t="s">
        <v>3</v>
      </c>
      <c r="B20" s="37">
        <f t="shared" ref="B20:L20" si="1">B13+B19</f>
        <v>2739</v>
      </c>
      <c r="C20" s="37">
        <f t="shared" si="1"/>
        <v>3519</v>
      </c>
      <c r="D20" s="37">
        <f t="shared" si="1"/>
        <v>3817</v>
      </c>
      <c r="E20" s="37">
        <f t="shared" si="1"/>
        <v>3945</v>
      </c>
      <c r="F20" s="37">
        <f t="shared" si="1"/>
        <v>4432</v>
      </c>
      <c r="G20" s="37">
        <f t="shared" si="1"/>
        <v>4625</v>
      </c>
      <c r="H20" s="37">
        <f t="shared" si="1"/>
        <v>5545</v>
      </c>
      <c r="I20" s="37">
        <f t="shared" si="1"/>
        <v>5263</v>
      </c>
      <c r="J20" s="37">
        <f t="shared" si="1"/>
        <v>5414</v>
      </c>
      <c r="K20" s="37">
        <f t="shared" si="1"/>
        <v>5911</v>
      </c>
      <c r="L20" s="37">
        <f t="shared" si="1"/>
        <v>7292</v>
      </c>
      <c r="M20" s="37">
        <f>M13+M16+M19</f>
        <v>9650</v>
      </c>
      <c r="N20" s="37">
        <f>N13+N16+N19</f>
        <v>11460</v>
      </c>
    </row>
    <row r="21" spans="1:14" ht="12" x14ac:dyDescent="0.25">
      <c r="A21" s="18" t="s">
        <v>23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>
        <v>28</v>
      </c>
      <c r="N21" s="19">
        <v>29</v>
      </c>
    </row>
    <row r="22" spans="1:14" ht="12" x14ac:dyDescent="0.25">
      <c r="A22" s="18" t="s">
        <v>26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>
        <v>653</v>
      </c>
      <c r="N22" s="19">
        <v>954</v>
      </c>
    </row>
    <row r="23" spans="1:14" ht="12" x14ac:dyDescent="0.25">
      <c r="A23" s="30" t="s">
        <v>24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>
        <f>M21+M22</f>
        <v>681</v>
      </c>
      <c r="N23" s="31">
        <f>N21+N22</f>
        <v>983</v>
      </c>
    </row>
    <row r="24" spans="1:14" ht="12" x14ac:dyDescent="0.25">
      <c r="A24" s="20" t="s">
        <v>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12" x14ac:dyDescent="0.25">
      <c r="A25" s="32" t="s">
        <v>0</v>
      </c>
      <c r="B25" s="9">
        <v>26</v>
      </c>
      <c r="C25" s="9">
        <v>35</v>
      </c>
      <c r="D25" s="9">
        <v>29</v>
      </c>
      <c r="E25" s="9">
        <v>28</v>
      </c>
      <c r="F25" s="9">
        <v>28</v>
      </c>
      <c r="G25" s="9">
        <v>17</v>
      </c>
      <c r="H25" s="9">
        <v>15</v>
      </c>
      <c r="I25" s="9">
        <v>13</v>
      </c>
      <c r="J25" s="9">
        <v>15</v>
      </c>
      <c r="K25" s="9">
        <v>17</v>
      </c>
      <c r="L25" s="9">
        <v>20</v>
      </c>
      <c r="M25" s="9">
        <v>16</v>
      </c>
      <c r="N25" s="9">
        <v>17</v>
      </c>
    </row>
    <row r="26" spans="1:14" ht="12" x14ac:dyDescent="0.25">
      <c r="A26" s="32" t="s">
        <v>20</v>
      </c>
      <c r="B26" s="9">
        <v>304</v>
      </c>
      <c r="C26" s="9">
        <v>275</v>
      </c>
      <c r="D26" s="9">
        <v>271</v>
      </c>
      <c r="E26" s="9">
        <v>268</v>
      </c>
      <c r="F26" s="9">
        <v>265</v>
      </c>
      <c r="G26" s="9">
        <v>236</v>
      </c>
      <c r="H26" s="9">
        <v>236</v>
      </c>
      <c r="I26" s="9">
        <v>210</v>
      </c>
      <c r="J26" s="9">
        <v>195</v>
      </c>
      <c r="K26" s="9">
        <v>192</v>
      </c>
      <c r="L26" s="9">
        <v>191</v>
      </c>
      <c r="M26" s="9">
        <v>193</v>
      </c>
      <c r="N26" s="9">
        <v>180</v>
      </c>
    </row>
    <row r="27" spans="1:14" ht="12" x14ac:dyDescent="0.25">
      <c r="A27" s="38" t="s">
        <v>21</v>
      </c>
      <c r="B27" s="25">
        <f>B25+B26</f>
        <v>330</v>
      </c>
      <c r="C27" s="25">
        <f t="shared" ref="C27:K27" si="2">C25+C26</f>
        <v>310</v>
      </c>
      <c r="D27" s="25">
        <f t="shared" si="2"/>
        <v>300</v>
      </c>
      <c r="E27" s="25">
        <f t="shared" si="2"/>
        <v>296</v>
      </c>
      <c r="F27" s="25">
        <f t="shared" si="2"/>
        <v>293</v>
      </c>
      <c r="G27" s="25">
        <f t="shared" si="2"/>
        <v>253</v>
      </c>
      <c r="H27" s="25">
        <f t="shared" si="2"/>
        <v>251</v>
      </c>
      <c r="I27" s="25">
        <f t="shared" si="2"/>
        <v>223</v>
      </c>
      <c r="J27" s="25">
        <f t="shared" si="2"/>
        <v>210</v>
      </c>
      <c r="K27" s="25">
        <f t="shared" si="2"/>
        <v>209</v>
      </c>
      <c r="L27" s="25">
        <v>211</v>
      </c>
      <c r="M27" s="25">
        <f>M25+M26</f>
        <v>209</v>
      </c>
      <c r="N27" s="25">
        <f>N25+N26</f>
        <v>197</v>
      </c>
    </row>
    <row r="28" spans="1:14" ht="12" x14ac:dyDescent="0.25">
      <c r="A28" s="32" t="s">
        <v>22</v>
      </c>
      <c r="B28" s="9"/>
      <c r="C28" s="9"/>
      <c r="D28" s="9"/>
      <c r="E28" s="9"/>
      <c r="F28" s="9"/>
      <c r="G28" s="9"/>
      <c r="H28" s="9"/>
      <c r="I28" s="9">
        <v>5</v>
      </c>
      <c r="J28" s="9">
        <v>6</v>
      </c>
      <c r="K28" s="9">
        <v>2</v>
      </c>
      <c r="L28" s="9">
        <v>4</v>
      </c>
      <c r="M28" s="9">
        <v>4</v>
      </c>
      <c r="N28" s="9">
        <v>5</v>
      </c>
    </row>
    <row r="29" spans="1:14" ht="12" x14ac:dyDescent="0.25">
      <c r="A29" s="32" t="s">
        <v>17</v>
      </c>
      <c r="B29" s="9"/>
      <c r="C29" s="9"/>
      <c r="D29" s="9"/>
      <c r="E29" s="9"/>
      <c r="F29" s="9"/>
      <c r="G29" s="9"/>
      <c r="H29" s="9"/>
      <c r="I29" s="9">
        <v>11</v>
      </c>
      <c r="J29" s="9">
        <v>7</v>
      </c>
      <c r="K29" s="9">
        <v>8</v>
      </c>
      <c r="L29" s="9">
        <v>13</v>
      </c>
      <c r="M29" s="9">
        <v>8</v>
      </c>
      <c r="N29" s="9">
        <v>19</v>
      </c>
    </row>
    <row r="30" spans="1:14" ht="12" x14ac:dyDescent="0.25">
      <c r="A30" s="38" t="s">
        <v>12</v>
      </c>
      <c r="B30" s="25">
        <f t="shared" ref="B30:K30" si="3">SUM(B29+B28)</f>
        <v>0</v>
      </c>
      <c r="C30" s="25">
        <f t="shared" si="3"/>
        <v>0</v>
      </c>
      <c r="D30" s="25">
        <f t="shared" si="3"/>
        <v>0</v>
      </c>
      <c r="E30" s="25">
        <f t="shared" si="3"/>
        <v>0</v>
      </c>
      <c r="F30" s="25">
        <f t="shared" si="3"/>
        <v>0</v>
      </c>
      <c r="G30" s="25">
        <f t="shared" si="3"/>
        <v>0</v>
      </c>
      <c r="H30" s="25">
        <f t="shared" si="3"/>
        <v>0</v>
      </c>
      <c r="I30" s="25">
        <f t="shared" si="3"/>
        <v>16</v>
      </c>
      <c r="J30" s="25">
        <f t="shared" si="3"/>
        <v>13</v>
      </c>
      <c r="K30" s="25">
        <f t="shared" si="3"/>
        <v>10</v>
      </c>
      <c r="L30" s="25">
        <v>17</v>
      </c>
      <c r="M30" s="25">
        <f>M28+M29</f>
        <v>12</v>
      </c>
      <c r="N30" s="25">
        <f>N28+N29</f>
        <v>24</v>
      </c>
    </row>
    <row r="31" spans="1:14" ht="12" x14ac:dyDescent="0.25">
      <c r="A31" s="36" t="s">
        <v>3</v>
      </c>
      <c r="B31" s="37">
        <f t="shared" ref="B31:L31" si="4">B27+B30</f>
        <v>330</v>
      </c>
      <c r="C31" s="37">
        <f t="shared" si="4"/>
        <v>310</v>
      </c>
      <c r="D31" s="37">
        <f t="shared" si="4"/>
        <v>300</v>
      </c>
      <c r="E31" s="37">
        <f t="shared" si="4"/>
        <v>296</v>
      </c>
      <c r="F31" s="37">
        <f t="shared" si="4"/>
        <v>293</v>
      </c>
      <c r="G31" s="37">
        <f t="shared" si="4"/>
        <v>253</v>
      </c>
      <c r="H31" s="37">
        <f t="shared" si="4"/>
        <v>251</v>
      </c>
      <c r="I31" s="37">
        <f t="shared" si="4"/>
        <v>239</v>
      </c>
      <c r="J31" s="37">
        <f t="shared" si="4"/>
        <v>223</v>
      </c>
      <c r="K31" s="37">
        <f t="shared" si="4"/>
        <v>219</v>
      </c>
      <c r="L31" s="37">
        <f t="shared" si="4"/>
        <v>228</v>
      </c>
      <c r="M31" s="37">
        <f>M27+M30</f>
        <v>221</v>
      </c>
      <c r="N31" s="37">
        <f>N27+N30</f>
        <v>221</v>
      </c>
    </row>
    <row r="32" spans="1:14" ht="12" x14ac:dyDescent="0.25">
      <c r="A32" s="10" t="s">
        <v>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" x14ac:dyDescent="0.25">
      <c r="A33" s="14" t="s">
        <v>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" x14ac:dyDescent="0.25">
      <c r="A34" s="32" t="s">
        <v>6</v>
      </c>
      <c r="B34" s="9">
        <f>1314+85</f>
        <v>1399</v>
      </c>
      <c r="C34" s="9">
        <f>1471+91</f>
        <v>1562</v>
      </c>
      <c r="D34" s="9">
        <f>1900+119</f>
        <v>2019</v>
      </c>
      <c r="E34" s="9">
        <f>2650+139</f>
        <v>2789</v>
      </c>
      <c r="F34" s="9">
        <f>3068+146</f>
        <v>3214</v>
      </c>
      <c r="G34" s="9">
        <f>3345+158</f>
        <v>3503</v>
      </c>
      <c r="H34" s="9">
        <f>3705+176</f>
        <v>3881</v>
      </c>
      <c r="I34" s="9">
        <v>4160</v>
      </c>
      <c r="J34" s="9">
        <v>3668</v>
      </c>
      <c r="K34" s="9">
        <v>3839</v>
      </c>
      <c r="L34" s="9">
        <v>4179</v>
      </c>
      <c r="M34" s="9">
        <v>4448</v>
      </c>
      <c r="N34" s="9">
        <v>5332</v>
      </c>
    </row>
    <row r="35" spans="1:14" ht="12" x14ac:dyDescent="0.25">
      <c r="A35" s="32" t="s">
        <v>7</v>
      </c>
      <c r="B35" s="9">
        <f>9113+3360</f>
        <v>12473</v>
      </c>
      <c r="C35" s="9">
        <f>10139+3741</f>
        <v>13880</v>
      </c>
      <c r="D35" s="9">
        <f>10643+3946</f>
        <v>14589</v>
      </c>
      <c r="E35" s="9">
        <f>10915+4226</f>
        <v>15141</v>
      </c>
      <c r="F35" s="9">
        <f>11491+4409</f>
        <v>15900</v>
      </c>
      <c r="G35" s="9">
        <f>12428+4525</f>
        <v>16953</v>
      </c>
      <c r="H35" s="9">
        <f>13191+4669</f>
        <v>17860</v>
      </c>
      <c r="I35" s="9">
        <v>18787</v>
      </c>
      <c r="J35" s="9">
        <v>20252</v>
      </c>
      <c r="K35" s="9">
        <v>21226</v>
      </c>
      <c r="L35" s="9">
        <v>22181</v>
      </c>
      <c r="M35" s="9">
        <v>23118</v>
      </c>
      <c r="N35" s="9">
        <v>26780</v>
      </c>
    </row>
    <row r="36" spans="1:14" ht="12" x14ac:dyDescent="0.25">
      <c r="A36" s="36" t="s">
        <v>8</v>
      </c>
      <c r="B36" s="37">
        <f t="shared" ref="B36:K36" si="5">B34+B35</f>
        <v>13872</v>
      </c>
      <c r="C36" s="37">
        <f t="shared" si="5"/>
        <v>15442</v>
      </c>
      <c r="D36" s="37">
        <f t="shared" si="5"/>
        <v>16608</v>
      </c>
      <c r="E36" s="37">
        <f t="shared" si="5"/>
        <v>17930</v>
      </c>
      <c r="F36" s="37">
        <f t="shared" si="5"/>
        <v>19114</v>
      </c>
      <c r="G36" s="37">
        <f t="shared" si="5"/>
        <v>20456</v>
      </c>
      <c r="H36" s="37">
        <f t="shared" si="5"/>
        <v>21741</v>
      </c>
      <c r="I36" s="37">
        <f t="shared" si="5"/>
        <v>22947</v>
      </c>
      <c r="J36" s="37">
        <f t="shared" si="5"/>
        <v>23920</v>
      </c>
      <c r="K36" s="37">
        <f t="shared" si="5"/>
        <v>25065</v>
      </c>
      <c r="L36" s="37">
        <v>26360</v>
      </c>
      <c r="M36" s="37">
        <f>M34+M35</f>
        <v>27566</v>
      </c>
      <c r="N36" s="37">
        <f>N34+N35</f>
        <v>32112</v>
      </c>
    </row>
    <row r="37" spans="1:14" ht="12" x14ac:dyDescent="0.25">
      <c r="A37" s="33" t="s">
        <v>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2" x14ac:dyDescent="0.25">
      <c r="A38" s="32" t="s">
        <v>6</v>
      </c>
      <c r="B38" s="9">
        <f>1398+96</f>
        <v>1494</v>
      </c>
      <c r="C38" s="9">
        <f>1427+96</f>
        <v>1523</v>
      </c>
      <c r="D38" s="9">
        <f>988+64</f>
        <v>1052</v>
      </c>
      <c r="E38" s="9">
        <f>1344+76</f>
        <v>1420</v>
      </c>
      <c r="F38" s="9">
        <f>1435+74</f>
        <v>1509</v>
      </c>
      <c r="G38" s="9">
        <f>1647+77</f>
        <v>1724</v>
      </c>
      <c r="H38" s="9">
        <f>2903+162</f>
        <v>3065</v>
      </c>
      <c r="I38" s="9">
        <v>2141</v>
      </c>
      <c r="J38" s="9">
        <v>1874</v>
      </c>
      <c r="K38" s="9">
        <v>2124</v>
      </c>
      <c r="L38" s="9">
        <v>2391</v>
      </c>
      <c r="M38" s="9">
        <v>2633</v>
      </c>
      <c r="N38" s="9">
        <v>2747</v>
      </c>
    </row>
    <row r="39" spans="1:14" ht="12" x14ac:dyDescent="0.25">
      <c r="A39" s="32" t="s">
        <v>7</v>
      </c>
      <c r="B39" s="9">
        <f>5460+2622</f>
        <v>8082</v>
      </c>
      <c r="C39" s="9">
        <f>5677+2659</f>
        <v>8336</v>
      </c>
      <c r="D39" s="9">
        <f>4349+2045</f>
        <v>6394</v>
      </c>
      <c r="E39" s="9">
        <f>4366+2063</f>
        <v>6429</v>
      </c>
      <c r="F39" s="9">
        <f>4387+2051</f>
        <v>6438</v>
      </c>
      <c r="G39" s="9">
        <f>5053+2261</f>
        <v>7314</v>
      </c>
      <c r="H39" s="9">
        <f>11096+4097</f>
        <v>15193</v>
      </c>
      <c r="I39" s="9">
        <v>10720</v>
      </c>
      <c r="J39" s="9">
        <v>12021</v>
      </c>
      <c r="K39" s="9">
        <v>12855</v>
      </c>
      <c r="L39" s="9">
        <v>13471</v>
      </c>
      <c r="M39" s="9">
        <v>14404</v>
      </c>
      <c r="N39" s="9">
        <v>14977</v>
      </c>
    </row>
    <row r="40" spans="1:14" ht="12" x14ac:dyDescent="0.25">
      <c r="A40" s="32" t="s">
        <v>11</v>
      </c>
      <c r="B40" s="9">
        <v>3412</v>
      </c>
      <c r="C40" s="9">
        <v>3456</v>
      </c>
      <c r="D40" s="9">
        <v>3134</v>
      </c>
      <c r="E40" s="9">
        <v>3135</v>
      </c>
      <c r="F40" s="9"/>
      <c r="G40" s="9"/>
      <c r="H40" s="9"/>
      <c r="I40" s="9"/>
      <c r="J40" s="9"/>
      <c r="K40" s="9"/>
      <c r="L40" s="9"/>
      <c r="M40" s="9"/>
      <c r="N40" s="9"/>
    </row>
    <row r="41" spans="1:14" ht="12" x14ac:dyDescent="0.25">
      <c r="A41" s="36" t="s">
        <v>3</v>
      </c>
      <c r="B41" s="37">
        <f t="shared" ref="B41:K41" si="6">B38+B39+B40</f>
        <v>12988</v>
      </c>
      <c r="C41" s="37">
        <f t="shared" si="6"/>
        <v>13315</v>
      </c>
      <c r="D41" s="37">
        <f t="shared" si="6"/>
        <v>10580</v>
      </c>
      <c r="E41" s="37">
        <f t="shared" si="6"/>
        <v>10984</v>
      </c>
      <c r="F41" s="37">
        <f t="shared" si="6"/>
        <v>7947</v>
      </c>
      <c r="G41" s="37">
        <f t="shared" si="6"/>
        <v>9038</v>
      </c>
      <c r="H41" s="37">
        <f t="shared" si="6"/>
        <v>18258</v>
      </c>
      <c r="I41" s="37">
        <f t="shared" si="6"/>
        <v>12861</v>
      </c>
      <c r="J41" s="37">
        <f t="shared" si="6"/>
        <v>13895</v>
      </c>
      <c r="K41" s="37">
        <f t="shared" si="6"/>
        <v>14979</v>
      </c>
      <c r="L41" s="37">
        <v>15862</v>
      </c>
      <c r="M41" s="37">
        <f>M38+M39</f>
        <v>17037</v>
      </c>
      <c r="N41" s="37">
        <f>N38+N39</f>
        <v>17724</v>
      </c>
    </row>
    <row r="42" spans="1:14" ht="12" x14ac:dyDescent="0.25">
      <c r="A42" s="10" t="s">
        <v>4</v>
      </c>
      <c r="B42" s="23"/>
      <c r="C42" s="23"/>
      <c r="D42" s="23"/>
      <c r="E42" s="23"/>
      <c r="F42" s="23"/>
      <c r="G42" s="11"/>
      <c r="H42" s="11"/>
      <c r="I42" s="11"/>
      <c r="J42" s="11"/>
      <c r="K42" s="11"/>
      <c r="L42" s="11"/>
      <c r="M42" s="11"/>
      <c r="N42" s="11"/>
    </row>
    <row r="43" spans="1:14" ht="12" x14ac:dyDescent="0.25">
      <c r="A43" s="14" t="s">
        <v>1</v>
      </c>
      <c r="B43" s="24"/>
      <c r="C43" s="24"/>
      <c r="D43" s="24"/>
      <c r="E43" s="24"/>
      <c r="F43" s="24"/>
      <c r="G43" s="15"/>
      <c r="H43" s="15"/>
      <c r="I43" s="15"/>
      <c r="J43" s="15"/>
      <c r="K43" s="15"/>
      <c r="L43" s="15"/>
      <c r="M43" s="15"/>
      <c r="N43" s="15"/>
    </row>
    <row r="44" spans="1:14" ht="12" x14ac:dyDescent="0.25">
      <c r="A44" s="27" t="s">
        <v>29</v>
      </c>
      <c r="B44" s="9">
        <f>3177+71</f>
        <v>3248</v>
      </c>
      <c r="C44" s="9">
        <f>3678+90</f>
        <v>3768</v>
      </c>
      <c r="D44" s="9">
        <f>4985+146</f>
        <v>5131</v>
      </c>
      <c r="E44" s="9">
        <f>7024+177</f>
        <v>7201</v>
      </c>
      <c r="F44" s="9">
        <f>8338+245</f>
        <v>8583</v>
      </c>
      <c r="G44" s="9">
        <f>8762+241</f>
        <v>9003</v>
      </c>
      <c r="H44" s="9">
        <f>7940+268</f>
        <v>8208</v>
      </c>
      <c r="I44" s="9">
        <v>9320</v>
      </c>
      <c r="J44" s="9">
        <v>9443</v>
      </c>
      <c r="K44" s="9">
        <v>10159</v>
      </c>
      <c r="L44" s="9">
        <v>13193</v>
      </c>
      <c r="M44" s="9">
        <f>19864-2595-168</f>
        <v>17101</v>
      </c>
      <c r="N44" s="9">
        <f>25737-N47-N54</f>
        <v>21555</v>
      </c>
    </row>
    <row r="45" spans="1:14" ht="12" x14ac:dyDescent="0.25">
      <c r="A45" s="27" t="s">
        <v>30</v>
      </c>
      <c r="B45" s="9">
        <f>80323+10235</f>
        <v>90558</v>
      </c>
      <c r="C45" s="9">
        <f>80989+11132</f>
        <v>92121</v>
      </c>
      <c r="D45" s="9">
        <f>85467+13256</f>
        <v>98723</v>
      </c>
      <c r="E45" s="9">
        <f>85844+15304</f>
        <v>101148</v>
      </c>
      <c r="F45" s="9">
        <f>93187+15365</f>
        <v>108552</v>
      </c>
      <c r="G45" s="9">
        <f>92385+14140</f>
        <v>106525</v>
      </c>
      <c r="H45" s="9">
        <f>91337+13652</f>
        <v>104989</v>
      </c>
      <c r="I45" s="9">
        <v>106535</v>
      </c>
      <c r="J45" s="9">
        <v>114119</v>
      </c>
      <c r="K45" s="9">
        <v>116933</v>
      </c>
      <c r="L45" s="9">
        <v>108995</v>
      </c>
      <c r="M45" s="9">
        <f>115838-3459-2548</f>
        <v>109831</v>
      </c>
      <c r="N45" s="9">
        <f>132267-N48-N55</f>
        <v>126515</v>
      </c>
    </row>
    <row r="46" spans="1:14" ht="12" x14ac:dyDescent="0.25">
      <c r="A46" s="29" t="s">
        <v>27</v>
      </c>
      <c r="B46" s="25">
        <f>B44+B45</f>
        <v>93806</v>
      </c>
      <c r="C46" s="22">
        <f t="shared" ref="C46:K46" si="7">C44+C45</f>
        <v>95889</v>
      </c>
      <c r="D46" s="22">
        <f t="shared" si="7"/>
        <v>103854</v>
      </c>
      <c r="E46" s="22">
        <f t="shared" si="7"/>
        <v>108349</v>
      </c>
      <c r="F46" s="22">
        <f t="shared" si="7"/>
        <v>117135</v>
      </c>
      <c r="G46" s="22">
        <f t="shared" si="7"/>
        <v>115528</v>
      </c>
      <c r="H46" s="22">
        <f t="shared" si="7"/>
        <v>113197</v>
      </c>
      <c r="I46" s="22">
        <f t="shared" si="7"/>
        <v>115855</v>
      </c>
      <c r="J46" s="22">
        <f t="shared" si="7"/>
        <v>123562</v>
      </c>
      <c r="K46" s="22">
        <f t="shared" si="7"/>
        <v>127092</v>
      </c>
      <c r="L46" s="22">
        <v>122188</v>
      </c>
      <c r="M46" s="22">
        <f>M44+M45</f>
        <v>126932</v>
      </c>
      <c r="N46" s="22">
        <f>N44+N45</f>
        <v>148070</v>
      </c>
    </row>
    <row r="47" spans="1:14" s="2" customFormat="1" ht="12" x14ac:dyDescent="0.25">
      <c r="A47" s="27" t="s">
        <v>28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>
        <v>2595</v>
      </c>
      <c r="N47" s="19">
        <v>4002</v>
      </c>
    </row>
    <row r="48" spans="1:14" s="2" customFormat="1" ht="12" x14ac:dyDescent="0.25">
      <c r="A48" s="27" t="s">
        <v>31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>
        <v>3459</v>
      </c>
      <c r="N48" s="19">
        <v>3036</v>
      </c>
    </row>
    <row r="49" spans="1:14" s="2" customFormat="1" ht="12" x14ac:dyDescent="0.25">
      <c r="A49" s="29" t="s">
        <v>32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>
        <f>M47+M48</f>
        <v>6054</v>
      </c>
      <c r="N49" s="22">
        <f>N47+N48</f>
        <v>7038</v>
      </c>
    </row>
    <row r="50" spans="1:14" ht="12" x14ac:dyDescent="0.25">
      <c r="A50" s="27" t="s">
        <v>33</v>
      </c>
      <c r="B50" s="9"/>
      <c r="C50" s="9"/>
      <c r="D50" s="9"/>
      <c r="E50" s="9"/>
      <c r="F50" s="9"/>
      <c r="G50" s="9">
        <v>1339</v>
      </c>
      <c r="H50" s="9">
        <v>993</v>
      </c>
      <c r="I50" s="9">
        <v>849</v>
      </c>
      <c r="J50" s="9">
        <v>612</v>
      </c>
      <c r="K50" s="9">
        <v>476</v>
      </c>
      <c r="L50" s="9">
        <v>822</v>
      </c>
      <c r="M50" s="9">
        <v>834</v>
      </c>
      <c r="N50" s="9">
        <v>396</v>
      </c>
    </row>
    <row r="51" spans="1:14" ht="12" x14ac:dyDescent="0.25">
      <c r="A51" s="27" t="s">
        <v>34</v>
      </c>
      <c r="B51" s="9">
        <v>27625</v>
      </c>
      <c r="C51" s="9">
        <v>42693</v>
      </c>
      <c r="D51" s="9">
        <v>18920</v>
      </c>
      <c r="E51" s="9">
        <v>16300</v>
      </c>
      <c r="F51" s="9">
        <v>18618</v>
      </c>
      <c r="G51" s="9">
        <v>20393</v>
      </c>
      <c r="H51" s="9">
        <v>22010</v>
      </c>
      <c r="I51" s="9">
        <v>22572</v>
      </c>
      <c r="J51" s="9">
        <v>22955</v>
      </c>
      <c r="K51" s="9">
        <v>19359</v>
      </c>
      <c r="L51" s="9">
        <v>17936</v>
      </c>
      <c r="M51" s="9">
        <v>15503</v>
      </c>
      <c r="N51" s="9">
        <v>13646</v>
      </c>
    </row>
    <row r="52" spans="1:14" ht="12" x14ac:dyDescent="0.25">
      <c r="A52" s="29" t="s">
        <v>35</v>
      </c>
      <c r="B52" s="22">
        <f>B50+B51</f>
        <v>27625</v>
      </c>
      <c r="C52" s="22">
        <f>C50+C51</f>
        <v>42693</v>
      </c>
      <c r="D52" s="22">
        <f t="shared" ref="D52:K52" si="8">D50+D51</f>
        <v>18920</v>
      </c>
      <c r="E52" s="22">
        <f t="shared" si="8"/>
        <v>16300</v>
      </c>
      <c r="F52" s="22">
        <f t="shared" si="8"/>
        <v>18618</v>
      </c>
      <c r="G52" s="22">
        <f t="shared" si="8"/>
        <v>21732</v>
      </c>
      <c r="H52" s="22">
        <f t="shared" si="8"/>
        <v>23003</v>
      </c>
      <c r="I52" s="22">
        <f t="shared" si="8"/>
        <v>23421</v>
      </c>
      <c r="J52" s="22">
        <f t="shared" si="8"/>
        <v>23567</v>
      </c>
      <c r="K52" s="22">
        <f t="shared" si="8"/>
        <v>19835</v>
      </c>
      <c r="L52" s="22">
        <f>L50+L51</f>
        <v>18758</v>
      </c>
      <c r="M52" s="22">
        <f>M50+M51</f>
        <v>16337</v>
      </c>
      <c r="N52" s="22">
        <f>N50+N51</f>
        <v>14042</v>
      </c>
    </row>
    <row r="53" spans="1:14" ht="12" x14ac:dyDescent="0.25">
      <c r="A53" s="36" t="s">
        <v>3</v>
      </c>
      <c r="B53" s="37">
        <f>B46+B52</f>
        <v>121431</v>
      </c>
      <c r="C53" s="37">
        <f>C46+C51</f>
        <v>138582</v>
      </c>
      <c r="D53" s="37">
        <f>D46+D52</f>
        <v>122774</v>
      </c>
      <c r="E53" s="37">
        <f>E46+E52</f>
        <v>124649</v>
      </c>
      <c r="F53" s="37">
        <f>F46+F51</f>
        <v>135753</v>
      </c>
      <c r="G53" s="37">
        <f>SUM(G46+G50+G51)</f>
        <v>137260</v>
      </c>
      <c r="H53" s="37">
        <f>H46+H52</f>
        <v>136200</v>
      </c>
      <c r="I53" s="37">
        <f>SUM(I46+I52)</f>
        <v>139276</v>
      </c>
      <c r="J53" s="37">
        <f>SUM(J46+J52)</f>
        <v>147129</v>
      </c>
      <c r="K53" s="37">
        <f>SUM(K46+K52)</f>
        <v>146927</v>
      </c>
      <c r="L53" s="37">
        <f>L46+L52</f>
        <v>140946</v>
      </c>
      <c r="M53" s="37">
        <f>M46+M49+M52</f>
        <v>149323</v>
      </c>
      <c r="N53" s="37">
        <f>N46+N49+N52</f>
        <v>169150</v>
      </c>
    </row>
    <row r="54" spans="1:14" ht="12" x14ac:dyDescent="0.25">
      <c r="A54" s="18" t="s">
        <v>36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19">
        <v>168</v>
      </c>
      <c r="N54" s="19">
        <v>180</v>
      </c>
    </row>
    <row r="55" spans="1:14" ht="12" x14ac:dyDescent="0.25">
      <c r="A55" s="18" t="s">
        <v>37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19">
        <v>2548</v>
      </c>
      <c r="N55" s="19">
        <v>2716</v>
      </c>
    </row>
    <row r="56" spans="1:14" ht="12" x14ac:dyDescent="0.25">
      <c r="A56" s="30" t="s">
        <v>24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1">
        <f>M54+M55</f>
        <v>2716</v>
      </c>
      <c r="N56" s="31">
        <f>N54+N55</f>
        <v>2896</v>
      </c>
    </row>
    <row r="57" spans="1:14" ht="12" x14ac:dyDescent="0.25">
      <c r="A57" s="20" t="s">
        <v>2</v>
      </c>
      <c r="B57" s="21"/>
      <c r="C57" s="21"/>
      <c r="D57" s="21"/>
      <c r="E57" s="21"/>
      <c r="F57" s="21"/>
      <c r="G57" s="21"/>
      <c r="H57" s="26"/>
      <c r="I57" s="21"/>
      <c r="J57" s="21"/>
      <c r="K57" s="21"/>
      <c r="L57" s="21"/>
      <c r="M57" s="21"/>
      <c r="N57" s="21"/>
    </row>
    <row r="58" spans="1:14" ht="12" x14ac:dyDescent="0.25">
      <c r="A58" s="32" t="s">
        <v>38</v>
      </c>
      <c r="B58" s="9">
        <f>164+11</f>
        <v>175</v>
      </c>
      <c r="C58" s="9">
        <f>202+12</f>
        <v>214</v>
      </c>
      <c r="D58" s="9">
        <f>283+3</f>
        <v>286</v>
      </c>
      <c r="E58" s="9">
        <f>327+5</f>
        <v>332</v>
      </c>
      <c r="F58" s="9">
        <f>469+6</f>
        <v>475</v>
      </c>
      <c r="G58" s="9">
        <f>355+12</f>
        <v>367</v>
      </c>
      <c r="H58" s="9">
        <f>351+17</f>
        <v>368</v>
      </c>
      <c r="I58" s="9">
        <v>249</v>
      </c>
      <c r="J58" s="9">
        <v>196</v>
      </c>
      <c r="K58" s="9">
        <v>328</v>
      </c>
      <c r="L58" s="9">
        <v>273</v>
      </c>
      <c r="M58" s="9">
        <v>248</v>
      </c>
      <c r="N58" s="9">
        <v>260</v>
      </c>
    </row>
    <row r="59" spans="1:14" ht="12" x14ac:dyDescent="0.25">
      <c r="A59" s="32" t="s">
        <v>39</v>
      </c>
      <c r="B59" s="9">
        <f>1453+157</f>
        <v>1610</v>
      </c>
      <c r="C59" s="9">
        <f>1574+233</f>
        <v>1807</v>
      </c>
      <c r="D59" s="9">
        <f>1283+177+118</f>
        <v>1578</v>
      </c>
      <c r="E59" s="9">
        <f>1354+256+17</f>
        <v>1627</v>
      </c>
      <c r="F59" s="9">
        <f>1334+339</f>
        <v>1673</v>
      </c>
      <c r="G59" s="9">
        <f>1155+368</f>
        <v>1523</v>
      </c>
      <c r="H59" s="9">
        <f>1364+299</f>
        <v>1663</v>
      </c>
      <c r="I59" s="9">
        <v>1297</v>
      </c>
      <c r="J59" s="9">
        <v>1451</v>
      </c>
      <c r="K59" s="9">
        <v>1367</v>
      </c>
      <c r="L59" s="9">
        <v>1386</v>
      </c>
      <c r="M59" s="9">
        <v>1368</v>
      </c>
      <c r="N59" s="9">
        <v>1378</v>
      </c>
    </row>
    <row r="60" spans="1:14" ht="12" x14ac:dyDescent="0.25">
      <c r="A60" s="29" t="s">
        <v>10</v>
      </c>
      <c r="B60" s="22">
        <f>B58+B59</f>
        <v>1785</v>
      </c>
      <c r="C60" s="22">
        <f>C58+C59</f>
        <v>2021</v>
      </c>
      <c r="D60" s="22">
        <f t="shared" ref="D60:K60" si="9">D58+D59</f>
        <v>1864</v>
      </c>
      <c r="E60" s="22">
        <f t="shared" si="9"/>
        <v>1959</v>
      </c>
      <c r="F60" s="22">
        <f t="shared" si="9"/>
        <v>2148</v>
      </c>
      <c r="G60" s="22">
        <f t="shared" si="9"/>
        <v>1890</v>
      </c>
      <c r="H60" s="22">
        <f t="shared" si="9"/>
        <v>2031</v>
      </c>
      <c r="I60" s="22">
        <f t="shared" si="9"/>
        <v>1546</v>
      </c>
      <c r="J60" s="22">
        <f t="shared" si="9"/>
        <v>1647</v>
      </c>
      <c r="K60" s="22">
        <f t="shared" si="9"/>
        <v>1695</v>
      </c>
      <c r="L60" s="22">
        <f>L58+L59</f>
        <v>1659</v>
      </c>
      <c r="M60" s="22">
        <f>M58+M59</f>
        <v>1616</v>
      </c>
      <c r="N60" s="22">
        <f>N58+N59</f>
        <v>1638</v>
      </c>
    </row>
    <row r="61" spans="1:14" ht="12" x14ac:dyDescent="0.25">
      <c r="A61" s="32" t="s">
        <v>40</v>
      </c>
      <c r="B61" s="9"/>
      <c r="C61" s="9"/>
      <c r="D61" s="9"/>
      <c r="E61" s="9"/>
      <c r="F61" s="9"/>
      <c r="G61" s="9"/>
      <c r="H61" s="9"/>
      <c r="I61" s="9">
        <v>62</v>
      </c>
      <c r="J61" s="9">
        <v>38</v>
      </c>
      <c r="K61" s="9">
        <v>2</v>
      </c>
      <c r="L61" s="9">
        <v>19</v>
      </c>
      <c r="M61" s="9">
        <v>52</v>
      </c>
      <c r="N61" s="9">
        <v>18</v>
      </c>
    </row>
    <row r="62" spans="1:14" ht="12" x14ac:dyDescent="0.25">
      <c r="A62" s="32" t="s">
        <v>34</v>
      </c>
      <c r="B62" s="9"/>
      <c r="C62" s="9"/>
      <c r="D62" s="9"/>
      <c r="E62" s="9"/>
      <c r="F62" s="9"/>
      <c r="G62" s="9"/>
      <c r="H62" s="9"/>
      <c r="I62" s="9">
        <v>13</v>
      </c>
      <c r="J62" s="9">
        <v>28</v>
      </c>
      <c r="K62" s="9">
        <v>49</v>
      </c>
      <c r="L62" s="9">
        <v>40</v>
      </c>
      <c r="M62" s="9">
        <v>35</v>
      </c>
      <c r="N62" s="9">
        <v>86</v>
      </c>
    </row>
    <row r="63" spans="1:14" ht="12" x14ac:dyDescent="0.25">
      <c r="A63" s="29" t="s">
        <v>12</v>
      </c>
      <c r="B63" s="22">
        <v>0</v>
      </c>
      <c r="C63" s="22">
        <f>C61+C62</f>
        <v>0</v>
      </c>
      <c r="D63" s="22">
        <f t="shared" ref="D63:K63" si="10">D61+D62</f>
        <v>0</v>
      </c>
      <c r="E63" s="22">
        <f t="shared" si="10"/>
        <v>0</v>
      </c>
      <c r="F63" s="22">
        <f t="shared" si="10"/>
        <v>0</v>
      </c>
      <c r="G63" s="22">
        <f t="shared" si="10"/>
        <v>0</v>
      </c>
      <c r="H63" s="22">
        <f t="shared" si="10"/>
        <v>0</v>
      </c>
      <c r="I63" s="22">
        <f t="shared" si="10"/>
        <v>75</v>
      </c>
      <c r="J63" s="22">
        <f t="shared" si="10"/>
        <v>66</v>
      </c>
      <c r="K63" s="22">
        <f t="shared" si="10"/>
        <v>51</v>
      </c>
      <c r="L63" s="22">
        <f>L61+L62</f>
        <v>59</v>
      </c>
      <c r="M63" s="22">
        <f>M61+M62</f>
        <v>87</v>
      </c>
      <c r="N63" s="22">
        <f>N61+N62</f>
        <v>104</v>
      </c>
    </row>
    <row r="64" spans="1:14" ht="12" x14ac:dyDescent="0.25">
      <c r="A64" s="36" t="s">
        <v>3</v>
      </c>
      <c r="B64" s="37">
        <f>B60</f>
        <v>1785</v>
      </c>
      <c r="C64" s="37">
        <f t="shared" ref="C64" si="11">C58+C59</f>
        <v>2021</v>
      </c>
      <c r="D64" s="37">
        <f t="shared" ref="D64:H64" si="12">D58+D59</f>
        <v>1864</v>
      </c>
      <c r="E64" s="37">
        <f t="shared" si="12"/>
        <v>1959</v>
      </c>
      <c r="F64" s="37">
        <f t="shared" si="12"/>
        <v>2148</v>
      </c>
      <c r="G64" s="37">
        <f t="shared" si="12"/>
        <v>1890</v>
      </c>
      <c r="H64" s="37">
        <f t="shared" si="12"/>
        <v>2031</v>
      </c>
      <c r="I64" s="37">
        <f>I60+I63</f>
        <v>1621</v>
      </c>
      <c r="J64" s="37">
        <f>SUM(J58+J59+J61+J62)</f>
        <v>1713</v>
      </c>
      <c r="K64" s="37">
        <f>SUM(K58+K59+K61+K62)</f>
        <v>1746</v>
      </c>
      <c r="L64" s="37">
        <f>L60+L63</f>
        <v>1718</v>
      </c>
      <c r="M64" s="37">
        <f>M60+M63</f>
        <v>1703</v>
      </c>
      <c r="N64" s="37">
        <f>N60+N63</f>
        <v>1742</v>
      </c>
    </row>
    <row r="65" spans="1:13" s="2" customFormat="1" x14ac:dyDescent="0.2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9.6" customHeight="1" x14ac:dyDescent="0.2"/>
  </sheetData>
  <pageMargins left="0.59055118110236227" right="0.59055118110236227" top="0.39370078740157483" bottom="0.39370078740157483" header="0.39370078740157483" footer="0"/>
  <pageSetup paperSize="9" orientation="landscape" r:id="rId1"/>
  <rowBreaks count="1" manualBreakCount="1"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Bibliodata </vt:lpstr>
    </vt:vector>
  </TitlesOfParts>
  <Company>Luisterpunt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Voet</dc:creator>
  <cp:lastModifiedBy>De Vos, Katia</cp:lastModifiedBy>
  <cp:lastPrinted>2021-01-21T08:03:35Z</cp:lastPrinted>
  <dcterms:created xsi:type="dcterms:W3CDTF">2016-06-03T11:46:41Z</dcterms:created>
  <dcterms:modified xsi:type="dcterms:W3CDTF">2021-01-29T19:14:53Z</dcterms:modified>
</cp:coreProperties>
</file>