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1b61d187d55627be/Parlementaire Vragen/SV/2019-2020/183/"/>
    </mc:Choice>
  </mc:AlternateContent>
  <xr:revisionPtr revIDLastSave="0" documentId="8_{D3EB565E-C1AD-425E-8AE4-9DE529ACDDD6}" xr6:coauthVersionLast="41" xr6:coauthVersionMax="41" xr10:uidLastSave="{00000000-0000-0000-0000-000000000000}"/>
  <bookViews>
    <workbookView xWindow="-120" yWindow="-120" windowWidth="19440" windowHeight="15000" tabRatio="742" activeTab="5" xr2:uid="{00000000-000D-0000-FFFF-FFFF00000000}"/>
  </bookViews>
  <sheets>
    <sheet name="Knoop.Mvt_Str" sheetId="24" r:id="rId1"/>
    <sheet name="Knoop.Mvt_Tot" sheetId="23" r:id="rId2"/>
    <sheet name="Kpt.PAE_Str" sheetId="11" r:id="rId3"/>
    <sheet name="Kpt.PAE_Tot" sheetId="5" r:id="rId4"/>
    <sheet name="Kpt.Mvt_Catri" sheetId="12" r:id="rId5"/>
    <sheet name="Kpt.Mvt_Cattak" sheetId="13" r:id="rId6"/>
    <sheet name="INFO" sheetId="15" state="hidden" r:id="rId7"/>
    <sheet name="SCH" sheetId="16" state="hidden" r:id="rId8"/>
  </sheets>
  <definedNames>
    <definedName name="_xlnm.Print_Area" localSheetId="0">Knoop.Mvt_Str!$B$2:$O$51</definedName>
    <definedName name="_xlnm.Print_Area" localSheetId="1">Knoop.Mvt_Tot!$B$2:$AA$61</definedName>
    <definedName name="_xlnm.Print_Area" localSheetId="4">Kpt.Mvt_Catri!$B$2:$AA$53</definedName>
    <definedName name="_xlnm.Print_Area" localSheetId="5">Kpt.Mvt_Cattak!$B$2:$AY$61</definedName>
    <definedName name="_xlnm.Print_Area" localSheetId="2">Kpt.PAE_Str!$B$2:$O$51</definedName>
    <definedName name="_xlnm.Print_Area" localSheetId="3">Kpt.PAE_Tot!$B$2:$Y$53</definedName>
    <definedName name="_xlnm.Print_Titles" localSheetId="1">Knoop.Mvt_Tot!$B:$C</definedName>
    <definedName name="_xlnm.Print_Titles" localSheetId="4">Kpt.Mvt_Catri!$B:$C</definedName>
    <definedName name="_xlnm.Print_Titles" localSheetId="5">Kpt.Mvt_Cattak!$B:$C</definedName>
    <definedName name="_xlnm.Print_Titles" localSheetId="3">Kpt.PAE_Tot!$B:$C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" i="11" l="1"/>
  <c r="B10" i="13"/>
  <c r="B10" i="12"/>
  <c r="D2" i="23"/>
  <c r="B10" i="5"/>
  <c r="Y12" i="23" l="1"/>
  <c r="Z12" i="23"/>
  <c r="Y13" i="23"/>
  <c r="Z13" i="23"/>
  <c r="Y14" i="23"/>
  <c r="Z14" i="23"/>
  <c r="Y15" i="23"/>
  <c r="Z15" i="23"/>
  <c r="Y16" i="23"/>
  <c r="Z16" i="23"/>
  <c r="Y17" i="23"/>
  <c r="AA17" i="23" s="1"/>
  <c r="Z17" i="23"/>
  <c r="Y18" i="23"/>
  <c r="Z18" i="23"/>
  <c r="Y19" i="23"/>
  <c r="Z19" i="23"/>
  <c r="Y20" i="23"/>
  <c r="Z20" i="23"/>
  <c r="Y21" i="23"/>
  <c r="Z21" i="23"/>
  <c r="Y22" i="23"/>
  <c r="Z22" i="23"/>
  <c r="Y23" i="23"/>
  <c r="Z23" i="23"/>
  <c r="Y24" i="23"/>
  <c r="Z24" i="23"/>
  <c r="Y25" i="23"/>
  <c r="Z25" i="23"/>
  <c r="Y26" i="23"/>
  <c r="Z26" i="23"/>
  <c r="Z11" i="23"/>
  <c r="Y11" i="23"/>
  <c r="V12" i="23"/>
  <c r="W12" i="23"/>
  <c r="X12" i="23" s="1"/>
  <c r="V13" i="23"/>
  <c r="W13" i="23"/>
  <c r="V14" i="23"/>
  <c r="W14" i="23"/>
  <c r="V15" i="23"/>
  <c r="W15" i="23"/>
  <c r="X15" i="23" s="1"/>
  <c r="V16" i="23"/>
  <c r="W16" i="23"/>
  <c r="V17" i="23"/>
  <c r="W17" i="23"/>
  <c r="V18" i="23"/>
  <c r="W18" i="23"/>
  <c r="X18" i="23" s="1"/>
  <c r="V19" i="23"/>
  <c r="W19" i="23"/>
  <c r="V20" i="23"/>
  <c r="W20" i="23"/>
  <c r="V21" i="23"/>
  <c r="W21" i="23"/>
  <c r="X21" i="23" s="1"/>
  <c r="V22" i="23"/>
  <c r="W22" i="23"/>
  <c r="V23" i="23"/>
  <c r="W23" i="23"/>
  <c r="V24" i="23"/>
  <c r="W24" i="23"/>
  <c r="X24" i="23" s="1"/>
  <c r="V25" i="23"/>
  <c r="W25" i="23"/>
  <c r="V26" i="23"/>
  <c r="W26" i="23"/>
  <c r="W11" i="23"/>
  <c r="V11" i="23"/>
  <c r="S12" i="23"/>
  <c r="T12" i="23"/>
  <c r="S13" i="23"/>
  <c r="T13" i="23"/>
  <c r="S14" i="23"/>
  <c r="T14" i="23"/>
  <c r="S15" i="23"/>
  <c r="T15" i="23"/>
  <c r="U15" i="23" s="1"/>
  <c r="S16" i="23"/>
  <c r="T16" i="23"/>
  <c r="S17" i="23"/>
  <c r="T17" i="23"/>
  <c r="S18" i="23"/>
  <c r="T18" i="23"/>
  <c r="S19" i="23"/>
  <c r="T19" i="23"/>
  <c r="S20" i="23"/>
  <c r="T20" i="23"/>
  <c r="S21" i="23"/>
  <c r="T21" i="23"/>
  <c r="U21" i="23" s="1"/>
  <c r="S22" i="23"/>
  <c r="T22" i="23"/>
  <c r="S23" i="23"/>
  <c r="T23" i="23"/>
  <c r="S24" i="23"/>
  <c r="T24" i="23"/>
  <c r="S25" i="23"/>
  <c r="T25" i="23"/>
  <c r="S26" i="23"/>
  <c r="T26" i="23"/>
  <c r="T11" i="23"/>
  <c r="S11" i="23"/>
  <c r="H28" i="23"/>
  <c r="I28" i="23"/>
  <c r="J28" i="23"/>
  <c r="K28" i="23"/>
  <c r="L28" i="23"/>
  <c r="M28" i="23"/>
  <c r="N28" i="23"/>
  <c r="H29" i="23"/>
  <c r="I29" i="23"/>
  <c r="J29" i="23"/>
  <c r="K29" i="23"/>
  <c r="L29" i="23"/>
  <c r="M29" i="23"/>
  <c r="N29" i="23"/>
  <c r="H30" i="23"/>
  <c r="I30" i="23"/>
  <c r="J30" i="23"/>
  <c r="K30" i="23"/>
  <c r="L30" i="23"/>
  <c r="M30" i="23"/>
  <c r="N30" i="23"/>
  <c r="H31" i="23"/>
  <c r="I31" i="23"/>
  <c r="J31" i="23"/>
  <c r="K31" i="23"/>
  <c r="L31" i="23"/>
  <c r="M31" i="23"/>
  <c r="N31" i="23"/>
  <c r="H33" i="23"/>
  <c r="I33" i="23"/>
  <c r="J33" i="23"/>
  <c r="T33" i="23" s="1"/>
  <c r="K33" i="23"/>
  <c r="V33" i="23" s="1"/>
  <c r="L33" i="23"/>
  <c r="M33" i="23"/>
  <c r="N33" i="23"/>
  <c r="H34" i="23"/>
  <c r="I34" i="23"/>
  <c r="J34" i="23"/>
  <c r="V34" i="23" s="1"/>
  <c r="K34" i="23"/>
  <c r="L34" i="23"/>
  <c r="Y34" i="23" s="1"/>
  <c r="M34" i="23"/>
  <c r="N34" i="23"/>
  <c r="G34" i="23"/>
  <c r="G33" i="23"/>
  <c r="G31" i="23"/>
  <c r="G30" i="23"/>
  <c r="G29" i="23"/>
  <c r="G28" i="23"/>
  <c r="Z28" i="23" s="1"/>
  <c r="D34" i="23"/>
  <c r="P33" i="23"/>
  <c r="D33" i="23"/>
  <c r="D30" i="23"/>
  <c r="F30" i="23" s="1"/>
  <c r="P28" i="23"/>
  <c r="R28" i="23" s="1"/>
  <c r="D28" i="23"/>
  <c r="F28" i="23" s="1"/>
  <c r="P19" i="23"/>
  <c r="R11" i="23"/>
  <c r="P12" i="23" s="1"/>
  <c r="R12" i="23" s="1"/>
  <c r="P13" i="23" s="1"/>
  <c r="R13" i="23" s="1"/>
  <c r="P14" i="23" s="1"/>
  <c r="R14" i="23" s="1"/>
  <c r="P15" i="23" s="1"/>
  <c r="J12" i="5"/>
  <c r="U12" i="5" s="1"/>
  <c r="J13" i="5"/>
  <c r="U13" i="5" s="1"/>
  <c r="J14" i="5"/>
  <c r="U14" i="5" s="1"/>
  <c r="J15" i="5"/>
  <c r="U15" i="5" s="1"/>
  <c r="J16" i="5"/>
  <c r="U16" i="5" s="1"/>
  <c r="J17" i="5"/>
  <c r="U17" i="5" s="1"/>
  <c r="J18" i="5"/>
  <c r="U18" i="5" s="1"/>
  <c r="J19" i="5"/>
  <c r="U19" i="5" s="1"/>
  <c r="J20" i="5"/>
  <c r="U20" i="5" s="1"/>
  <c r="J21" i="5"/>
  <c r="U21" i="5" s="1"/>
  <c r="J22" i="5"/>
  <c r="U22" i="5" s="1"/>
  <c r="J23" i="5"/>
  <c r="U23" i="5" s="1"/>
  <c r="J24" i="5"/>
  <c r="U24" i="5" s="1"/>
  <c r="J25" i="5"/>
  <c r="U25" i="5" s="1"/>
  <c r="J26" i="5"/>
  <c r="U26" i="5" s="1"/>
  <c r="J11" i="5"/>
  <c r="U11" i="5" s="1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11" i="5"/>
  <c r="H12" i="5"/>
  <c r="R12" i="5" s="1"/>
  <c r="T12" i="5" s="1"/>
  <c r="H13" i="5"/>
  <c r="H14" i="5"/>
  <c r="H15" i="5"/>
  <c r="P15" i="5" s="1"/>
  <c r="H16" i="5"/>
  <c r="P16" i="5" s="1"/>
  <c r="H17" i="5"/>
  <c r="P17" i="5" s="1"/>
  <c r="H18" i="5"/>
  <c r="R18" i="5" s="1"/>
  <c r="T18" i="5" s="1"/>
  <c r="H19" i="5"/>
  <c r="R19" i="5" s="1"/>
  <c r="T19" i="5" s="1"/>
  <c r="H20" i="5"/>
  <c r="H21" i="5"/>
  <c r="P21" i="5" s="1"/>
  <c r="H22" i="5"/>
  <c r="P22" i="5" s="1"/>
  <c r="H23" i="5"/>
  <c r="P23" i="5" s="1"/>
  <c r="H24" i="5"/>
  <c r="R24" i="5" s="1"/>
  <c r="T24" i="5" s="1"/>
  <c r="H25" i="5"/>
  <c r="H26" i="5"/>
  <c r="H11" i="5"/>
  <c r="G12" i="5"/>
  <c r="O12" i="5" s="1"/>
  <c r="G13" i="5"/>
  <c r="V13" i="5" s="1"/>
  <c r="G14" i="5"/>
  <c r="V14" i="5" s="1"/>
  <c r="G15" i="5"/>
  <c r="O15" i="5" s="1"/>
  <c r="G16" i="5"/>
  <c r="G17" i="5"/>
  <c r="V17" i="5" s="1"/>
  <c r="G18" i="5"/>
  <c r="O18" i="5" s="1"/>
  <c r="G19" i="5"/>
  <c r="V19" i="5" s="1"/>
  <c r="G20" i="5"/>
  <c r="V20" i="5" s="1"/>
  <c r="G21" i="5"/>
  <c r="O21" i="5" s="1"/>
  <c r="G22" i="5"/>
  <c r="G23" i="5"/>
  <c r="V23" i="5" s="1"/>
  <c r="G24" i="5"/>
  <c r="O24" i="5" s="1"/>
  <c r="G25" i="5"/>
  <c r="V25" i="5" s="1"/>
  <c r="G26" i="5"/>
  <c r="V26" i="5" s="1"/>
  <c r="AQ12" i="13"/>
  <c r="AR12" i="13"/>
  <c r="AS12" i="13"/>
  <c r="AT12" i="13"/>
  <c r="AQ13" i="13"/>
  <c r="AR13" i="13"/>
  <c r="AS13" i="13"/>
  <c r="AT13" i="13"/>
  <c r="AQ14" i="13"/>
  <c r="AR14" i="13"/>
  <c r="AS14" i="13"/>
  <c r="AT14" i="13"/>
  <c r="AQ15" i="13"/>
  <c r="AR15" i="13"/>
  <c r="AS15" i="13"/>
  <c r="AT15" i="13"/>
  <c r="AQ16" i="13"/>
  <c r="AR16" i="13"/>
  <c r="AS16" i="13"/>
  <c r="AT16" i="13"/>
  <c r="AQ17" i="13"/>
  <c r="AR17" i="13"/>
  <c r="AS17" i="13"/>
  <c r="AT17" i="13"/>
  <c r="AQ18" i="13"/>
  <c r="AR18" i="13"/>
  <c r="AS18" i="13"/>
  <c r="AT18" i="13"/>
  <c r="AQ19" i="13"/>
  <c r="AR19" i="13"/>
  <c r="AS19" i="13"/>
  <c r="AT19" i="13"/>
  <c r="AQ20" i="13"/>
  <c r="AR20" i="13"/>
  <c r="AS20" i="13"/>
  <c r="AT20" i="13"/>
  <c r="AQ21" i="13"/>
  <c r="AR21" i="13"/>
  <c r="AS21" i="13"/>
  <c r="AT21" i="13"/>
  <c r="AQ22" i="13"/>
  <c r="AR22" i="13"/>
  <c r="AS22" i="13"/>
  <c r="AT22" i="13"/>
  <c r="AQ23" i="13"/>
  <c r="AR23" i="13"/>
  <c r="AS23" i="13"/>
  <c r="AT23" i="13"/>
  <c r="AQ24" i="13"/>
  <c r="AR24" i="13"/>
  <c r="AS24" i="13"/>
  <c r="AT24" i="13"/>
  <c r="AQ25" i="13"/>
  <c r="AR25" i="13"/>
  <c r="AS25" i="13"/>
  <c r="AT25" i="13"/>
  <c r="AQ26" i="13"/>
  <c r="AR26" i="13"/>
  <c r="AS26" i="13"/>
  <c r="AT26" i="13"/>
  <c r="AR11" i="13"/>
  <c r="AS11" i="13"/>
  <c r="AT11" i="13"/>
  <c r="AQ11" i="13"/>
  <c r="AM12" i="13"/>
  <c r="AN12" i="13"/>
  <c r="AO12" i="13"/>
  <c r="AP12" i="13"/>
  <c r="AM13" i="13"/>
  <c r="AN13" i="13"/>
  <c r="AO13" i="13"/>
  <c r="AP13" i="13"/>
  <c r="AM14" i="13"/>
  <c r="AN14" i="13"/>
  <c r="AO14" i="13"/>
  <c r="AP14" i="13"/>
  <c r="AM15" i="13"/>
  <c r="AN15" i="13"/>
  <c r="AO15" i="13"/>
  <c r="AP15" i="13"/>
  <c r="AM16" i="13"/>
  <c r="AN16" i="13"/>
  <c r="AO16" i="13"/>
  <c r="AP16" i="13"/>
  <c r="AM17" i="13"/>
  <c r="AN17" i="13"/>
  <c r="AO17" i="13"/>
  <c r="AP17" i="13"/>
  <c r="AM18" i="13"/>
  <c r="AN18" i="13"/>
  <c r="AO18" i="13"/>
  <c r="AP18" i="13"/>
  <c r="AM19" i="13"/>
  <c r="AN19" i="13"/>
  <c r="AO19" i="13"/>
  <c r="AP19" i="13"/>
  <c r="AM20" i="13"/>
  <c r="AN20" i="13"/>
  <c r="AO20" i="13"/>
  <c r="AP20" i="13"/>
  <c r="AM21" i="13"/>
  <c r="AN21" i="13"/>
  <c r="AO21" i="13"/>
  <c r="AP21" i="13"/>
  <c r="AM22" i="13"/>
  <c r="AN22" i="13"/>
  <c r="AO22" i="13"/>
  <c r="AP22" i="13"/>
  <c r="AM23" i="13"/>
  <c r="AN23" i="13"/>
  <c r="AO23" i="13"/>
  <c r="AP23" i="13"/>
  <c r="AM24" i="13"/>
  <c r="AN24" i="13"/>
  <c r="AO24" i="13"/>
  <c r="AP24" i="13"/>
  <c r="AM25" i="13"/>
  <c r="AN25" i="13"/>
  <c r="AO25" i="13"/>
  <c r="AP25" i="13"/>
  <c r="AM26" i="13"/>
  <c r="AN26" i="13"/>
  <c r="AO26" i="13"/>
  <c r="AP26" i="13"/>
  <c r="AN11" i="13"/>
  <c r="AO11" i="13"/>
  <c r="AP11" i="13"/>
  <c r="AM11" i="13"/>
  <c r="W12" i="13"/>
  <c r="X12" i="13"/>
  <c r="Y12" i="13"/>
  <c r="Z12" i="13"/>
  <c r="W13" i="13"/>
  <c r="X13" i="13"/>
  <c r="Y13" i="13"/>
  <c r="Z13" i="13"/>
  <c r="W14" i="13"/>
  <c r="X14" i="13"/>
  <c r="Y14" i="13"/>
  <c r="Z14" i="13"/>
  <c r="W15" i="13"/>
  <c r="X15" i="13"/>
  <c r="Y15" i="13"/>
  <c r="Z15" i="13"/>
  <c r="W16" i="13"/>
  <c r="X16" i="13"/>
  <c r="Y16" i="13"/>
  <c r="Z16" i="13"/>
  <c r="W17" i="13"/>
  <c r="X17" i="13"/>
  <c r="Y17" i="13"/>
  <c r="Z17" i="13"/>
  <c r="W18" i="13"/>
  <c r="X18" i="13"/>
  <c r="Y18" i="13"/>
  <c r="Z18" i="13"/>
  <c r="W19" i="13"/>
  <c r="X19" i="13"/>
  <c r="Y19" i="13"/>
  <c r="Z19" i="13"/>
  <c r="W20" i="13"/>
  <c r="X20" i="13"/>
  <c r="Y20" i="13"/>
  <c r="Z20" i="13"/>
  <c r="W21" i="13"/>
  <c r="X21" i="13"/>
  <c r="Y21" i="13"/>
  <c r="Z21" i="13"/>
  <c r="W22" i="13"/>
  <c r="X22" i="13"/>
  <c r="Y22" i="13"/>
  <c r="Z22" i="13"/>
  <c r="W23" i="13"/>
  <c r="X23" i="13"/>
  <c r="Y23" i="13"/>
  <c r="Z23" i="13"/>
  <c r="W24" i="13"/>
  <c r="X24" i="13"/>
  <c r="Y24" i="13"/>
  <c r="Z24" i="13"/>
  <c r="W25" i="13"/>
  <c r="X25" i="13"/>
  <c r="Y25" i="13"/>
  <c r="Z25" i="13"/>
  <c r="W26" i="13"/>
  <c r="X26" i="13"/>
  <c r="Y26" i="13"/>
  <c r="Z26" i="13"/>
  <c r="X11" i="13"/>
  <c r="Y11" i="13"/>
  <c r="Z11" i="13"/>
  <c r="W11" i="13"/>
  <c r="K12" i="13"/>
  <c r="L12" i="13"/>
  <c r="M12" i="13"/>
  <c r="N12" i="13"/>
  <c r="K13" i="13"/>
  <c r="L13" i="13"/>
  <c r="M13" i="13"/>
  <c r="N13" i="13"/>
  <c r="K14" i="13"/>
  <c r="L14" i="13"/>
  <c r="M14" i="13"/>
  <c r="N14" i="13"/>
  <c r="K15" i="13"/>
  <c r="L15" i="13"/>
  <c r="M15" i="13"/>
  <c r="N15" i="13"/>
  <c r="K16" i="13"/>
  <c r="L16" i="13"/>
  <c r="M16" i="13"/>
  <c r="N16" i="13"/>
  <c r="K17" i="13"/>
  <c r="L17" i="13"/>
  <c r="M17" i="13"/>
  <c r="N17" i="13"/>
  <c r="K18" i="13"/>
  <c r="L18" i="13"/>
  <c r="M18" i="13"/>
  <c r="N18" i="13"/>
  <c r="K19" i="13"/>
  <c r="L19" i="13"/>
  <c r="M19" i="13"/>
  <c r="N19" i="13"/>
  <c r="K20" i="13"/>
  <c r="L20" i="13"/>
  <c r="M20" i="13"/>
  <c r="N20" i="13"/>
  <c r="K21" i="13"/>
  <c r="L21" i="13"/>
  <c r="M21" i="13"/>
  <c r="N21" i="13"/>
  <c r="K22" i="13"/>
  <c r="L22" i="13"/>
  <c r="M22" i="13"/>
  <c r="N22" i="13"/>
  <c r="K23" i="13"/>
  <c r="L23" i="13"/>
  <c r="M23" i="13"/>
  <c r="N23" i="13"/>
  <c r="K24" i="13"/>
  <c r="L24" i="13"/>
  <c r="M24" i="13"/>
  <c r="N24" i="13"/>
  <c r="K25" i="13"/>
  <c r="L25" i="13"/>
  <c r="M25" i="13"/>
  <c r="N25" i="13"/>
  <c r="K26" i="13"/>
  <c r="L26" i="13"/>
  <c r="M26" i="13"/>
  <c r="N26" i="13"/>
  <c r="L11" i="13"/>
  <c r="M11" i="13"/>
  <c r="N11" i="13"/>
  <c r="K11" i="13"/>
  <c r="G12" i="13"/>
  <c r="H12" i="13"/>
  <c r="I12" i="13"/>
  <c r="J12" i="13"/>
  <c r="G13" i="13"/>
  <c r="H13" i="13"/>
  <c r="I13" i="13"/>
  <c r="J13" i="13"/>
  <c r="G14" i="13"/>
  <c r="H14" i="13"/>
  <c r="I14" i="13"/>
  <c r="J14" i="13"/>
  <c r="G15" i="13"/>
  <c r="H15" i="13"/>
  <c r="I15" i="13"/>
  <c r="J15" i="13"/>
  <c r="G16" i="13"/>
  <c r="H16" i="13"/>
  <c r="I16" i="13"/>
  <c r="J16" i="13"/>
  <c r="G17" i="13"/>
  <c r="H17" i="13"/>
  <c r="I17" i="13"/>
  <c r="J17" i="13"/>
  <c r="G18" i="13"/>
  <c r="H18" i="13"/>
  <c r="I18" i="13"/>
  <c r="J18" i="13"/>
  <c r="G19" i="13"/>
  <c r="H19" i="13"/>
  <c r="I19" i="13"/>
  <c r="J19" i="13"/>
  <c r="G20" i="13"/>
  <c r="H20" i="13"/>
  <c r="I20" i="13"/>
  <c r="J20" i="13"/>
  <c r="G21" i="13"/>
  <c r="H21" i="13"/>
  <c r="I21" i="13"/>
  <c r="J21" i="13"/>
  <c r="G22" i="13"/>
  <c r="H22" i="13"/>
  <c r="I22" i="13"/>
  <c r="J22" i="13"/>
  <c r="G23" i="13"/>
  <c r="H23" i="13"/>
  <c r="I23" i="13"/>
  <c r="J23" i="13"/>
  <c r="G24" i="13"/>
  <c r="H24" i="13"/>
  <c r="I24" i="13"/>
  <c r="J24" i="13"/>
  <c r="G25" i="13"/>
  <c r="H25" i="13"/>
  <c r="I25" i="13"/>
  <c r="J25" i="13"/>
  <c r="G26" i="13"/>
  <c r="H26" i="13"/>
  <c r="I26" i="13"/>
  <c r="J26" i="13"/>
  <c r="H11" i="13"/>
  <c r="I11" i="13"/>
  <c r="J11" i="13"/>
  <c r="G11" i="13"/>
  <c r="V30" i="23" l="1"/>
  <c r="V29" i="23"/>
  <c r="V28" i="23"/>
  <c r="U24" i="23"/>
  <c r="U22" i="23"/>
  <c r="U18" i="23"/>
  <c r="U16" i="23"/>
  <c r="U12" i="23"/>
  <c r="R25" i="5"/>
  <c r="T25" i="5" s="1"/>
  <c r="R13" i="5"/>
  <c r="T13" i="5" s="1"/>
  <c r="S30" i="23"/>
  <c r="T29" i="23"/>
  <c r="T34" i="23"/>
  <c r="R11" i="5"/>
  <c r="V22" i="5"/>
  <c r="W22" i="5" s="1"/>
  <c r="V16" i="5"/>
  <c r="W16" i="5" s="1"/>
  <c r="P26" i="5"/>
  <c r="P20" i="5"/>
  <c r="P14" i="5"/>
  <c r="W26" i="5"/>
  <c r="W20" i="5"/>
  <c r="W14" i="5"/>
  <c r="W25" i="5"/>
  <c r="W19" i="5"/>
  <c r="W13" i="5"/>
  <c r="W23" i="5"/>
  <c r="W17" i="5"/>
  <c r="Q21" i="5"/>
  <c r="Q15" i="5"/>
  <c r="O26" i="5"/>
  <c r="Q26" i="5" s="1"/>
  <c r="P25" i="5"/>
  <c r="O20" i="5"/>
  <c r="P19" i="5"/>
  <c r="O14" i="5"/>
  <c r="Q14" i="5" s="1"/>
  <c r="P13" i="5"/>
  <c r="O25" i="5"/>
  <c r="P24" i="5"/>
  <c r="Q24" i="5" s="1"/>
  <c r="R23" i="5"/>
  <c r="T23" i="5" s="1"/>
  <c r="R22" i="5"/>
  <c r="T22" i="5" s="1"/>
  <c r="O19" i="5"/>
  <c r="Q19" i="5" s="1"/>
  <c r="P18" i="5"/>
  <c r="Q18" i="5" s="1"/>
  <c r="R17" i="5"/>
  <c r="T17" i="5" s="1"/>
  <c r="R16" i="5"/>
  <c r="T16" i="5" s="1"/>
  <c r="O13" i="5"/>
  <c r="P12" i="5"/>
  <c r="Q12" i="5" s="1"/>
  <c r="P11" i="5"/>
  <c r="V24" i="5"/>
  <c r="W24" i="5" s="1"/>
  <c r="R21" i="5"/>
  <c r="T21" i="5" s="1"/>
  <c r="V18" i="5"/>
  <c r="W18" i="5" s="1"/>
  <c r="R15" i="5"/>
  <c r="T15" i="5" s="1"/>
  <c r="V12" i="5"/>
  <c r="W12" i="5" s="1"/>
  <c r="O23" i="5"/>
  <c r="Q23" i="5" s="1"/>
  <c r="O17" i="5"/>
  <c r="Q17" i="5" s="1"/>
  <c r="R26" i="5"/>
  <c r="T26" i="5" s="1"/>
  <c r="O22" i="5"/>
  <c r="Q22" i="5" s="1"/>
  <c r="R20" i="5"/>
  <c r="T20" i="5" s="1"/>
  <c r="O16" i="5"/>
  <c r="Q16" i="5" s="1"/>
  <c r="R14" i="5"/>
  <c r="T14" i="5" s="1"/>
  <c r="V21" i="5"/>
  <c r="W21" i="5" s="1"/>
  <c r="V15" i="5"/>
  <c r="W15" i="5" s="1"/>
  <c r="Z30" i="23"/>
  <c r="U25" i="23"/>
  <c r="AA16" i="23"/>
  <c r="AA13" i="23"/>
  <c r="AA24" i="23"/>
  <c r="AA21" i="23"/>
  <c r="AA18" i="23"/>
  <c r="Z34" i="23"/>
  <c r="S29" i="23"/>
  <c r="AA15" i="23"/>
  <c r="Z31" i="23"/>
  <c r="Y31" i="23"/>
  <c r="Y30" i="23"/>
  <c r="AA30" i="23" s="1"/>
  <c r="T31" i="23"/>
  <c r="U11" i="23"/>
  <c r="Y28" i="23"/>
  <c r="AA11" i="23"/>
  <c r="Z29" i="23"/>
  <c r="Z33" i="23"/>
  <c r="AA26" i="23"/>
  <c r="AA23" i="23"/>
  <c r="AA20" i="23"/>
  <c r="AA12" i="23"/>
  <c r="AA28" i="23"/>
  <c r="AA34" i="23"/>
  <c r="AA25" i="23"/>
  <c r="AA22" i="23"/>
  <c r="AA19" i="23"/>
  <c r="AA14" i="23"/>
  <c r="T30" i="23"/>
  <c r="X26" i="23"/>
  <c r="X23" i="23"/>
  <c r="X20" i="23"/>
  <c r="X17" i="23"/>
  <c r="X14" i="23"/>
  <c r="U30" i="23"/>
  <c r="V31" i="23"/>
  <c r="X25" i="23"/>
  <c r="X22" i="23"/>
  <c r="X19" i="23"/>
  <c r="X16" i="23"/>
  <c r="X13" i="23"/>
  <c r="T28" i="23"/>
  <c r="U20" i="23"/>
  <c r="U14" i="23"/>
  <c r="X11" i="23"/>
  <c r="Y33" i="23"/>
  <c r="W28" i="23"/>
  <c r="X28" i="23" s="1"/>
  <c r="Y29" i="23"/>
  <c r="W29" i="23"/>
  <c r="X29" i="23" s="1"/>
  <c r="W30" i="23"/>
  <c r="X30" i="23" s="1"/>
  <c r="W34" i="23"/>
  <c r="X34" i="23" s="1"/>
  <c r="W33" i="23"/>
  <c r="X33" i="23" s="1"/>
  <c r="W31" i="23"/>
  <c r="U13" i="23"/>
  <c r="U26" i="23"/>
  <c r="U23" i="23"/>
  <c r="S34" i="23"/>
  <c r="U34" i="23" s="1"/>
  <c r="S28" i="23"/>
  <c r="U19" i="23"/>
  <c r="S33" i="23"/>
  <c r="U33" i="23" s="1"/>
  <c r="S31" i="23"/>
  <c r="U17" i="23"/>
  <c r="F33" i="23"/>
  <c r="D29" i="23"/>
  <c r="F29" i="23" s="1"/>
  <c r="D31" i="23"/>
  <c r="F31" i="23" s="1"/>
  <c r="F34" i="23"/>
  <c r="R15" i="23"/>
  <c r="P16" i="23" s="1"/>
  <c r="R16" i="23" s="1"/>
  <c r="P17" i="23" s="1"/>
  <c r="R17" i="23" s="1"/>
  <c r="P18" i="23" s="1"/>
  <c r="R18" i="23" s="1"/>
  <c r="R33" i="23" s="1"/>
  <c r="P29" i="23"/>
  <c r="R29" i="23" s="1"/>
  <c r="R19" i="23"/>
  <c r="P20" i="23" s="1"/>
  <c r="R20" i="23" s="1"/>
  <c r="P21" i="23" s="1"/>
  <c r="R21" i="23" s="1"/>
  <c r="P22" i="23" s="1"/>
  <c r="R22" i="23" s="1"/>
  <c r="P23" i="23" s="1"/>
  <c r="P34" i="23"/>
  <c r="P30" i="23"/>
  <c r="R30" i="23" s="1"/>
  <c r="U29" i="23" l="1"/>
  <c r="Q20" i="5"/>
  <c r="U31" i="23"/>
  <c r="X31" i="23"/>
  <c r="AA31" i="23"/>
  <c r="Q25" i="5"/>
  <c r="Q13" i="5"/>
  <c r="AA29" i="23"/>
  <c r="AA33" i="23"/>
  <c r="U28" i="23"/>
  <c r="P31" i="23"/>
  <c r="R31" i="23" s="1"/>
  <c r="R23" i="23"/>
  <c r="P24" i="23" s="1"/>
  <c r="R24" i="23" s="1"/>
  <c r="P25" i="23" s="1"/>
  <c r="R25" i="23" s="1"/>
  <c r="P26" i="23" s="1"/>
  <c r="R26" i="23" s="1"/>
  <c r="R34" i="23" s="1"/>
  <c r="AJ28" i="13"/>
  <c r="AL28" i="13" s="1"/>
  <c r="T28" i="13"/>
  <c r="V28" i="13" s="1"/>
  <c r="D28" i="13"/>
  <c r="F28" i="13" s="1"/>
  <c r="P28" i="12"/>
  <c r="R28" i="12" s="1"/>
  <c r="D30" i="12"/>
  <c r="F30" i="12" s="1"/>
  <c r="D28" i="12"/>
  <c r="F28" i="12" s="1"/>
  <c r="L28" i="5"/>
  <c r="N28" i="5" s="1"/>
  <c r="D28" i="5"/>
  <c r="D19" i="13" l="1"/>
  <c r="D30" i="13" s="1"/>
  <c r="F30" i="13" s="1"/>
  <c r="P30" i="12"/>
  <c r="R30" i="12" s="1"/>
  <c r="D19" i="5"/>
  <c r="T19" i="13" l="1"/>
  <c r="L19" i="5"/>
  <c r="L30" i="5" s="1"/>
  <c r="N30" i="5" s="1"/>
  <c r="D30" i="5"/>
  <c r="T30" i="13" l="1"/>
  <c r="V30" i="13" s="1"/>
  <c r="AJ19" i="13"/>
  <c r="AJ30" i="13" s="1"/>
  <c r="AL30" i="13" s="1"/>
  <c r="G11" i="5" l="1"/>
  <c r="V11" i="5" l="1"/>
  <c r="O11" i="5"/>
  <c r="T11" i="5"/>
  <c r="W11" i="5"/>
  <c r="Q11" i="5" l="1"/>
  <c r="AU12" i="13" l="1"/>
  <c r="AV12" i="13"/>
  <c r="AW12" i="13"/>
  <c r="AU13" i="13"/>
  <c r="AV13" i="13"/>
  <c r="AW13" i="13"/>
  <c r="AU14" i="13"/>
  <c r="AV14" i="13"/>
  <c r="AW14" i="13"/>
  <c r="AU15" i="13"/>
  <c r="AV15" i="13"/>
  <c r="AW15" i="13"/>
  <c r="AU16" i="13"/>
  <c r="AV16" i="13"/>
  <c r="AW16" i="13"/>
  <c r="AU17" i="13"/>
  <c r="AV17" i="13"/>
  <c r="AW17" i="13"/>
  <c r="AU18" i="13"/>
  <c r="AV18" i="13"/>
  <c r="AW18" i="13"/>
  <c r="AX18" i="13"/>
  <c r="AU19" i="13"/>
  <c r="AV19" i="13"/>
  <c r="AW19" i="13"/>
  <c r="AU20" i="13"/>
  <c r="AV20" i="13"/>
  <c r="AW20" i="13"/>
  <c r="AU21" i="13"/>
  <c r="AV21" i="13"/>
  <c r="AW21" i="13"/>
  <c r="AU22" i="13"/>
  <c r="AV22" i="13"/>
  <c r="AW22" i="13"/>
  <c r="AU23" i="13"/>
  <c r="AV23" i="13"/>
  <c r="AW23" i="13"/>
  <c r="AU24" i="13"/>
  <c r="AV24" i="13"/>
  <c r="AW24" i="13"/>
  <c r="AU25" i="13"/>
  <c r="AV25" i="13"/>
  <c r="AW25" i="13"/>
  <c r="AU26" i="13"/>
  <c r="AV26" i="13"/>
  <c r="AW26" i="13"/>
  <c r="AV11" i="13"/>
  <c r="AU11" i="13"/>
  <c r="AE12" i="13"/>
  <c r="AF12" i="13"/>
  <c r="AG12" i="13"/>
  <c r="AE13" i="13"/>
  <c r="AF13" i="13"/>
  <c r="AG13" i="13"/>
  <c r="AE14" i="13"/>
  <c r="AF14" i="13"/>
  <c r="AG14" i="13"/>
  <c r="AE15" i="13"/>
  <c r="AF15" i="13"/>
  <c r="AG15" i="13"/>
  <c r="AH15" i="13"/>
  <c r="AE16" i="13"/>
  <c r="AF16" i="13"/>
  <c r="AG16" i="13"/>
  <c r="AH16" i="13"/>
  <c r="AE17" i="13"/>
  <c r="AF17" i="13"/>
  <c r="AG17" i="13"/>
  <c r="AH17" i="13"/>
  <c r="AE18" i="13"/>
  <c r="AF18" i="13"/>
  <c r="AG18" i="13"/>
  <c r="AE19" i="13"/>
  <c r="AF19" i="13"/>
  <c r="AG19" i="13"/>
  <c r="AH19" i="13"/>
  <c r="AE20" i="13"/>
  <c r="AF20" i="13"/>
  <c r="AG20" i="13"/>
  <c r="AH20" i="13"/>
  <c r="AE21" i="13"/>
  <c r="AF21" i="13"/>
  <c r="AG21" i="13"/>
  <c r="AH21" i="13"/>
  <c r="AE22" i="13"/>
  <c r="AF22" i="13"/>
  <c r="AG22" i="13"/>
  <c r="AE23" i="13"/>
  <c r="AF23" i="13"/>
  <c r="AG23" i="13"/>
  <c r="AH23" i="13"/>
  <c r="AE24" i="13"/>
  <c r="AF24" i="13"/>
  <c r="AG24" i="13"/>
  <c r="AH24" i="13"/>
  <c r="AE25" i="13"/>
  <c r="AF25" i="13"/>
  <c r="AG25" i="13"/>
  <c r="AE26" i="13"/>
  <c r="AF26" i="13"/>
  <c r="AG26" i="13"/>
  <c r="AF11" i="13"/>
  <c r="Q21" i="13"/>
  <c r="O12" i="13"/>
  <c r="P12" i="13"/>
  <c r="Q12" i="13"/>
  <c r="O13" i="13"/>
  <c r="O14" i="13"/>
  <c r="P14" i="13"/>
  <c r="R14" i="13"/>
  <c r="P16" i="13"/>
  <c r="Q16" i="13"/>
  <c r="O17" i="13"/>
  <c r="P17" i="13"/>
  <c r="Q17" i="13"/>
  <c r="R17" i="13"/>
  <c r="O18" i="13"/>
  <c r="P18" i="13"/>
  <c r="Q18" i="13"/>
  <c r="R18" i="13"/>
  <c r="O19" i="13"/>
  <c r="P19" i="13"/>
  <c r="O20" i="13"/>
  <c r="P20" i="13"/>
  <c r="R20" i="13"/>
  <c r="O22" i="13"/>
  <c r="P22" i="13"/>
  <c r="Q22" i="13"/>
  <c r="O23" i="13"/>
  <c r="P23" i="13"/>
  <c r="Q23" i="13"/>
  <c r="O24" i="13"/>
  <c r="P24" i="13"/>
  <c r="Q24" i="13"/>
  <c r="P25" i="13"/>
  <c r="O26" i="13"/>
  <c r="P26" i="13"/>
  <c r="Q11" i="13"/>
  <c r="Z34" i="12"/>
  <c r="AP34" i="13" s="1"/>
  <c r="Y34" i="12"/>
  <c r="AO34" i="13" s="1"/>
  <c r="X34" i="12"/>
  <c r="AN34" i="13" s="1"/>
  <c r="W34" i="12"/>
  <c r="V34" i="12"/>
  <c r="U34" i="12"/>
  <c r="T34" i="12"/>
  <c r="S34" i="12"/>
  <c r="Z33" i="12"/>
  <c r="AP33" i="13" s="1"/>
  <c r="Y33" i="12"/>
  <c r="AO33" i="13" s="1"/>
  <c r="X33" i="12"/>
  <c r="AN33" i="13" s="1"/>
  <c r="W33" i="12"/>
  <c r="V33" i="12"/>
  <c r="U33" i="12"/>
  <c r="T33" i="12"/>
  <c r="S33" i="12"/>
  <c r="Z31" i="12"/>
  <c r="AP31" i="13" s="1"/>
  <c r="Y31" i="12"/>
  <c r="AO31" i="13" s="1"/>
  <c r="X31" i="12"/>
  <c r="AN31" i="13" s="1"/>
  <c r="W31" i="12"/>
  <c r="V31" i="12"/>
  <c r="U31" i="12"/>
  <c r="T31" i="12"/>
  <c r="S31" i="12"/>
  <c r="Z30" i="12"/>
  <c r="AP30" i="13" s="1"/>
  <c r="Y30" i="12"/>
  <c r="AO30" i="13" s="1"/>
  <c r="X30" i="12"/>
  <c r="AN30" i="13" s="1"/>
  <c r="W30" i="12"/>
  <c r="V30" i="12"/>
  <c r="U30" i="12"/>
  <c r="T30" i="12"/>
  <c r="S30" i="12"/>
  <c r="Z29" i="12"/>
  <c r="AP29" i="13" s="1"/>
  <c r="Y29" i="12"/>
  <c r="AO29" i="13" s="1"/>
  <c r="X29" i="12"/>
  <c r="AN29" i="13" s="1"/>
  <c r="W29" i="12"/>
  <c r="V29" i="12"/>
  <c r="U29" i="12"/>
  <c r="T29" i="12"/>
  <c r="S29" i="12"/>
  <c r="Z28" i="12"/>
  <c r="AP28" i="13" s="1"/>
  <c r="Y28" i="12"/>
  <c r="AO28" i="13" s="1"/>
  <c r="X28" i="12"/>
  <c r="AN28" i="13" s="1"/>
  <c r="W28" i="12"/>
  <c r="V28" i="12"/>
  <c r="U28" i="12"/>
  <c r="T28" i="12"/>
  <c r="S28" i="12"/>
  <c r="N34" i="12"/>
  <c r="M34" i="12"/>
  <c r="L34" i="12"/>
  <c r="K34" i="12"/>
  <c r="J34" i="12"/>
  <c r="I34" i="12"/>
  <c r="H34" i="12"/>
  <c r="G34" i="12"/>
  <c r="N33" i="12"/>
  <c r="M33" i="12"/>
  <c r="L33" i="12"/>
  <c r="K33" i="12"/>
  <c r="J33" i="12"/>
  <c r="I33" i="12"/>
  <c r="H33" i="12"/>
  <c r="G33" i="12"/>
  <c r="N31" i="12"/>
  <c r="M31" i="12"/>
  <c r="L31" i="12"/>
  <c r="K31" i="12"/>
  <c r="J31" i="12"/>
  <c r="I31" i="12"/>
  <c r="H31" i="12"/>
  <c r="G31" i="12"/>
  <c r="N30" i="12"/>
  <c r="M30" i="12"/>
  <c r="L30" i="12"/>
  <c r="K30" i="12"/>
  <c r="J30" i="12"/>
  <c r="I30" i="12"/>
  <c r="H30" i="12"/>
  <c r="G30" i="12"/>
  <c r="N29" i="12"/>
  <c r="M29" i="12"/>
  <c r="L29" i="12"/>
  <c r="K29" i="12"/>
  <c r="J29" i="12"/>
  <c r="I29" i="12"/>
  <c r="H29" i="12"/>
  <c r="G29" i="12"/>
  <c r="N28" i="12"/>
  <c r="M28" i="12"/>
  <c r="L28" i="12"/>
  <c r="K28" i="12"/>
  <c r="J28" i="12"/>
  <c r="I28" i="12"/>
  <c r="H28" i="12"/>
  <c r="G28" i="12"/>
  <c r="B20" i="15"/>
  <c r="C20" i="15" s="1"/>
  <c r="AJ34" i="13"/>
  <c r="AJ33" i="13"/>
  <c r="AL19" i="13"/>
  <c r="AJ20" i="13" s="1"/>
  <c r="AL20" i="13" s="1"/>
  <c r="AJ21" i="13" s="1"/>
  <c r="AL21" i="13" s="1"/>
  <c r="AJ22" i="13" s="1"/>
  <c r="AL22" i="13" s="1"/>
  <c r="AJ23" i="13" s="1"/>
  <c r="AL11" i="13"/>
  <c r="AJ12" i="13" s="1"/>
  <c r="AL12" i="13" s="1"/>
  <c r="AJ13" i="13" s="1"/>
  <c r="AL13" i="13" s="1"/>
  <c r="AJ14" i="13" s="1"/>
  <c r="AL14" i="13" s="1"/>
  <c r="AJ15" i="13" s="1"/>
  <c r="T34" i="13"/>
  <c r="T33" i="13"/>
  <c r="V19" i="13"/>
  <c r="T20" i="13" s="1"/>
  <c r="V20" i="13" s="1"/>
  <c r="T21" i="13" s="1"/>
  <c r="V21" i="13" s="1"/>
  <c r="T22" i="13" s="1"/>
  <c r="V22" i="13" s="1"/>
  <c r="T23" i="13" s="1"/>
  <c r="V11" i="13"/>
  <c r="T12" i="13" s="1"/>
  <c r="V12" i="13" s="1"/>
  <c r="T13" i="13" s="1"/>
  <c r="V13" i="13" s="1"/>
  <c r="T14" i="13" s="1"/>
  <c r="V14" i="13" s="1"/>
  <c r="T15" i="13" s="1"/>
  <c r="D34" i="13"/>
  <c r="D33" i="13"/>
  <c r="F19" i="13"/>
  <c r="D20" i="13" s="1"/>
  <c r="F20" i="13" s="1"/>
  <c r="D21" i="13" s="1"/>
  <c r="F21" i="13" s="1"/>
  <c r="D22" i="13" s="1"/>
  <c r="F22" i="13" s="1"/>
  <c r="D23" i="13" s="1"/>
  <c r="F11" i="13"/>
  <c r="D12" i="13" s="1"/>
  <c r="F12" i="13" s="1"/>
  <c r="D13" i="13" s="1"/>
  <c r="F13" i="13" s="1"/>
  <c r="D14" i="13" s="1"/>
  <c r="F14" i="13" s="1"/>
  <c r="D15" i="13" s="1"/>
  <c r="P34" i="12"/>
  <c r="P33" i="12"/>
  <c r="R19" i="12"/>
  <c r="R20" i="12" s="1"/>
  <c r="R21" i="12" s="1"/>
  <c r="R22" i="12" s="1"/>
  <c r="R11" i="12"/>
  <c r="R12" i="12" s="1"/>
  <c r="R13" i="12" s="1"/>
  <c r="R14" i="12" s="1"/>
  <c r="D33" i="12"/>
  <c r="F11" i="12"/>
  <c r="F12" i="12" s="1"/>
  <c r="F13" i="12" s="1"/>
  <c r="F14" i="12" s="1"/>
  <c r="L34" i="5"/>
  <c r="L33" i="5"/>
  <c r="N19" i="5"/>
  <c r="L20" i="5" s="1"/>
  <c r="N20" i="5" s="1"/>
  <c r="L21" i="5" s="1"/>
  <c r="N21" i="5" s="1"/>
  <c r="L22" i="5" s="1"/>
  <c r="N22" i="5" s="1"/>
  <c r="L23" i="5" s="1"/>
  <c r="N11" i="5"/>
  <c r="L12" i="5" s="1"/>
  <c r="N12" i="5" s="1"/>
  <c r="L13" i="5" s="1"/>
  <c r="N13" i="5" s="1"/>
  <c r="L14" i="5" s="1"/>
  <c r="N14" i="5" s="1"/>
  <c r="L15" i="5" s="1"/>
  <c r="D34" i="5"/>
  <c r="D33" i="5"/>
  <c r="AT28" i="13" l="1"/>
  <c r="J28" i="13"/>
  <c r="Z28" i="13"/>
  <c r="N28" i="13"/>
  <c r="AT29" i="13"/>
  <c r="J29" i="13"/>
  <c r="Z29" i="13"/>
  <c r="N29" i="13"/>
  <c r="AT30" i="13"/>
  <c r="J30" i="13"/>
  <c r="Z30" i="13"/>
  <c r="N30" i="13"/>
  <c r="AT31" i="13"/>
  <c r="J31" i="13"/>
  <c r="Z31" i="13"/>
  <c r="N31" i="13"/>
  <c r="AT33" i="13"/>
  <c r="J33" i="13"/>
  <c r="Z33" i="13"/>
  <c r="N33" i="13"/>
  <c r="AT34" i="13"/>
  <c r="J34" i="13"/>
  <c r="Z34" i="13"/>
  <c r="N34" i="13"/>
  <c r="Y28" i="13"/>
  <c r="M28" i="13"/>
  <c r="AS29" i="13"/>
  <c r="I29" i="13"/>
  <c r="Y29" i="13"/>
  <c r="M29" i="13"/>
  <c r="AS30" i="13"/>
  <c r="I30" i="13"/>
  <c r="AS31" i="13"/>
  <c r="I31" i="13"/>
  <c r="Y31" i="13"/>
  <c r="M31" i="13"/>
  <c r="AS33" i="13"/>
  <c r="I33" i="13"/>
  <c r="Y33" i="13"/>
  <c r="M33" i="13"/>
  <c r="AS34" i="13"/>
  <c r="I34" i="13"/>
  <c r="Y34" i="13"/>
  <c r="M34" i="13"/>
  <c r="G28" i="5"/>
  <c r="G28" i="13"/>
  <c r="AQ28" i="13"/>
  <c r="H28" i="5"/>
  <c r="W28" i="13"/>
  <c r="K28" i="13"/>
  <c r="AQ29" i="13"/>
  <c r="G29" i="5"/>
  <c r="G29" i="13"/>
  <c r="W29" i="13"/>
  <c r="K29" i="13"/>
  <c r="H29" i="5"/>
  <c r="G30" i="13"/>
  <c r="G30" i="5"/>
  <c r="AQ30" i="13"/>
  <c r="H30" i="5"/>
  <c r="W30" i="13"/>
  <c r="K30" i="13"/>
  <c r="AQ31" i="13"/>
  <c r="G31" i="13"/>
  <c r="G31" i="5"/>
  <c r="W31" i="13"/>
  <c r="H31" i="5"/>
  <c r="K31" i="13"/>
  <c r="G33" i="5"/>
  <c r="AQ33" i="13"/>
  <c r="G33" i="13"/>
  <c r="K33" i="13"/>
  <c r="H33" i="5"/>
  <c r="W33" i="13"/>
  <c r="G34" i="13"/>
  <c r="G34" i="5"/>
  <c r="AQ34" i="13"/>
  <c r="W34" i="13"/>
  <c r="H34" i="5"/>
  <c r="K34" i="13"/>
  <c r="I28" i="5"/>
  <c r="AM28" i="13"/>
  <c r="J28" i="5"/>
  <c r="U28" i="5" s="1"/>
  <c r="I29" i="5"/>
  <c r="AM29" i="13"/>
  <c r="J29" i="5"/>
  <c r="U29" i="5" s="1"/>
  <c r="I30" i="5"/>
  <c r="J30" i="5"/>
  <c r="U30" i="5" s="1"/>
  <c r="AM30" i="13"/>
  <c r="I31" i="5"/>
  <c r="AM31" i="13"/>
  <c r="J31" i="5"/>
  <c r="U31" i="5" s="1"/>
  <c r="I33" i="5"/>
  <c r="AM33" i="13"/>
  <c r="J33" i="5"/>
  <c r="U33" i="5" s="1"/>
  <c r="I34" i="5"/>
  <c r="AM34" i="13"/>
  <c r="J34" i="5"/>
  <c r="U34" i="5" s="1"/>
  <c r="AS28" i="13"/>
  <c r="I28" i="13"/>
  <c r="Y30" i="13"/>
  <c r="M30" i="13"/>
  <c r="AR28" i="13"/>
  <c r="H28" i="13"/>
  <c r="X28" i="13"/>
  <c r="L28" i="13"/>
  <c r="AR29" i="13"/>
  <c r="H29" i="13"/>
  <c r="X29" i="13"/>
  <c r="L29" i="13"/>
  <c r="AR30" i="13"/>
  <c r="H30" i="13"/>
  <c r="X30" i="13"/>
  <c r="L30" i="13"/>
  <c r="AR31" i="13"/>
  <c r="H31" i="13"/>
  <c r="X31" i="13"/>
  <c r="L31" i="13"/>
  <c r="AR33" i="13"/>
  <c r="H33" i="13"/>
  <c r="X33" i="13"/>
  <c r="L33" i="13"/>
  <c r="AR34" i="13"/>
  <c r="H34" i="13"/>
  <c r="X34" i="13"/>
  <c r="L34" i="13"/>
  <c r="N23" i="5"/>
  <c r="L24" i="5" s="1"/>
  <c r="N24" i="5" s="1"/>
  <c r="L25" i="5" s="1"/>
  <c r="N25" i="5" s="1"/>
  <c r="L26" i="5" s="1"/>
  <c r="N26" i="5" s="1"/>
  <c r="N34" i="5" s="1"/>
  <c r="L31" i="5"/>
  <c r="N31" i="5" s="1"/>
  <c r="R15" i="12"/>
  <c r="R16" i="12" s="1"/>
  <c r="R17" i="12" s="1"/>
  <c r="R18" i="12" s="1"/>
  <c r="R33" i="12" s="1"/>
  <c r="P29" i="12"/>
  <c r="R29" i="12" s="1"/>
  <c r="F15" i="13"/>
  <c r="D16" i="13" s="1"/>
  <c r="F16" i="13" s="1"/>
  <c r="D17" i="13" s="1"/>
  <c r="F17" i="13" s="1"/>
  <c r="D18" i="13" s="1"/>
  <c r="F18" i="13" s="1"/>
  <c r="F33" i="13" s="1"/>
  <c r="D29" i="13"/>
  <c r="F29" i="13" s="1"/>
  <c r="V15" i="13"/>
  <c r="T16" i="13" s="1"/>
  <c r="V16" i="13" s="1"/>
  <c r="T17" i="13" s="1"/>
  <c r="V17" i="13" s="1"/>
  <c r="T18" i="13" s="1"/>
  <c r="V18" i="13" s="1"/>
  <c r="V33" i="13" s="1"/>
  <c r="T29" i="13"/>
  <c r="V29" i="13" s="1"/>
  <c r="AL15" i="13"/>
  <c r="AJ16" i="13" s="1"/>
  <c r="AL16" i="13" s="1"/>
  <c r="AJ17" i="13" s="1"/>
  <c r="AL17" i="13" s="1"/>
  <c r="AJ18" i="13" s="1"/>
  <c r="AL18" i="13" s="1"/>
  <c r="AL33" i="13" s="1"/>
  <c r="AJ29" i="13"/>
  <c r="AL29" i="13" s="1"/>
  <c r="R23" i="12"/>
  <c r="R24" i="12" s="1"/>
  <c r="R25" i="12" s="1"/>
  <c r="R26" i="12" s="1"/>
  <c r="R34" i="12" s="1"/>
  <c r="P31" i="12"/>
  <c r="R31" i="12" s="1"/>
  <c r="F23" i="13"/>
  <c r="D24" i="13" s="1"/>
  <c r="F24" i="13" s="1"/>
  <c r="D25" i="13" s="1"/>
  <c r="F25" i="13" s="1"/>
  <c r="D26" i="13" s="1"/>
  <c r="F26" i="13" s="1"/>
  <c r="F34" i="13" s="1"/>
  <c r="D31" i="13"/>
  <c r="F31" i="13" s="1"/>
  <c r="V23" i="13"/>
  <c r="T24" i="13" s="1"/>
  <c r="V24" i="13" s="1"/>
  <c r="T25" i="13" s="1"/>
  <c r="V25" i="13" s="1"/>
  <c r="T26" i="13" s="1"/>
  <c r="V26" i="13" s="1"/>
  <c r="V34" i="13" s="1"/>
  <c r="T31" i="13"/>
  <c r="V31" i="13" s="1"/>
  <c r="AL23" i="13"/>
  <c r="AJ24" i="13" s="1"/>
  <c r="AL24" i="13" s="1"/>
  <c r="AJ25" i="13" s="1"/>
  <c r="AL25" i="13" s="1"/>
  <c r="AJ26" i="13" s="1"/>
  <c r="AL26" i="13" s="1"/>
  <c r="AL34" i="13" s="1"/>
  <c r="AJ31" i="13"/>
  <c r="AL31" i="13" s="1"/>
  <c r="N15" i="5"/>
  <c r="L16" i="5" s="1"/>
  <c r="N16" i="5" s="1"/>
  <c r="L17" i="5" s="1"/>
  <c r="N17" i="5" s="1"/>
  <c r="L18" i="5" s="1"/>
  <c r="N18" i="5" s="1"/>
  <c r="N33" i="5" s="1"/>
  <c r="L29" i="5"/>
  <c r="N29" i="5" s="1"/>
  <c r="F15" i="12"/>
  <c r="F16" i="12" s="1"/>
  <c r="F17" i="12" s="1"/>
  <c r="F18" i="12" s="1"/>
  <c r="F33" i="12" s="1"/>
  <c r="D29" i="12"/>
  <c r="F29" i="12" s="1"/>
  <c r="AV30" i="13"/>
  <c r="Q25" i="13"/>
  <c r="O21" i="13"/>
  <c r="Q19" i="13"/>
  <c r="O15" i="13"/>
  <c r="AH25" i="13"/>
  <c r="R26" i="13"/>
  <c r="AX11" i="13"/>
  <c r="P11" i="13"/>
  <c r="AH13" i="13"/>
  <c r="AX17" i="13"/>
  <c r="R11" i="13"/>
  <c r="Q26" i="13"/>
  <c r="P21" i="13"/>
  <c r="Q20" i="13"/>
  <c r="O16" i="13"/>
  <c r="P15" i="13"/>
  <c r="AX15" i="13"/>
  <c r="R25" i="13"/>
  <c r="R13" i="13"/>
  <c r="AX20" i="13"/>
  <c r="P13" i="13"/>
  <c r="R16" i="13"/>
  <c r="AX23" i="13"/>
  <c r="O25" i="13"/>
  <c r="AG11" i="13"/>
  <c r="AH26" i="13"/>
  <c r="AW11" i="13"/>
  <c r="AX14" i="13"/>
  <c r="R24" i="13"/>
  <c r="R12" i="13"/>
  <c r="AX19" i="13"/>
  <c r="AX25" i="13"/>
  <c r="AX13" i="13"/>
  <c r="R15" i="13"/>
  <c r="AH18" i="13"/>
  <c r="AH12" i="13"/>
  <c r="AX26" i="13"/>
  <c r="AX24" i="13"/>
  <c r="R23" i="13"/>
  <c r="Q15" i="13"/>
  <c r="AH22" i="13"/>
  <c r="AX12" i="13"/>
  <c r="R22" i="13"/>
  <c r="Q14" i="13"/>
  <c r="AH11" i="13"/>
  <c r="R21" i="13"/>
  <c r="Q13" i="13"/>
  <c r="AH14" i="13"/>
  <c r="AX22" i="13"/>
  <c r="AX16" i="13"/>
  <c r="R19" i="13"/>
  <c r="AX21" i="13"/>
  <c r="B29" i="15"/>
  <c r="B28" i="15"/>
  <c r="B17" i="15"/>
  <c r="B16" i="15"/>
  <c r="B13" i="15"/>
  <c r="B12" i="15"/>
  <c r="B11" i="15"/>
  <c r="B10" i="15"/>
  <c r="B28" i="24" s="1"/>
  <c r="B9" i="15"/>
  <c r="B27" i="24" s="1"/>
  <c r="B8" i="15"/>
  <c r="B26" i="24" s="1"/>
  <c r="B7" i="15"/>
  <c r="B25" i="24" s="1"/>
  <c r="B6" i="15"/>
  <c r="B24" i="24" s="1"/>
  <c r="B5" i="15"/>
  <c r="B23" i="24" s="1"/>
  <c r="B4" i="15"/>
  <c r="B8" i="24" s="1"/>
  <c r="D2" i="24" s="1"/>
  <c r="Y29" i="15"/>
  <c r="AA29" i="15"/>
  <c r="Y28" i="15"/>
  <c r="AA28" i="15"/>
  <c r="AA3" i="15"/>
  <c r="C29" i="15" s="1"/>
  <c r="Y3" i="15"/>
  <c r="C28" i="15" s="1"/>
  <c r="Y13" i="15"/>
  <c r="AA13" i="15"/>
  <c r="Y23" i="15"/>
  <c r="AA23" i="15"/>
  <c r="Y24" i="15"/>
  <c r="AA24" i="15"/>
  <c r="Y25" i="15"/>
  <c r="AA25" i="15"/>
  <c r="Y26" i="15"/>
  <c r="AA26" i="15"/>
  <c r="Y27" i="15"/>
  <c r="AA27" i="15"/>
  <c r="B17" i="23" l="1"/>
  <c r="B17" i="24"/>
  <c r="P30" i="5"/>
  <c r="R30" i="5"/>
  <c r="T30" i="5" s="1"/>
  <c r="P28" i="5"/>
  <c r="R28" i="5"/>
  <c r="T28" i="5" s="1"/>
  <c r="B19" i="23"/>
  <c r="B19" i="24"/>
  <c r="D16" i="24"/>
  <c r="P34" i="5"/>
  <c r="R34" i="5"/>
  <c r="T34" i="5" s="1"/>
  <c r="R31" i="5"/>
  <c r="T31" i="5" s="1"/>
  <c r="P31" i="5"/>
  <c r="P29" i="5"/>
  <c r="R29" i="5"/>
  <c r="T29" i="5" s="1"/>
  <c r="J16" i="24"/>
  <c r="W34" i="5"/>
  <c r="O30" i="5"/>
  <c r="Q30" i="5" s="1"/>
  <c r="V30" i="5"/>
  <c r="W30" i="5"/>
  <c r="V34" i="5"/>
  <c r="O34" i="5"/>
  <c r="Q34" i="5" s="1"/>
  <c r="V29" i="5"/>
  <c r="W29" i="5" s="1"/>
  <c r="O29" i="5"/>
  <c r="Q29" i="5" s="1"/>
  <c r="B18" i="23"/>
  <c r="B18" i="24"/>
  <c r="R33" i="5"/>
  <c r="T33" i="5" s="1"/>
  <c r="P33" i="5"/>
  <c r="Q33" i="5" s="1"/>
  <c r="O33" i="5"/>
  <c r="V33" i="5"/>
  <c r="W33" i="5" s="1"/>
  <c r="V31" i="5"/>
  <c r="W31" i="5" s="1"/>
  <c r="O31" i="5"/>
  <c r="Q31" i="5" s="1"/>
  <c r="O28" i="5"/>
  <c r="Q28" i="5" s="1"/>
  <c r="V28" i="5"/>
  <c r="W28" i="5" s="1"/>
  <c r="P37" i="23"/>
  <c r="R37" i="23" s="1"/>
  <c r="D37" i="23"/>
  <c r="D36" i="23"/>
  <c r="G36" i="23" s="1"/>
  <c r="G10" i="24" s="1"/>
  <c r="P36" i="23"/>
  <c r="R36" i="23" s="1"/>
  <c r="B24" i="11"/>
  <c r="B25" i="11"/>
  <c r="B22" i="11"/>
  <c r="AE30" i="13"/>
  <c r="B23" i="11"/>
  <c r="B27" i="11"/>
  <c r="AU28" i="13"/>
  <c r="P33" i="13"/>
  <c r="AG33" i="13"/>
  <c r="Q30" i="13"/>
  <c r="P28" i="13"/>
  <c r="AG31" i="13"/>
  <c r="Q34" i="13"/>
  <c r="O33" i="13"/>
  <c r="AW31" i="13"/>
  <c r="Q28" i="13"/>
  <c r="AW33" i="13"/>
  <c r="AV34" i="13"/>
  <c r="AF29" i="13"/>
  <c r="AE28" i="13"/>
  <c r="O28" i="13"/>
  <c r="AG29" i="13"/>
  <c r="AE31" i="13"/>
  <c r="AF34" i="13"/>
  <c r="AF30" i="13"/>
  <c r="AF31" i="13"/>
  <c r="AV31" i="13"/>
  <c r="AE33" i="13"/>
  <c r="AG34" i="13"/>
  <c r="Q29" i="13"/>
  <c r="AV33" i="13"/>
  <c r="AF33" i="13"/>
  <c r="AE34" i="13"/>
  <c r="AV29" i="13"/>
  <c r="AV28" i="13"/>
  <c r="AU30" i="13"/>
  <c r="AU29" i="13"/>
  <c r="AE29" i="13"/>
  <c r="AW30" i="13"/>
  <c r="AG30" i="13"/>
  <c r="P30" i="13"/>
  <c r="AU31" i="13"/>
  <c r="AW29" i="13"/>
  <c r="AW28" i="13"/>
  <c r="AG28" i="13"/>
  <c r="O34" i="13"/>
  <c r="O30" i="13"/>
  <c r="P34" i="13"/>
  <c r="AF28" i="13"/>
  <c r="AU34" i="13"/>
  <c r="P29" i="13"/>
  <c r="Q31" i="13"/>
  <c r="O29" i="13"/>
  <c r="P31" i="13"/>
  <c r="AU33" i="13"/>
  <c r="AW34" i="13"/>
  <c r="O31" i="13"/>
  <c r="Q33" i="13"/>
  <c r="AX28" i="13"/>
  <c r="AH34" i="13"/>
  <c r="AX30" i="13"/>
  <c r="AH28" i="13"/>
  <c r="R29" i="13"/>
  <c r="AX29" i="13"/>
  <c r="AX34" i="13"/>
  <c r="AX33" i="13"/>
  <c r="R33" i="13"/>
  <c r="R30" i="13"/>
  <c r="R28" i="13"/>
  <c r="AH29" i="13"/>
  <c r="AX31" i="13"/>
  <c r="AH31" i="13"/>
  <c r="R31" i="13"/>
  <c r="R34" i="13"/>
  <c r="AH33" i="13"/>
  <c r="AH30" i="13"/>
  <c r="B16" i="12"/>
  <c r="B16" i="13"/>
  <c r="B16" i="5"/>
  <c r="B18" i="11"/>
  <c r="B18" i="12"/>
  <c r="B18" i="13"/>
  <c r="B18" i="5"/>
  <c r="B17" i="11"/>
  <c r="B17" i="12"/>
  <c r="B17" i="5"/>
  <c r="B17" i="13"/>
  <c r="B8" i="5"/>
  <c r="D2" i="5" s="1"/>
  <c r="B8" i="13"/>
  <c r="D2" i="13" s="1"/>
  <c r="B8" i="12"/>
  <c r="D2" i="12" s="1"/>
  <c r="B26" i="11"/>
  <c r="B21" i="15"/>
  <c r="B22" i="15"/>
  <c r="B24" i="15"/>
  <c r="C24" i="15" s="1"/>
  <c r="B25" i="15"/>
  <c r="C25" i="15" s="1"/>
  <c r="B23" i="15"/>
  <c r="F36" i="23" l="1"/>
  <c r="I36" i="23"/>
  <c r="J36" i="23"/>
  <c r="E11" i="24" s="1"/>
  <c r="K36" i="23"/>
  <c r="G11" i="24" s="1"/>
  <c r="M36" i="23"/>
  <c r="L36" i="23"/>
  <c r="H36" i="23"/>
  <c r="N36" i="23"/>
  <c r="E12" i="24" s="1"/>
  <c r="F37" i="23"/>
  <c r="G37" i="23"/>
  <c r="M10" i="24" s="1"/>
  <c r="H37" i="23"/>
  <c r="N37" i="23"/>
  <c r="K12" i="24" s="1"/>
  <c r="L37" i="23"/>
  <c r="I37" i="23"/>
  <c r="J37" i="23"/>
  <c r="K11" i="24" s="1"/>
  <c r="K37" i="23"/>
  <c r="M11" i="24" s="1"/>
  <c r="M37" i="23"/>
  <c r="C23" i="15"/>
  <c r="C22" i="15"/>
  <c r="C21" i="15"/>
  <c r="L12" i="24" l="1"/>
  <c r="L10" i="24"/>
  <c r="F12" i="24"/>
  <c r="F10" i="24"/>
  <c r="W37" i="23"/>
  <c r="Y37" i="23"/>
  <c r="Y36" i="23"/>
  <c r="W36" i="23"/>
  <c r="S37" i="23"/>
  <c r="Z37" i="23"/>
  <c r="T37" i="23"/>
  <c r="V37" i="23"/>
  <c r="T36" i="23"/>
  <c r="V36" i="23"/>
  <c r="S36" i="23"/>
  <c r="Z36" i="23"/>
  <c r="B12" i="12"/>
  <c r="B11" i="13"/>
  <c r="B13" i="5"/>
  <c r="B13" i="13"/>
  <c r="B11" i="5"/>
  <c r="B13" i="12"/>
  <c r="B11" i="12"/>
  <c r="B12" i="13"/>
  <c r="B12" i="5"/>
  <c r="AA22" i="15"/>
  <c r="Y22" i="15"/>
  <c r="AA21" i="15"/>
  <c r="Y21" i="15"/>
  <c r="AA20" i="15"/>
  <c r="Y20" i="15"/>
  <c r="AA19" i="15"/>
  <c r="Y19" i="15"/>
  <c r="AA18" i="15"/>
  <c r="Y18" i="15"/>
  <c r="AA17" i="15"/>
  <c r="Y17" i="15"/>
  <c r="AA16" i="15"/>
  <c r="Y16" i="15"/>
  <c r="AA15" i="15"/>
  <c r="Y15" i="15"/>
  <c r="AA14" i="15"/>
  <c r="Y14" i="15"/>
  <c r="L13" i="24" l="1"/>
  <c r="F13" i="24"/>
  <c r="X37" i="23"/>
  <c r="U36" i="23"/>
  <c r="U37" i="23"/>
  <c r="X36" i="23"/>
  <c r="AA37" i="23"/>
  <c r="AA36" i="23"/>
  <c r="Y12" i="15"/>
  <c r="AA12" i="15"/>
  <c r="AA11" i="15"/>
  <c r="AA10" i="15"/>
  <c r="AA9" i="15"/>
  <c r="AA8" i="15"/>
  <c r="AA7" i="15"/>
  <c r="AA6" i="15"/>
  <c r="AA5" i="15"/>
  <c r="AA4" i="15"/>
  <c r="Y5" i="15"/>
  <c r="Y6" i="15"/>
  <c r="Y7" i="15"/>
  <c r="Y8" i="15"/>
  <c r="Y9" i="15"/>
  <c r="Y10" i="15"/>
  <c r="Y11" i="15"/>
  <c r="Y4" i="15"/>
  <c r="B16" i="11" l="1"/>
  <c r="AE11" i="13"/>
  <c r="O11" i="13" l="1"/>
  <c r="G2" i="16"/>
  <c r="G37" i="16" s="1"/>
  <c r="G72" i="16" s="1"/>
  <c r="G107" i="16" s="1"/>
  <c r="A8" i="16"/>
  <c r="A43" i="16" s="1"/>
  <c r="A78" i="16" s="1"/>
  <c r="A113" i="16" s="1"/>
  <c r="G31" i="16"/>
  <c r="G66" i="16" s="1"/>
  <c r="G101" i="16" s="1"/>
  <c r="G136" i="16" s="1"/>
  <c r="T3" i="13"/>
  <c r="AJ3" i="13" s="1"/>
  <c r="P3" i="12"/>
  <c r="F30" i="5"/>
  <c r="F28" i="5"/>
  <c r="F11" i="5"/>
  <c r="D12" i="5" s="1"/>
  <c r="F12" i="5" s="1"/>
  <c r="D13" i="5" s="1"/>
  <c r="F13" i="5" s="1"/>
  <c r="D14" i="5" s="1"/>
  <c r="F14" i="5" s="1"/>
  <c r="D15" i="5" s="1"/>
  <c r="F15" i="5" l="1"/>
  <c r="D16" i="5" s="1"/>
  <c r="F16" i="5" s="1"/>
  <c r="D17" i="5" s="1"/>
  <c r="F17" i="5" s="1"/>
  <c r="D18" i="5" s="1"/>
  <c r="F18" i="5" s="1"/>
  <c r="D29" i="5"/>
  <c r="F29" i="5" s="1"/>
  <c r="F19" i="5"/>
  <c r="D20" i="5" s="1"/>
  <c r="F20" i="5" s="1"/>
  <c r="D21" i="5" s="1"/>
  <c r="F21" i="5" s="1"/>
  <c r="D22" i="5" s="1"/>
  <c r="F22" i="5" s="1"/>
  <c r="D23" i="5" s="1"/>
  <c r="F33" i="5"/>
  <c r="D10" i="11"/>
  <c r="J10" i="11"/>
  <c r="D36" i="13"/>
  <c r="F36" i="13" s="1"/>
  <c r="P36" i="12"/>
  <c r="L36" i="5"/>
  <c r="N36" i="5" s="1"/>
  <c r="AJ36" i="13"/>
  <c r="AL36" i="13" s="1"/>
  <c r="D36" i="5"/>
  <c r="F36" i="5" s="1"/>
  <c r="D16" i="11"/>
  <c r="D36" i="12"/>
  <c r="T36" i="13"/>
  <c r="V36" i="13" s="1"/>
  <c r="B8" i="11"/>
  <c r="D2" i="11" s="1"/>
  <c r="J11" i="11"/>
  <c r="D11" i="11"/>
  <c r="D37" i="13"/>
  <c r="F37" i="13" s="1"/>
  <c r="L37" i="5"/>
  <c r="N37" i="5" s="1"/>
  <c r="AJ37" i="13"/>
  <c r="AL37" i="13" s="1"/>
  <c r="D37" i="12"/>
  <c r="D37" i="5"/>
  <c r="F37" i="5" s="1"/>
  <c r="J16" i="11"/>
  <c r="T37" i="13"/>
  <c r="V37" i="13" s="1"/>
  <c r="P37" i="12"/>
  <c r="D12" i="11"/>
  <c r="J12" i="11"/>
  <c r="C16" i="15"/>
  <c r="F36" i="12" l="1"/>
  <c r="L36" i="12"/>
  <c r="H36" i="12"/>
  <c r="N36" i="12"/>
  <c r="G36" i="12"/>
  <c r="M36" i="12"/>
  <c r="K36" i="12"/>
  <c r="J36" i="12"/>
  <c r="I36" i="12"/>
  <c r="F37" i="12"/>
  <c r="L37" i="12"/>
  <c r="G37" i="12"/>
  <c r="M37" i="12"/>
  <c r="H37" i="12"/>
  <c r="J37" i="12"/>
  <c r="K37" i="12"/>
  <c r="N37" i="12"/>
  <c r="I37" i="12"/>
  <c r="R37" i="12"/>
  <c r="Y37" i="12"/>
  <c r="AO37" i="13" s="1"/>
  <c r="W37" i="12"/>
  <c r="S37" i="12"/>
  <c r="X37" i="12"/>
  <c r="AN37" i="13" s="1"/>
  <c r="V37" i="12"/>
  <c r="T37" i="12"/>
  <c r="Z37" i="12"/>
  <c r="AP37" i="13" s="1"/>
  <c r="U37" i="12"/>
  <c r="R36" i="12"/>
  <c r="W36" i="12"/>
  <c r="X36" i="12"/>
  <c r="AN36" i="13" s="1"/>
  <c r="T36" i="12"/>
  <c r="S36" i="12"/>
  <c r="Z36" i="12"/>
  <c r="AP36" i="13" s="1"/>
  <c r="V36" i="12"/>
  <c r="Y36" i="12"/>
  <c r="AO36" i="13" s="1"/>
  <c r="U36" i="12"/>
  <c r="F23" i="5"/>
  <c r="D24" i="5" s="1"/>
  <c r="F24" i="5" s="1"/>
  <c r="D25" i="5" s="1"/>
  <c r="F25" i="5" s="1"/>
  <c r="D26" i="5" s="1"/>
  <c r="F26" i="5" s="1"/>
  <c r="F34" i="5" s="1"/>
  <c r="D31" i="5"/>
  <c r="F31" i="5" s="1"/>
  <c r="B13" i="11"/>
  <c r="B12" i="11"/>
  <c r="P2" i="12"/>
  <c r="T2" i="13"/>
  <c r="AJ2" i="13" s="1"/>
  <c r="B11" i="11"/>
  <c r="J36" i="5" l="1"/>
  <c r="H12" i="24" s="1"/>
  <c r="J37" i="5"/>
  <c r="N12" i="24" s="1"/>
  <c r="I37" i="5"/>
  <c r="H37" i="5"/>
  <c r="I36" i="5"/>
  <c r="AM36" i="13"/>
  <c r="AM37" i="13"/>
  <c r="AR37" i="13"/>
  <c r="H36" i="5"/>
  <c r="G36" i="5"/>
  <c r="G37" i="5"/>
  <c r="AS37" i="13"/>
  <c r="AQ37" i="13"/>
  <c r="AQ36" i="13"/>
  <c r="AT37" i="13"/>
  <c r="AS36" i="13"/>
  <c r="AR36" i="13"/>
  <c r="AT36" i="13"/>
  <c r="G37" i="13"/>
  <c r="G36" i="13"/>
  <c r="I37" i="13"/>
  <c r="H36" i="13"/>
  <c r="H37" i="13"/>
  <c r="J36" i="13"/>
  <c r="J37" i="13"/>
  <c r="I36" i="13"/>
  <c r="X37" i="13"/>
  <c r="AF37" i="13" s="1"/>
  <c r="Y36" i="13"/>
  <c r="W37" i="13"/>
  <c r="Z36" i="13"/>
  <c r="Z37" i="13"/>
  <c r="X36" i="13"/>
  <c r="Y37" i="13"/>
  <c r="W36" i="13"/>
  <c r="N37" i="13"/>
  <c r="M36" i="13"/>
  <c r="K37" i="13"/>
  <c r="N36" i="13"/>
  <c r="L36" i="13"/>
  <c r="L37" i="13"/>
  <c r="M37" i="13"/>
  <c r="K36" i="13"/>
  <c r="D34" i="12"/>
  <c r="F19" i="12"/>
  <c r="F20" i="12" s="1"/>
  <c r="F21" i="12" s="1"/>
  <c r="F22" i="12" s="1"/>
  <c r="K13" i="24" l="1"/>
  <c r="M13" i="24"/>
  <c r="N10" i="24"/>
  <c r="E13" i="24"/>
  <c r="H11" i="24"/>
  <c r="M11" i="11"/>
  <c r="N11" i="24"/>
  <c r="H10" i="24"/>
  <c r="G13" i="24"/>
  <c r="U37" i="5"/>
  <c r="K12" i="11"/>
  <c r="U36" i="5"/>
  <c r="E12" i="11"/>
  <c r="R37" i="5"/>
  <c r="T37" i="5" s="1"/>
  <c r="P37" i="5"/>
  <c r="O37" i="5"/>
  <c r="V37" i="5"/>
  <c r="O36" i="5"/>
  <c r="V36" i="5"/>
  <c r="P36" i="5"/>
  <c r="R36" i="5"/>
  <c r="T36" i="5" s="1"/>
  <c r="AU36" i="13"/>
  <c r="AX36" i="13"/>
  <c r="AV36" i="13"/>
  <c r="AW36" i="13"/>
  <c r="P36" i="13"/>
  <c r="R36" i="13"/>
  <c r="AW37" i="13"/>
  <c r="O36" i="13"/>
  <c r="Q36" i="13"/>
  <c r="R37" i="13"/>
  <c r="AH37" i="13"/>
  <c r="AG37" i="13"/>
  <c r="G10" i="11"/>
  <c r="H10" i="11" s="1"/>
  <c r="AX37" i="13"/>
  <c r="AG36" i="13"/>
  <c r="AE36" i="13"/>
  <c r="AH36" i="13"/>
  <c r="AE37" i="13"/>
  <c r="AV37" i="13"/>
  <c r="P37" i="13"/>
  <c r="G11" i="11"/>
  <c r="M10" i="11"/>
  <c r="E11" i="11"/>
  <c r="K11" i="11"/>
  <c r="Q37" i="13"/>
  <c r="AU37" i="13"/>
  <c r="O37" i="13"/>
  <c r="AF36" i="13"/>
  <c r="F23" i="12"/>
  <c r="F24" i="12" s="1"/>
  <c r="F25" i="12" s="1"/>
  <c r="F26" i="12" s="1"/>
  <c r="F34" i="12" s="1"/>
  <c r="D31" i="12"/>
  <c r="F31" i="12" s="1"/>
  <c r="H13" i="24" l="1"/>
  <c r="M13" i="11"/>
  <c r="N13" i="24"/>
  <c r="W37" i="5"/>
  <c r="W36" i="5"/>
  <c r="N12" i="11"/>
  <c r="Q36" i="5"/>
  <c r="Q37" i="5"/>
  <c r="G13" i="11"/>
  <c r="H11" i="11"/>
  <c r="E13" i="11"/>
  <c r="H12" i="11"/>
  <c r="F13" i="11"/>
  <c r="K13" i="11"/>
  <c r="N11" i="11"/>
  <c r="L13" i="11"/>
  <c r="N10" i="11"/>
  <c r="N13" i="11" l="1"/>
  <c r="H13" i="11"/>
</calcChain>
</file>

<file path=xl/sharedStrings.xml><?xml version="1.0" encoding="utf-8"?>
<sst xmlns="http://schemas.openxmlformats.org/spreadsheetml/2006/main" count="1211" uniqueCount="154">
  <si>
    <t>Totaal</t>
  </si>
  <si>
    <t>-</t>
  </si>
  <si>
    <t>Meting</t>
  </si>
  <si>
    <t>Uitgevoerd door: Dufec</t>
  </si>
  <si>
    <t>Kwartieren</t>
  </si>
  <si>
    <t>KRUISPUNTTELLING</t>
  </si>
  <si>
    <t>Motorvoertuigen</t>
  </si>
  <si>
    <t>Meetlocatie</t>
  </si>
  <si>
    <t>naar</t>
  </si>
  <si>
    <t>van</t>
  </si>
  <si>
    <t>Situatie</t>
  </si>
  <si>
    <t>ri. 5</t>
  </si>
  <si>
    <t>ri. 7</t>
  </si>
  <si>
    <t>ri. 9</t>
  </si>
  <si>
    <t>ri. 11</t>
  </si>
  <si>
    <t>Uren</t>
  </si>
  <si>
    <t>Perioden</t>
  </si>
  <si>
    <t>Drukste uren</t>
  </si>
  <si>
    <t>Z</t>
  </si>
  <si>
    <t>Richting 5</t>
  </si>
  <si>
    <t>Richting 7</t>
  </si>
  <si>
    <t>Richting 9</t>
  </si>
  <si>
    <t>Richting 11</t>
  </si>
  <si>
    <t>MOTORVOERTUIGEN - CATEGORIEEN PER RICHTING</t>
  </si>
  <si>
    <t>MOTORVOERTUIGEN - CATEGORIEEN PER TAK</t>
  </si>
  <si>
    <t>Locatienummer</t>
  </si>
  <si>
    <t>Locatienaam</t>
  </si>
  <si>
    <t>Ncoord</t>
  </si>
  <si>
    <t>Ecoord</t>
  </si>
  <si>
    <t>nnb</t>
  </si>
  <si>
    <t>Coordinaten:</t>
  </si>
  <si>
    <t>N</t>
  </si>
  <si>
    <t>E</t>
  </si>
  <si>
    <t>Specificatie:</t>
  </si>
  <si>
    <t>Drukste uren:</t>
  </si>
  <si>
    <t>x</t>
  </si>
  <si>
    <t>Voetgangers</t>
  </si>
  <si>
    <t>Legenda</t>
  </si>
  <si>
    <t>Dossier</t>
  </si>
  <si>
    <t>V-plan</t>
  </si>
  <si>
    <t>Provincie</t>
  </si>
  <si>
    <t>Gemeente</t>
  </si>
  <si>
    <t>Deelgemeente</t>
  </si>
  <si>
    <t>Weer</t>
  </si>
  <si>
    <t>West-Vlaanderen</t>
  </si>
  <si>
    <t>Datum</t>
  </si>
  <si>
    <t>Tak1</t>
  </si>
  <si>
    <t>Tak2</t>
  </si>
  <si>
    <t>Tak3</t>
  </si>
  <si>
    <t>Tak4</t>
  </si>
  <si>
    <t>Tak5</t>
  </si>
  <si>
    <t>Tak6</t>
  </si>
  <si>
    <t>Algemeen:</t>
  </si>
  <si>
    <t>Locatie</t>
  </si>
  <si>
    <t>Druk1v</t>
  </si>
  <si>
    <t>Druk1t</t>
  </si>
  <si>
    <t>Druk2v</t>
  </si>
  <si>
    <t>Druk2t</t>
  </si>
  <si>
    <t>Locnr</t>
  </si>
  <si>
    <t>Ochtend</t>
  </si>
  <si>
    <t>Avond</t>
  </si>
  <si>
    <t>Opdrachtgever</t>
  </si>
  <si>
    <t>Agentschap Wegen en Verkeer</t>
  </si>
  <si>
    <t>Methodiek</t>
  </si>
  <si>
    <t>Waarnemers op locatie</t>
  </si>
  <si>
    <t>dsn</t>
  </si>
  <si>
    <t xml:space="preserve"> </t>
  </si>
  <si>
    <t>O</t>
  </si>
  <si>
    <t>W</t>
  </si>
  <si>
    <t>dsn Zuid = van+naar Zuid</t>
  </si>
  <si>
    <t>dsn West = van+naar West</t>
  </si>
  <si>
    <t>dsn Noord = van+naar Noord</t>
  </si>
  <si>
    <t>Tak Zuid</t>
  </si>
  <si>
    <t>Tak West</t>
  </si>
  <si>
    <t>Tak Noord</t>
  </si>
  <si>
    <t>Van Zuid</t>
  </si>
  <si>
    <t>Naar Zuid</t>
  </si>
  <si>
    <t>Doorsnede Zuid</t>
  </si>
  <si>
    <t>Van West</t>
  </si>
  <si>
    <t>Naar West</t>
  </si>
  <si>
    <t>Doorsnede West</t>
  </si>
  <si>
    <t>Van Noord</t>
  </si>
  <si>
    <t>Naar Noord</t>
  </si>
  <si>
    <t>Doorsnede Noord</t>
  </si>
  <si>
    <t>Soort</t>
  </si>
  <si>
    <t>Fietsers</t>
  </si>
  <si>
    <t>F</t>
  </si>
  <si>
    <t>Algemeen</t>
  </si>
  <si>
    <t>Wachtrij</t>
  </si>
  <si>
    <t>Re</t>
  </si>
  <si>
    <t>Li</t>
  </si>
  <si>
    <t>EVT - 3 tak west</t>
  </si>
  <si>
    <t>naar Zuid = ri. 7+11</t>
  </si>
  <si>
    <t>van West = ri. 7+9</t>
  </si>
  <si>
    <t>naar Noord = ri. 5+9</t>
  </si>
  <si>
    <t>Licht</t>
  </si>
  <si>
    <t>Medium</t>
  </si>
  <si>
    <t>Zwaar</t>
  </si>
  <si>
    <t>Opmerkingen</t>
  </si>
  <si>
    <t>Licht = Motoren, personenauto's, bestelauto's</t>
  </si>
  <si>
    <t>Medium = Ongeleed vrachtverkeer en bussen</t>
  </si>
  <si>
    <t>Zwaar = Geleed vrachtverkeer</t>
  </si>
  <si>
    <t>Totaal = Totaal motorvoertuigen</t>
  </si>
  <si>
    <t>PAE - TOTAAL PER RICHTING</t>
  </si>
  <si>
    <t>PAE - TOTAAL PER TAK</t>
  </si>
  <si>
    <t>PAE - DRUKSTE UUR OCHTEND</t>
  </si>
  <si>
    <t>PAE - DRUKSTE UUR AVOND</t>
  </si>
  <si>
    <t>PAE = Licht x 1,0 + Medium x 2,0 + Zwaar x 2,0</t>
  </si>
  <si>
    <t xml:space="preserve">Video + handmatige beeldverwerking </t>
  </si>
  <si>
    <t xml:space="preserve">Video + automatische beeldverwerking </t>
  </si>
  <si>
    <t>MDN75-WVL047</t>
  </si>
  <si>
    <t>Kortrijk</t>
  </si>
  <si>
    <t>Droog, geheel bewolkt, 15 °C</t>
  </si>
  <si>
    <t>Donderdag 3 oktober 2019</t>
  </si>
  <si>
    <t>Video + auto. beeldverwerking / ANPR</t>
  </si>
  <si>
    <t>R8 komende van Complex Bissegem</t>
  </si>
  <si>
    <t>R8 komende van Complex Gullegem</t>
  </si>
  <si>
    <t>Verbindingsboog komende van A19</t>
  </si>
  <si>
    <t>Kruispunt R8 / Verbindingsboog A19</t>
  </si>
  <si>
    <t>van Zuid = ri. 5</t>
  </si>
  <si>
    <t>naar West = -</t>
  </si>
  <si>
    <t>van Noord = ri. 11</t>
  </si>
  <si>
    <t>MOTORVOERTUIGEN - TOTAAL PER RICHTING</t>
  </si>
  <si>
    <t>Z -&gt; N</t>
  </si>
  <si>
    <t>Z -&gt; W1</t>
  </si>
  <si>
    <t>Z -&gt; W2</t>
  </si>
  <si>
    <t>W -&gt; Z</t>
  </si>
  <si>
    <t>W -&gt; N</t>
  </si>
  <si>
    <t>N -&gt; W1</t>
  </si>
  <si>
    <t>N -&gt; W2</t>
  </si>
  <si>
    <t>N -&gt; Z</t>
  </si>
  <si>
    <t>MOTORVOERTUIGEN - TOTAAL PER TAK</t>
  </si>
  <si>
    <t>Z = R8 ri. Bissegem</t>
  </si>
  <si>
    <t>W1 = A19 ri. Ieper</t>
  </si>
  <si>
    <t>W2 = A19 ri. Gullegem / E403</t>
  </si>
  <si>
    <t>N = R8 ri. Gullegem</t>
  </si>
  <si>
    <t>A19 / R8 Knooppunt Kortrijk-West</t>
  </si>
  <si>
    <t>Hoofdstromen knooppunt</t>
  </si>
  <si>
    <t>De intensiteiten van de richtingen Z -&gt; W1, Z -&gt; W2,</t>
  </si>
  <si>
    <t>registraties.</t>
  </si>
  <si>
    <t>N -&gt; W1 en N -&gt; W2 zijn herleid uit ANPR kenteken-</t>
  </si>
  <si>
    <t>* Richting Z -&gt; N is als volgt berekend: Ri. 5 (Kpt R8 / Verbindingsboog) minus Z -&gt; W(1&amp;2).</t>
  </si>
  <si>
    <t>Hierbij is het uitgangspunt gehanteerd dat voertuigen niet keren op het knooppunt.</t>
  </si>
  <si>
    <t>MOTORVOERTUIGEN - DRUKSTE UUR OCHTEND</t>
  </si>
  <si>
    <t>MOTORVOERTUIGEN - DRUKSTE UUR AVOND</t>
  </si>
  <si>
    <t>Z. R8 ri. Bissegem</t>
  </si>
  <si>
    <t>W. A19 ri. Ieper / Gullegem / E403</t>
  </si>
  <si>
    <t>N. R8 ri. Gullegem</t>
  </si>
  <si>
    <t>W(1&amp;2). A19 ri. Ieper / Gullegem / E403</t>
  </si>
  <si>
    <t>W(1&amp;2)</t>
  </si>
  <si>
    <t xml:space="preserve">registraties. Hierbij zijn voertuigen gevolgd op basis </t>
  </si>
  <si>
    <t xml:space="preserve">van het kenteken. Onderscheid maken naar </t>
  </si>
  <si>
    <t>voertuigcategorieen is aan de hand van het kenteken</t>
  </si>
  <si>
    <t>niet mogelijk.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</si>
</sst>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4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4"/>
      <color theme="0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6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8"/>
      <color theme="1" tint="0.499984740745262"/>
      <name val="Arial Narrow"/>
      <family val="2"/>
    </font>
    <font>
      <sz val="8"/>
      <color theme="4"/>
      <name val="Arial Narrow"/>
      <family val="2"/>
    </font>
    <font>
      <sz val="5"/>
      <color theme="1" tint="0.499984740745262"/>
      <name val="Arial Narrow"/>
      <family val="2"/>
    </font>
    <font>
      <sz val="7"/>
      <color theme="0"/>
      <name val="Arial Narrow"/>
      <family val="2"/>
    </font>
    <font>
      <sz val="8"/>
      <color theme="6" tint="-0.249977111117893"/>
      <name val="Arial Narrow"/>
      <family val="2"/>
    </font>
    <font>
      <sz val="6"/>
      <color theme="1" tint="0.499984740745262"/>
      <name val="Arial Narrow"/>
      <family val="2"/>
    </font>
    <font>
      <sz val="7"/>
      <color theme="1" tint="0.499984740745262"/>
      <name val="Arial Narrow"/>
      <family val="2"/>
    </font>
    <font>
      <sz val="8"/>
      <color theme="1" tint="0.499984740745262"/>
      <name val="Arial"/>
      <family val="2"/>
    </font>
    <font>
      <b/>
      <sz val="8"/>
      <color theme="1"/>
      <name val="Arial"/>
      <family val="2"/>
    </font>
    <font>
      <i/>
      <sz val="5"/>
      <color theme="1" tint="0.499984740745262"/>
      <name val="Arial Narrow"/>
      <family val="2"/>
    </font>
    <font>
      <i/>
      <sz val="8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2F4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2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ont="1" applyFill="1"/>
    <xf numFmtId="0" fontId="7" fillId="0" borderId="0" xfId="0" applyFont="1" applyFill="1"/>
    <xf numFmtId="0" fontId="3" fillId="0" borderId="0" xfId="0" applyFont="1" applyFill="1" applyAlignment="1">
      <alignment horizontal="left" vertical="center"/>
    </xf>
    <xf numFmtId="0" fontId="3" fillId="0" borderId="0" xfId="0" applyFont="1" applyFill="1"/>
    <xf numFmtId="0" fontId="2" fillId="0" borderId="3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0" fontId="0" fillId="0" borderId="0" xfId="0" applyFont="1" applyFill="1" applyBorder="1"/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/>
    <xf numFmtId="0" fontId="0" fillId="3" borderId="2" xfId="0" applyNumberFormat="1" applyFont="1" applyFill="1" applyBorder="1" applyAlignment="1">
      <alignment horizontal="center"/>
    </xf>
    <xf numFmtId="0" fontId="0" fillId="3" borderId="0" xfId="0" applyNumberFormat="1" applyFont="1" applyFill="1" applyBorder="1" applyAlignment="1">
      <alignment horizontal="center"/>
    </xf>
    <xf numFmtId="0" fontId="0" fillId="3" borderId="0" xfId="1" applyNumberFormat="1" applyFont="1" applyFill="1" applyBorder="1" applyAlignment="1">
      <alignment horizontal="center"/>
    </xf>
    <xf numFmtId="0" fontId="0" fillId="3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0" fontId="0" fillId="0" borderId="2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0" fontId="0" fillId="0" borderId="3" xfId="0" applyNumberFormat="1" applyFont="1" applyFill="1" applyBorder="1" applyAlignment="1">
      <alignment horizontal="center"/>
    </xf>
    <xf numFmtId="0" fontId="0" fillId="0" borderId="3" xfId="1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/>
    </xf>
    <xf numFmtId="20" fontId="0" fillId="3" borderId="0" xfId="0" applyNumberFormat="1" applyFont="1" applyFill="1" applyBorder="1" applyAlignment="1">
      <alignment horizontal="center"/>
    </xf>
    <xf numFmtId="20" fontId="0" fillId="0" borderId="0" xfId="0" applyNumberFormat="1" applyFont="1" applyFill="1" applyBorder="1" applyAlignment="1">
      <alignment horizontal="center"/>
    </xf>
    <xf numFmtId="20" fontId="0" fillId="0" borderId="3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20" fontId="0" fillId="3" borderId="1" xfId="0" applyNumberFormat="1" applyFont="1" applyFill="1" applyBorder="1" applyAlignment="1">
      <alignment horizontal="center"/>
    </xf>
    <xf numFmtId="20" fontId="0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Continuous"/>
    </xf>
    <xf numFmtId="20" fontId="0" fillId="0" borderId="5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0" fillId="0" borderId="7" xfId="0" applyFont="1" applyBorder="1"/>
    <xf numFmtId="0" fontId="2" fillId="0" borderId="9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0" fontId="0" fillId="0" borderId="3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4" borderId="3" xfId="0" applyNumberFormat="1" applyFont="1" applyFill="1" applyBorder="1" applyAlignment="1">
      <alignment horizontal="center"/>
    </xf>
    <xf numFmtId="0" fontId="0" fillId="4" borderId="5" xfId="1" applyNumberFormat="1" applyFont="1" applyFill="1" applyBorder="1" applyAlignment="1">
      <alignment horizontal="center"/>
    </xf>
    <xf numFmtId="0" fontId="0" fillId="4" borderId="0" xfId="0" applyNumberFormat="1" applyFont="1" applyFill="1" applyBorder="1" applyAlignment="1">
      <alignment horizontal="center"/>
    </xf>
    <xf numFmtId="0" fontId="8" fillId="0" borderId="0" xfId="0" applyFont="1" applyFill="1"/>
    <xf numFmtId="0" fontId="0" fillId="0" borderId="1" xfId="1" applyNumberFormat="1" applyFont="1" applyFill="1" applyBorder="1" applyAlignment="1">
      <alignment horizontal="center"/>
    </xf>
    <xf numFmtId="0" fontId="0" fillId="0" borderId="6" xfId="0" applyFont="1" applyFill="1" applyBorder="1"/>
    <xf numFmtId="0" fontId="0" fillId="0" borderId="6" xfId="0" applyNumberFormat="1" applyFont="1" applyFill="1" applyBorder="1"/>
    <xf numFmtId="0" fontId="0" fillId="0" borderId="6" xfId="0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0" fontId="0" fillId="3" borderId="2" xfId="1" applyNumberFormat="1" applyFont="1" applyFill="1" applyBorder="1" applyAlignment="1">
      <alignment horizontal="center"/>
    </xf>
    <xf numFmtId="0" fontId="0" fillId="0" borderId="2" xfId="1" applyNumberFormat="1" applyFont="1" applyFill="1" applyBorder="1" applyAlignment="1">
      <alignment horizontal="center"/>
    </xf>
    <xf numFmtId="0" fontId="0" fillId="0" borderId="4" xfId="1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0" xfId="0" applyAlignment="1"/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5" fillId="0" borderId="0" xfId="0" applyFont="1" applyFill="1"/>
    <xf numFmtId="0" fontId="16" fillId="0" borderId="0" xfId="0" applyFont="1"/>
    <xf numFmtId="0" fontId="14" fillId="0" borderId="0" xfId="0" applyFont="1" applyAlignment="1">
      <alignment horizontal="left" vertical="center"/>
    </xf>
    <xf numFmtId="0" fontId="18" fillId="5" borderId="0" xfId="0" applyFont="1" applyFill="1"/>
    <xf numFmtId="0" fontId="16" fillId="0" borderId="0" xfId="0" applyFont="1" applyBorder="1"/>
    <xf numFmtId="0" fontId="18" fillId="5" borderId="0" xfId="0" applyFont="1" applyFill="1" applyBorder="1" applyAlignment="1">
      <alignment vertical="center"/>
    </xf>
    <xf numFmtId="0" fontId="16" fillId="5" borderId="0" xfId="0" applyFont="1" applyFill="1" applyBorder="1"/>
    <xf numFmtId="0" fontId="16" fillId="5" borderId="0" xfId="0" applyFont="1" applyFill="1" applyBorder="1" applyAlignment="1">
      <alignment vertical="center"/>
    </xf>
    <xf numFmtId="0" fontId="16" fillId="5" borderId="0" xfId="0" applyFont="1" applyFill="1"/>
    <xf numFmtId="0" fontId="14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6" fillId="0" borderId="0" xfId="0" applyFont="1" applyFill="1"/>
    <xf numFmtId="0" fontId="21" fillId="5" borderId="0" xfId="0" applyFont="1" applyFill="1" applyAlignment="1">
      <alignment vertical="center"/>
    </xf>
    <xf numFmtId="0" fontId="16" fillId="0" borderId="0" xfId="0" applyFont="1" applyFill="1" applyBorder="1"/>
    <xf numFmtId="0" fontId="21" fillId="5" borderId="0" xfId="0" applyFont="1" applyFill="1" applyBorder="1" applyAlignment="1">
      <alignment vertical="center"/>
    </xf>
    <xf numFmtId="0" fontId="21" fillId="5" borderId="0" xfId="0" applyFont="1" applyFill="1"/>
    <xf numFmtId="0" fontId="15" fillId="0" borderId="0" xfId="0" applyFont="1" applyFill="1" applyBorder="1"/>
    <xf numFmtId="0" fontId="15" fillId="0" borderId="0" xfId="0" applyFont="1"/>
    <xf numFmtId="0" fontId="22" fillId="0" borderId="0" xfId="0" applyFont="1" applyAlignment="1">
      <alignment horizontal="left" vertical="center"/>
    </xf>
    <xf numFmtId="0" fontId="0" fillId="6" borderId="0" xfId="0" applyFill="1"/>
    <xf numFmtId="0" fontId="24" fillId="6" borderId="0" xfId="0" applyFont="1" applyFill="1"/>
    <xf numFmtId="0" fontId="10" fillId="6" borderId="0" xfId="0" applyFont="1" applyFill="1" applyAlignment="1"/>
    <xf numFmtId="0" fontId="11" fillId="6" borderId="0" xfId="0" applyFont="1" applyFill="1" applyAlignment="1"/>
    <xf numFmtId="0" fontId="0" fillId="7" borderId="10" xfId="0" applyFill="1" applyBorder="1"/>
    <xf numFmtId="0" fontId="0" fillId="7" borderId="11" xfId="0" applyFill="1" applyBorder="1"/>
    <xf numFmtId="0" fontId="0" fillId="7" borderId="12" xfId="0" applyFill="1" applyBorder="1"/>
    <xf numFmtId="0" fontId="10" fillId="7" borderId="10" xfId="0" applyFont="1" applyFill="1" applyBorder="1" applyAlignment="1"/>
    <xf numFmtId="0" fontId="10" fillId="7" borderId="11" xfId="0" applyFont="1" applyFill="1" applyBorder="1" applyAlignment="1"/>
    <xf numFmtId="0" fontId="10" fillId="7" borderId="12" xfId="0" applyFont="1" applyFill="1" applyBorder="1" applyAlignment="1"/>
    <xf numFmtId="0" fontId="3" fillId="5" borderId="13" xfId="0" applyFont="1" applyFill="1" applyBorder="1" applyAlignment="1"/>
    <xf numFmtId="49" fontId="3" fillId="5" borderId="14" xfId="0" applyNumberFormat="1" applyFont="1" applyFill="1" applyBorder="1" applyAlignment="1"/>
    <xf numFmtId="0" fontId="3" fillId="4" borderId="14" xfId="0" applyFont="1" applyFill="1" applyBorder="1" applyAlignment="1"/>
    <xf numFmtId="0" fontId="3" fillId="5" borderId="16" xfId="0" applyFont="1" applyFill="1" applyBorder="1" applyAlignment="1"/>
    <xf numFmtId="49" fontId="3" fillId="5" borderId="17" xfId="0" applyNumberFormat="1" applyFont="1" applyFill="1" applyBorder="1" applyAlignment="1"/>
    <xf numFmtId="0" fontId="3" fillId="4" borderId="17" xfId="0" applyFont="1" applyFill="1" applyBorder="1" applyAlignment="1"/>
    <xf numFmtId="0" fontId="3" fillId="5" borderId="19" xfId="0" applyFont="1" applyFill="1" applyBorder="1" applyAlignment="1"/>
    <xf numFmtId="49" fontId="3" fillId="5" borderId="20" xfId="0" applyNumberFormat="1" applyFont="1" applyFill="1" applyBorder="1" applyAlignment="1"/>
    <xf numFmtId="0" fontId="3" fillId="4" borderId="20" xfId="0" applyFont="1" applyFill="1" applyBorder="1" applyAlignment="1"/>
    <xf numFmtId="20" fontId="23" fillId="5" borderId="13" xfId="0" applyNumberFormat="1" applyFont="1" applyFill="1" applyBorder="1" applyAlignment="1"/>
    <xf numFmtId="20" fontId="23" fillId="5" borderId="16" xfId="0" applyNumberFormat="1" applyFont="1" applyFill="1" applyBorder="1" applyAlignment="1"/>
    <xf numFmtId="20" fontId="23" fillId="5" borderId="19" xfId="0" applyNumberFormat="1" applyFont="1" applyFill="1" applyBorder="1" applyAlignment="1"/>
    <xf numFmtId="0" fontId="0" fillId="0" borderId="0" xfId="0" applyBorder="1"/>
    <xf numFmtId="0" fontId="0" fillId="7" borderId="0" xfId="0" applyFill="1" applyBorder="1"/>
    <xf numFmtId="0" fontId="10" fillId="7" borderId="0" xfId="0" applyFont="1" applyFill="1" applyBorder="1" applyAlignment="1"/>
    <xf numFmtId="20" fontId="23" fillId="5" borderId="22" xfId="0" applyNumberFormat="1" applyFont="1" applyFill="1" applyBorder="1" applyAlignment="1"/>
    <xf numFmtId="20" fontId="23" fillId="5" borderId="23" xfId="0" applyNumberFormat="1" applyFont="1" applyFill="1" applyBorder="1" applyAlignment="1"/>
    <xf numFmtId="20" fontId="23" fillId="5" borderId="24" xfId="0" applyNumberFormat="1" applyFont="1" applyFill="1" applyBorder="1" applyAlignment="1"/>
    <xf numFmtId="20" fontId="3" fillId="4" borderId="14" xfId="0" applyNumberFormat="1" applyFont="1" applyFill="1" applyBorder="1" applyAlignment="1"/>
    <xf numFmtId="20" fontId="3" fillId="4" borderId="17" xfId="0" applyNumberFormat="1" applyFont="1" applyFill="1" applyBorder="1" applyAlignment="1"/>
    <xf numFmtId="20" fontId="3" fillId="4" borderId="15" xfId="0" applyNumberFormat="1" applyFont="1" applyFill="1" applyBorder="1" applyAlignment="1"/>
    <xf numFmtId="20" fontId="3" fillId="4" borderId="18" xfId="0" applyNumberFormat="1" applyFont="1" applyFill="1" applyBorder="1" applyAlignment="1"/>
    <xf numFmtId="0" fontId="3" fillId="4" borderId="18" xfId="0" applyFont="1" applyFill="1" applyBorder="1" applyAlignment="1"/>
    <xf numFmtId="0" fontId="3" fillId="4" borderId="21" xfId="0" applyFont="1" applyFill="1" applyBorder="1" applyAlignment="1"/>
    <xf numFmtId="20" fontId="3" fillId="4" borderId="21" xfId="0" applyNumberFormat="1" applyFont="1" applyFill="1" applyBorder="1" applyAlignment="1"/>
    <xf numFmtId="0" fontId="3" fillId="8" borderId="14" xfId="0" applyFont="1" applyFill="1" applyBorder="1" applyAlignment="1"/>
    <xf numFmtId="0" fontId="3" fillId="8" borderId="17" xfId="0" applyFont="1" applyFill="1" applyBorder="1" applyAlignment="1"/>
    <xf numFmtId="0" fontId="3" fillId="8" borderId="20" xfId="0" applyFont="1" applyFill="1" applyBorder="1" applyAlignment="1"/>
    <xf numFmtId="0" fontId="25" fillId="5" borderId="0" xfId="0" applyFont="1" applyFill="1" applyBorder="1" applyAlignment="1">
      <alignment vertical="center"/>
    </xf>
    <xf numFmtId="0" fontId="25" fillId="5" borderId="0" xfId="0" applyFont="1" applyFill="1"/>
    <xf numFmtId="0" fontId="16" fillId="5" borderId="24" xfId="0" applyFont="1" applyFill="1" applyBorder="1"/>
    <xf numFmtId="0" fontId="16" fillId="5" borderId="22" xfId="0" applyFont="1" applyFill="1" applyBorder="1"/>
    <xf numFmtId="0" fontId="16" fillId="5" borderId="12" xfId="0" applyFont="1" applyFill="1" applyBorder="1"/>
    <xf numFmtId="0" fontId="2" fillId="0" borderId="0" xfId="0" applyFont="1" applyFill="1" applyBorder="1" applyAlignment="1">
      <alignment horizontal="right"/>
    </xf>
    <xf numFmtId="0" fontId="16" fillId="0" borderId="10" xfId="0" applyFont="1" applyFill="1" applyBorder="1"/>
    <xf numFmtId="0" fontId="16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0" fillId="0" borderId="1" xfId="0" applyFont="1" applyFill="1" applyBorder="1"/>
    <xf numFmtId="0" fontId="0" fillId="4" borderId="5" xfId="0" applyFont="1" applyFill="1" applyBorder="1"/>
    <xf numFmtId="0" fontId="2" fillId="0" borderId="5" xfId="0" applyFont="1" applyFill="1" applyBorder="1"/>
    <xf numFmtId="0" fontId="2" fillId="0" borderId="3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0" fillId="5" borderId="1" xfId="0" applyFont="1" applyFill="1" applyBorder="1"/>
    <xf numFmtId="0" fontId="0" fillId="5" borderId="0" xfId="0" applyNumberFormat="1" applyFont="1" applyFill="1" applyBorder="1" applyAlignment="1">
      <alignment horizontal="center"/>
    </xf>
    <xf numFmtId="0" fontId="0" fillId="5" borderId="1" xfId="1" applyNumberFormat="1" applyFont="1" applyFill="1" applyBorder="1" applyAlignment="1">
      <alignment horizontal="center"/>
    </xf>
    <xf numFmtId="0" fontId="24" fillId="6" borderId="12" xfId="0" applyFont="1" applyFill="1" applyBorder="1" applyAlignment="1">
      <alignment horizontal="center"/>
    </xf>
    <xf numFmtId="0" fontId="0" fillId="9" borderId="0" xfId="0" applyFill="1"/>
    <xf numFmtId="0" fontId="10" fillId="6" borderId="12" xfId="0" applyFont="1" applyFill="1" applyBorder="1" applyAlignment="1">
      <alignment horizontal="center"/>
    </xf>
    <xf numFmtId="0" fontId="0" fillId="9" borderId="0" xfId="0" applyFont="1" applyFill="1" applyAlignment="1"/>
    <xf numFmtId="0" fontId="9" fillId="5" borderId="22" xfId="0" applyFont="1" applyFill="1" applyBorder="1" applyAlignment="1"/>
    <xf numFmtId="0" fontId="10" fillId="5" borderId="15" xfId="0" applyFont="1" applyFill="1" applyBorder="1" applyAlignment="1"/>
    <xf numFmtId="0" fontId="11" fillId="5" borderId="22" xfId="0" applyFont="1" applyFill="1" applyBorder="1" applyAlignment="1"/>
    <xf numFmtId="0" fontId="12" fillId="5" borderId="23" xfId="0" applyFont="1" applyFill="1" applyBorder="1" applyAlignment="1"/>
    <xf numFmtId="0" fontId="9" fillId="5" borderId="18" xfId="0" applyFont="1" applyFill="1" applyBorder="1" applyAlignment="1"/>
    <xf numFmtId="0" fontId="0" fillId="5" borderId="23" xfId="0" applyFill="1" applyBorder="1"/>
    <xf numFmtId="0" fontId="9" fillId="5" borderId="23" xfId="0" applyFont="1" applyFill="1" applyBorder="1"/>
    <xf numFmtId="0" fontId="0" fillId="9" borderId="0" xfId="0" applyFill="1" applyAlignment="1"/>
    <xf numFmtId="0" fontId="9" fillId="5" borderId="18" xfId="0" applyNumberFormat="1" applyFont="1" applyFill="1" applyBorder="1" applyAlignment="1">
      <alignment horizontal="left"/>
    </xf>
    <xf numFmtId="0" fontId="0" fillId="5" borderId="23" xfId="0" applyFill="1" applyBorder="1" applyAlignment="1"/>
    <xf numFmtId="0" fontId="0" fillId="5" borderId="18" xfId="0" applyFill="1" applyBorder="1"/>
    <xf numFmtId="0" fontId="0" fillId="5" borderId="18" xfId="0" applyFill="1" applyBorder="1" applyAlignment="1"/>
    <xf numFmtId="0" fontId="12" fillId="5" borderId="23" xfId="0" applyFont="1" applyFill="1" applyBorder="1" applyAlignment="1">
      <alignment horizontal="right"/>
    </xf>
    <xf numFmtId="0" fontId="12" fillId="5" borderId="18" xfId="0" applyFont="1" applyFill="1" applyBorder="1" applyAlignment="1"/>
    <xf numFmtId="0" fontId="12" fillId="5" borderId="23" xfId="0" applyFont="1" applyFill="1" applyBorder="1" applyAlignment="1">
      <alignment horizontal="left"/>
    </xf>
    <xf numFmtId="20" fontId="12" fillId="5" borderId="18" xfId="0" applyNumberFormat="1" applyFont="1" applyFill="1" applyBorder="1" applyAlignment="1">
      <alignment horizontal="left"/>
    </xf>
    <xf numFmtId="20" fontId="12" fillId="5" borderId="23" xfId="0" applyNumberFormat="1" applyFont="1" applyFill="1" applyBorder="1" applyAlignment="1">
      <alignment horizontal="left"/>
    </xf>
    <xf numFmtId="0" fontId="12" fillId="5" borderId="24" xfId="0" applyFont="1" applyFill="1" applyBorder="1" applyAlignment="1">
      <alignment horizontal="left"/>
    </xf>
    <xf numFmtId="20" fontId="12" fillId="5" borderId="21" xfId="0" applyNumberFormat="1" applyFont="1" applyFill="1" applyBorder="1" applyAlignment="1">
      <alignment horizontal="left"/>
    </xf>
    <xf numFmtId="20" fontId="12" fillId="5" borderId="24" xfId="0" applyNumberFormat="1" applyFont="1" applyFill="1" applyBorder="1" applyAlignment="1">
      <alignment horizontal="left"/>
    </xf>
    <xf numFmtId="0" fontId="0" fillId="5" borderId="0" xfId="0" quotePrefix="1" applyNumberFormat="1" applyFont="1" applyFill="1" applyBorder="1" applyAlignment="1">
      <alignment horizontal="center"/>
    </xf>
    <xf numFmtId="0" fontId="0" fillId="0" borderId="0" xfId="0" quotePrefix="1" applyNumberFormat="1" applyFont="1" applyFill="1" applyBorder="1" applyAlignment="1">
      <alignment horizontal="center"/>
    </xf>
    <xf numFmtId="0" fontId="0" fillId="5" borderId="1" xfId="1" quotePrefix="1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 vertical="center"/>
    </xf>
    <xf numFmtId="0" fontId="3" fillId="0" borderId="0" xfId="0" applyFont="1"/>
    <xf numFmtId="0" fontId="26" fillId="0" borderId="0" xfId="0" applyFont="1"/>
    <xf numFmtId="0" fontId="5" fillId="2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 textRotation="180" wrapText="1"/>
    </xf>
    <xf numFmtId="0" fontId="17" fillId="0" borderId="0" xfId="0" applyFont="1" applyAlignment="1">
      <alignment horizontal="center" vertical="center" textRotation="90" wrapText="1"/>
    </xf>
    <xf numFmtId="0" fontId="17" fillId="0" borderId="0" xfId="0" applyFont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8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 textRotation="180" wrapText="1"/>
    </xf>
    <xf numFmtId="0" fontId="20" fillId="0" borderId="0" xfId="0" applyFont="1" applyAlignment="1">
      <alignment horizontal="center" vertical="center" textRotation="90" wrapText="1"/>
    </xf>
    <xf numFmtId="0" fontId="25" fillId="5" borderId="0" xfId="0" applyFont="1" applyFill="1" applyAlignment="1">
      <alignment horizontal="center" vertical="center"/>
    </xf>
    <xf numFmtId="0" fontId="25" fillId="5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</cellXfs>
  <cellStyles count="2">
    <cellStyle name="Procent" xfId="1" builtinId="5"/>
    <cellStyle name="Standaard" xfId="0" builtinId="0"/>
  </cellStyles>
  <dxfs count="0"/>
  <tableStyles count="0" defaultTableStyle="TableStyleMedium2" defaultPivotStyle="PivotStyleLight16"/>
  <colors>
    <mruColors>
      <color rgb="FFF2F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0</xdr:rowOff>
    </xdr:from>
    <xdr:to>
      <xdr:col>9</xdr:col>
      <xdr:colOff>85725</xdr:colOff>
      <xdr:row>53</xdr:row>
      <xdr:rowOff>76200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743200"/>
          <a:ext cx="5238750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15</xdr:col>
      <xdr:colOff>85725</xdr:colOff>
      <xdr:row>53</xdr:row>
      <xdr:rowOff>76200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2743200"/>
          <a:ext cx="5238750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104775</xdr:rowOff>
    </xdr:from>
    <xdr:to>
      <xdr:col>1</xdr:col>
      <xdr:colOff>2435925</xdr:colOff>
      <xdr:row>38</xdr:row>
      <xdr:rowOff>88220</xdr:rowOff>
    </xdr:to>
    <xdr:grpSp>
      <xdr:nvGrpSpPr>
        <xdr:cNvPr id="18" name="Groep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104775" y="3762375"/>
          <a:ext cx="2493075" cy="2421845"/>
          <a:chOff x="104775" y="3762375"/>
          <a:chExt cx="2493075" cy="2421845"/>
        </a:xfrm>
      </xdr:grpSpPr>
      <xdr:pic>
        <xdr:nvPicPr>
          <xdr:cNvPr id="3" name="Afbeelding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71450" y="3810000"/>
            <a:ext cx="2426400" cy="2374220"/>
          </a:xfrm>
          <a:prstGeom prst="rect">
            <a:avLst/>
          </a:prstGeom>
          <a:ln w="3175">
            <a:solidFill>
              <a:schemeClr val="tx1">
                <a:lumMod val="50000"/>
                <a:lumOff val="50000"/>
              </a:schemeClr>
            </a:solidFill>
          </a:ln>
        </xdr:spPr>
      </xdr:pic>
      <xdr:sp macro="" textlink="">
        <xdr:nvSpPr>
          <xdr:cNvPr id="4" name="Tekstvak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2352676" y="5876924"/>
            <a:ext cx="238124" cy="2476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lIns="0" rIns="0" rtlCol="0" anchor="ctr">
            <a:noAutofit/>
          </a:bodyPr>
          <a:lstStyle/>
          <a:p>
            <a:pPr algn="ctr"/>
            <a:r>
              <a:rPr lang="nl-NL"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Z</a:t>
            </a:r>
          </a:p>
        </xdr:txBody>
      </xdr:sp>
      <xdr:sp macro="" textlink="">
        <xdr:nvSpPr>
          <xdr:cNvPr id="5" name="Tekstvak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1847850" y="3762375"/>
            <a:ext cx="238124" cy="2476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lIns="0" rIns="0" rtlCol="0" anchor="ctr">
            <a:noAutofit/>
          </a:bodyPr>
          <a:lstStyle/>
          <a:p>
            <a:pPr algn="ctr"/>
            <a:r>
              <a:rPr lang="nl-NL"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</a:t>
            </a:r>
          </a:p>
        </xdr:txBody>
      </xdr:sp>
      <xdr:sp macro="" textlink="">
        <xdr:nvSpPr>
          <xdr:cNvPr id="6" name="Tekstvak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104775" y="5133975"/>
            <a:ext cx="361950" cy="2476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lIns="0" rIns="0" rtlCol="0" anchor="ctr">
            <a:noAutofit/>
          </a:bodyPr>
          <a:lstStyle/>
          <a:p>
            <a:pPr algn="ctr"/>
            <a:r>
              <a:rPr lang="nl-NL"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</a:t>
            </a:r>
          </a:p>
        </xdr:txBody>
      </xdr:sp>
    </xdr:grpSp>
    <xdr:clientData/>
  </xdr:twoCellAnchor>
  <xdr:twoCellAnchor>
    <xdr:from>
      <xdr:col>1</xdr:col>
      <xdr:colOff>9525</xdr:colOff>
      <xdr:row>40</xdr:row>
      <xdr:rowOff>0</xdr:rowOff>
    </xdr:from>
    <xdr:to>
      <xdr:col>1</xdr:col>
      <xdr:colOff>2435925</xdr:colOff>
      <xdr:row>53</xdr:row>
      <xdr:rowOff>124103</xdr:rowOff>
    </xdr:to>
    <xdr:grpSp>
      <xdr:nvGrpSpPr>
        <xdr:cNvPr id="17" name="Groep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171450" y="6400800"/>
          <a:ext cx="2426400" cy="2105303"/>
          <a:chOff x="171450" y="6400800"/>
          <a:chExt cx="2426400" cy="2105303"/>
        </a:xfrm>
      </xdr:grpSpPr>
      <xdr:pic>
        <xdr:nvPicPr>
          <xdr:cNvPr id="10" name="Afbeelding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1450" y="6400800"/>
            <a:ext cx="2426400" cy="2105303"/>
          </a:xfrm>
          <a:prstGeom prst="rect">
            <a:avLst/>
          </a:prstGeom>
          <a:ln w="3175">
            <a:solidFill>
              <a:schemeClr val="tx1">
                <a:lumMod val="50000"/>
                <a:lumOff val="50000"/>
              </a:schemeClr>
            </a:solidFill>
          </a:ln>
        </xdr:spPr>
      </xdr:pic>
      <xdr:cxnSp macro="">
        <xdr:nvCxnSpPr>
          <xdr:cNvPr id="12" name="Rechte verbindingslijn met pij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CxnSpPr/>
        </xdr:nvCxnSpPr>
        <xdr:spPr>
          <a:xfrm flipH="1" flipV="1">
            <a:off x="542926" y="7032381"/>
            <a:ext cx="424962" cy="43961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Tekstvak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98561" y="6909288"/>
            <a:ext cx="361950" cy="2476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lIns="0" rIns="0" rtlCol="0" anchor="ctr">
            <a:noAutofit/>
          </a:bodyPr>
          <a:lstStyle/>
          <a:p>
            <a:pPr algn="ctr"/>
            <a:r>
              <a:rPr lang="nl-NL" sz="14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W2</a:t>
            </a:r>
          </a:p>
        </xdr:txBody>
      </xdr:sp>
      <xdr:cxnSp macro="">
        <xdr:nvCxnSpPr>
          <xdr:cNvPr id="14" name="Rechte verbindingslijn met pijl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CxnSpPr/>
        </xdr:nvCxnSpPr>
        <xdr:spPr>
          <a:xfrm flipH="1" flipV="1">
            <a:off x="865310" y="7272704"/>
            <a:ext cx="417635" cy="7327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kstvak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490173" y="7155472"/>
            <a:ext cx="361950" cy="2476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lIns="0" rIns="0" rtlCol="0" anchor="ctr">
            <a:noAutofit/>
          </a:bodyPr>
          <a:lstStyle/>
          <a:p>
            <a:pPr algn="ctr"/>
            <a:r>
              <a:rPr lang="nl-NL" sz="14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W1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0</xdr:rowOff>
    </xdr:from>
    <xdr:to>
      <xdr:col>9</xdr:col>
      <xdr:colOff>85725</xdr:colOff>
      <xdr:row>53</xdr:row>
      <xdr:rowOff>76200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743200"/>
          <a:ext cx="5238750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15</xdr:col>
      <xdr:colOff>85725</xdr:colOff>
      <xdr:row>53</xdr:row>
      <xdr:rowOff>76200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2743200"/>
          <a:ext cx="5238750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2426400</xdr:colOff>
          <xdr:row>36</xdr:row>
          <xdr:rowOff>140400</xdr:rowOff>
        </xdr:to>
        <xdr:pic>
          <xdr:nvPicPr>
            <xdr:cNvPr id="3" name="Afbeelding 2" descr="TEL4tak070916181 - Excel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PicPr preferRelativeResize="0">
              <a:picLocks noChangeAspect="1"/>
              <a:extLst>
                <a:ext uri="{84589F7E-364E-4C9E-8A38-B11213B215E9}">
                  <a14:cameraTool cellRange="SCH!A2:AH35" spid="_x0000_s320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61925" y="3505200"/>
              <a:ext cx="2426400" cy="24264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2426400</xdr:colOff>
          <xdr:row>36</xdr:row>
          <xdr:rowOff>140400</xdr:rowOff>
        </xdr:to>
        <xdr:pic>
          <xdr:nvPicPr>
            <xdr:cNvPr id="2" name="Afbeelding 1" descr="TEL4tak070916181 - Excel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PicPr preferRelativeResize="0">
              <a:picLocks noChangeAspect="1"/>
              <a:extLst>
                <a:ext uri="{84589F7E-364E-4C9E-8A38-B11213B215E9}">
                  <a14:cameraTool cellRange="SCH!A2:AH35" spid="_x0000_s525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61925" y="3505200"/>
              <a:ext cx="2426400" cy="24264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2426400</xdr:colOff>
          <xdr:row>36</xdr:row>
          <xdr:rowOff>140400</xdr:rowOff>
        </xdr:to>
        <xdr:pic>
          <xdr:nvPicPr>
            <xdr:cNvPr id="2" name="Afbeelding 1" descr="TEL4tak070916181 - Excel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PicPr preferRelativeResize="0">
              <a:picLocks noChangeAspect="1"/>
              <a:extLst>
                <a:ext uri="{84589F7E-364E-4C9E-8A38-B11213B215E9}">
                  <a14:cameraTool cellRange="SCH!A2:AH35" spid="_x0000_s628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61925" y="3505200"/>
              <a:ext cx="2426400" cy="24264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97876</xdr:colOff>
      <xdr:row>23</xdr:row>
      <xdr:rowOff>54772</xdr:rowOff>
    </xdr:from>
    <xdr:to>
      <xdr:col>16</xdr:col>
      <xdr:colOff>97876</xdr:colOff>
      <xdr:row>27</xdr:row>
      <xdr:rowOff>54772</xdr:rowOff>
    </xdr:to>
    <xdr:sp macro="" textlink="">
      <xdr:nvSpPr>
        <xdr:cNvPr id="7" name="Line 339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ShapeType="1"/>
        </xdr:cNvSpPr>
      </xdr:nvSpPr>
      <xdr:spPr bwMode="auto">
        <a:xfrm rot="10800000">
          <a:off x="1193251" y="1423991"/>
          <a:ext cx="0" cy="238125"/>
        </a:xfrm>
        <a:prstGeom prst="lin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  <a:round/>
          <a:headEnd/>
          <a:tailEnd type="triangle" w="sm" len="sm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8630</xdr:colOff>
      <xdr:row>12</xdr:row>
      <xdr:rowOff>52388</xdr:rowOff>
    </xdr:from>
    <xdr:to>
      <xdr:col>10</xdr:col>
      <xdr:colOff>53576</xdr:colOff>
      <xdr:row>22</xdr:row>
      <xdr:rowOff>33338</xdr:rowOff>
    </xdr:to>
    <xdr:grpSp>
      <xdr:nvGrpSpPr>
        <xdr:cNvPr id="10" name="Group 34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>
          <a:grpSpLocks/>
        </xdr:cNvGrpSpPr>
      </xdr:nvGrpSpPr>
      <xdr:grpSpPr bwMode="auto">
        <a:xfrm rot="10800000">
          <a:off x="542030" y="738188"/>
          <a:ext cx="159246" cy="552450"/>
          <a:chOff x="184" y="308"/>
          <a:chExt cx="19" cy="58"/>
        </a:xfrm>
      </xdr:grpSpPr>
      <xdr:sp macro="" textlink="">
        <xdr:nvSpPr>
          <xdr:cNvPr id="12" name="Freeform 345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>
            <a:spLocks/>
          </xdr:cNvSpPr>
        </xdr:nvSpPr>
        <xdr:spPr bwMode="auto">
          <a:xfrm rot="16200000" flipV="1">
            <a:off x="187" y="350"/>
            <a:ext cx="13" cy="19"/>
          </a:xfrm>
          <a:custGeom>
            <a:avLst/>
            <a:gdLst>
              <a:gd name="T0" fmla="*/ 11 w 11"/>
              <a:gd name="T1" fmla="*/ 0 h 9"/>
              <a:gd name="T2" fmla="*/ 11 w 11"/>
              <a:gd name="T3" fmla="*/ 9 h 9"/>
              <a:gd name="T4" fmla="*/ 0 w 11"/>
              <a:gd name="T5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1" h="9">
                <a:moveTo>
                  <a:pt x="11" y="0"/>
                </a:moveTo>
                <a:lnTo>
                  <a:pt x="11" y="9"/>
                </a:lnTo>
                <a:lnTo>
                  <a:pt x="0" y="9"/>
                </a:lnTo>
              </a:path>
            </a:pathLst>
          </a:cu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" name="Freeform 346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>
            <a:spLocks/>
          </xdr:cNvSpPr>
        </xdr:nvSpPr>
        <xdr:spPr bwMode="auto">
          <a:xfrm rot="16200000" flipH="1" flipV="1">
            <a:off x="187" y="305"/>
            <a:ext cx="13" cy="19"/>
          </a:xfrm>
          <a:custGeom>
            <a:avLst/>
            <a:gdLst>
              <a:gd name="T0" fmla="*/ 11 w 11"/>
              <a:gd name="T1" fmla="*/ 0 h 9"/>
              <a:gd name="T2" fmla="*/ 11 w 11"/>
              <a:gd name="T3" fmla="*/ 9 h 9"/>
              <a:gd name="T4" fmla="*/ 0 w 11"/>
              <a:gd name="T5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1" h="9">
                <a:moveTo>
                  <a:pt x="11" y="0"/>
                </a:moveTo>
                <a:lnTo>
                  <a:pt x="11" y="9"/>
                </a:lnTo>
                <a:lnTo>
                  <a:pt x="0" y="9"/>
                </a:lnTo>
              </a:path>
            </a:pathLst>
          </a:cu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16</xdr:col>
      <xdr:colOff>93814</xdr:colOff>
      <xdr:row>8</xdr:row>
      <xdr:rowOff>14289</xdr:rowOff>
    </xdr:from>
    <xdr:to>
      <xdr:col>16</xdr:col>
      <xdr:colOff>93814</xdr:colOff>
      <xdr:row>12</xdr:row>
      <xdr:rowOff>14289</xdr:rowOff>
    </xdr:to>
    <xdr:sp macro="" textlink="">
      <xdr:nvSpPr>
        <xdr:cNvPr id="15" name="Line 348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ShapeType="1"/>
        </xdr:cNvSpPr>
      </xdr:nvSpPr>
      <xdr:spPr bwMode="auto">
        <a:xfrm>
          <a:off x="1189189" y="490539"/>
          <a:ext cx="0" cy="238125"/>
        </a:xfrm>
        <a:prstGeom prst="lin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  <a:round/>
          <a:headEnd/>
          <a:tailEnd type="triangle" w="sm" len="sm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6350</xdr:colOff>
      <xdr:row>49</xdr:row>
      <xdr:rowOff>31750</xdr:rowOff>
    </xdr:from>
    <xdr:to>
      <xdr:col>10</xdr:col>
      <xdr:colOff>11113</xdr:colOff>
      <xdr:row>56</xdr:row>
      <xdr:rowOff>19050</xdr:rowOff>
    </xdr:to>
    <xdr:grpSp>
      <xdr:nvGrpSpPr>
        <xdr:cNvPr id="18" name="Groep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pSpPr/>
      </xdr:nvGrpSpPr>
      <xdr:grpSpPr>
        <a:xfrm>
          <a:off x="596900" y="2832100"/>
          <a:ext cx="61913" cy="387350"/>
          <a:chOff x="685800" y="3257550"/>
          <a:chExt cx="61913" cy="387350"/>
        </a:xfrm>
      </xdr:grpSpPr>
      <xdr:sp macro="" textlink="">
        <xdr:nvSpPr>
          <xdr:cNvPr id="19" name="Line 339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747713" y="3257550"/>
            <a:ext cx="0" cy="379413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" name="Line 348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SpPr>
            <a:spLocks noChangeShapeType="1"/>
          </xdr:cNvSpPr>
        </xdr:nvSpPr>
        <xdr:spPr bwMode="auto">
          <a:xfrm>
            <a:off x="685800" y="3270250"/>
            <a:ext cx="0" cy="374650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40482</xdr:colOff>
      <xdr:row>44</xdr:row>
      <xdr:rowOff>54769</xdr:rowOff>
    </xdr:from>
    <xdr:to>
      <xdr:col>20</xdr:col>
      <xdr:colOff>27782</xdr:colOff>
      <xdr:row>46</xdr:row>
      <xdr:rowOff>2382</xdr:rowOff>
    </xdr:to>
    <xdr:grpSp>
      <xdr:nvGrpSpPr>
        <xdr:cNvPr id="24" name="Groep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pSpPr/>
      </xdr:nvGrpSpPr>
      <xdr:grpSpPr>
        <a:xfrm rot="5400000">
          <a:off x="1136650" y="2368551"/>
          <a:ext cx="61913" cy="463550"/>
          <a:chOff x="685800" y="3257550"/>
          <a:chExt cx="61913" cy="387350"/>
        </a:xfrm>
      </xdr:grpSpPr>
      <xdr:sp macro="" textlink="">
        <xdr:nvSpPr>
          <xdr:cNvPr id="25" name="Line 339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747713" y="3257550"/>
            <a:ext cx="0" cy="379413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" name="Line 348"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SpPr>
            <a:spLocks noChangeShapeType="1"/>
          </xdr:cNvSpPr>
        </xdr:nvSpPr>
        <xdr:spPr bwMode="auto">
          <a:xfrm>
            <a:off x="685800" y="3270250"/>
            <a:ext cx="0" cy="374650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40482</xdr:colOff>
      <xdr:row>59</xdr:row>
      <xdr:rowOff>54769</xdr:rowOff>
    </xdr:from>
    <xdr:to>
      <xdr:col>20</xdr:col>
      <xdr:colOff>27782</xdr:colOff>
      <xdr:row>61</xdr:row>
      <xdr:rowOff>2382</xdr:rowOff>
    </xdr:to>
    <xdr:grpSp>
      <xdr:nvGrpSpPr>
        <xdr:cNvPr id="27" name="Groep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pSpPr/>
      </xdr:nvGrpSpPr>
      <xdr:grpSpPr>
        <a:xfrm rot="5400000">
          <a:off x="1136650" y="3225801"/>
          <a:ext cx="61913" cy="463550"/>
          <a:chOff x="685800" y="3257550"/>
          <a:chExt cx="61913" cy="387350"/>
        </a:xfrm>
      </xdr:grpSpPr>
      <xdr:sp macro="" textlink="">
        <xdr:nvSpPr>
          <xdr:cNvPr id="28" name="Line 339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747713" y="3257550"/>
            <a:ext cx="0" cy="379413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9" name="Line 348">
            <a:extLst>
              <a:ext uri="{FF2B5EF4-FFF2-40B4-BE49-F238E27FC236}">
                <a16:creationId xmlns:a16="http://schemas.microsoft.com/office/drawing/2014/main" id="{00000000-0008-0000-07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685800" y="3270250"/>
            <a:ext cx="0" cy="374650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6350</xdr:colOff>
      <xdr:row>84</xdr:row>
      <xdr:rowOff>31750</xdr:rowOff>
    </xdr:from>
    <xdr:to>
      <xdr:col>10</xdr:col>
      <xdr:colOff>11113</xdr:colOff>
      <xdr:row>91</xdr:row>
      <xdr:rowOff>19050</xdr:rowOff>
    </xdr:to>
    <xdr:grpSp>
      <xdr:nvGrpSpPr>
        <xdr:cNvPr id="30" name="Groep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pSpPr/>
      </xdr:nvGrpSpPr>
      <xdr:grpSpPr>
        <a:xfrm>
          <a:off x="596900" y="4832350"/>
          <a:ext cx="61913" cy="387350"/>
          <a:chOff x="685800" y="3257550"/>
          <a:chExt cx="61913" cy="387350"/>
        </a:xfrm>
      </xdr:grpSpPr>
      <xdr:sp macro="" textlink="">
        <xdr:nvSpPr>
          <xdr:cNvPr id="31" name="Line 339">
            <a:extLst>
              <a:ext uri="{FF2B5EF4-FFF2-40B4-BE49-F238E27FC236}">
                <a16:creationId xmlns:a16="http://schemas.microsoft.com/office/drawing/2014/main" id="{00000000-0008-0000-0700-00001F000000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747713" y="3257550"/>
            <a:ext cx="0" cy="379413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2" name="Line 348">
            <a:extLst>
              <a:ext uri="{FF2B5EF4-FFF2-40B4-BE49-F238E27FC236}">
                <a16:creationId xmlns:a16="http://schemas.microsoft.com/office/drawing/2014/main" id="{00000000-0008-0000-0700-000020000000}"/>
              </a:ext>
            </a:extLst>
          </xdr:cNvPr>
          <xdr:cNvSpPr>
            <a:spLocks noChangeShapeType="1"/>
          </xdr:cNvSpPr>
        </xdr:nvSpPr>
        <xdr:spPr bwMode="auto">
          <a:xfrm>
            <a:off x="685800" y="3270250"/>
            <a:ext cx="0" cy="374650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40482</xdr:colOff>
      <xdr:row>79</xdr:row>
      <xdr:rowOff>54769</xdr:rowOff>
    </xdr:from>
    <xdr:to>
      <xdr:col>20</xdr:col>
      <xdr:colOff>27782</xdr:colOff>
      <xdr:row>81</xdr:row>
      <xdr:rowOff>2382</xdr:rowOff>
    </xdr:to>
    <xdr:grpSp>
      <xdr:nvGrpSpPr>
        <xdr:cNvPr id="36" name="Groep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pSpPr/>
      </xdr:nvGrpSpPr>
      <xdr:grpSpPr>
        <a:xfrm rot="5400000">
          <a:off x="1136650" y="4368801"/>
          <a:ext cx="61913" cy="463550"/>
          <a:chOff x="685800" y="3257550"/>
          <a:chExt cx="61913" cy="387350"/>
        </a:xfrm>
      </xdr:grpSpPr>
      <xdr:sp macro="" textlink="">
        <xdr:nvSpPr>
          <xdr:cNvPr id="37" name="Line 339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747713" y="3257550"/>
            <a:ext cx="0" cy="379413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8" name="Line 348">
            <a:extLst>
              <a:ext uri="{FF2B5EF4-FFF2-40B4-BE49-F238E27FC236}">
                <a16:creationId xmlns:a16="http://schemas.microsoft.com/office/drawing/2014/main" id="{00000000-0008-0000-0700-000026000000}"/>
              </a:ext>
            </a:extLst>
          </xdr:cNvPr>
          <xdr:cNvSpPr>
            <a:spLocks noChangeShapeType="1"/>
          </xdr:cNvSpPr>
        </xdr:nvSpPr>
        <xdr:spPr bwMode="auto">
          <a:xfrm>
            <a:off x="685800" y="3270250"/>
            <a:ext cx="0" cy="374650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40482</xdr:colOff>
      <xdr:row>94</xdr:row>
      <xdr:rowOff>54769</xdr:rowOff>
    </xdr:from>
    <xdr:to>
      <xdr:col>20</xdr:col>
      <xdr:colOff>27782</xdr:colOff>
      <xdr:row>96</xdr:row>
      <xdr:rowOff>2382</xdr:rowOff>
    </xdr:to>
    <xdr:grpSp>
      <xdr:nvGrpSpPr>
        <xdr:cNvPr id="39" name="Groep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GrpSpPr/>
      </xdr:nvGrpSpPr>
      <xdr:grpSpPr>
        <a:xfrm rot="5400000">
          <a:off x="1136650" y="5226051"/>
          <a:ext cx="61913" cy="463550"/>
          <a:chOff x="685800" y="3257550"/>
          <a:chExt cx="61913" cy="387350"/>
        </a:xfrm>
      </xdr:grpSpPr>
      <xdr:sp macro="" textlink="">
        <xdr:nvSpPr>
          <xdr:cNvPr id="40" name="Line 339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747713" y="3257550"/>
            <a:ext cx="0" cy="379413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1" name="Line 348"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SpPr>
            <a:spLocks noChangeShapeType="1"/>
          </xdr:cNvSpPr>
        </xdr:nvSpPr>
        <xdr:spPr bwMode="auto">
          <a:xfrm>
            <a:off x="685800" y="3270250"/>
            <a:ext cx="0" cy="374650"/>
          </a:xfrm>
          <a:prstGeom prst="line">
            <a:avLst/>
          </a:prstGeom>
          <a:noFill/>
          <a:ln w="3175">
            <a:solidFill>
              <a:schemeClr val="tx1">
                <a:lumMod val="50000"/>
                <a:lumOff val="50000"/>
              </a:schemeClr>
            </a:solidFill>
            <a:round/>
            <a:headEnd/>
            <a:tailEnd type="triangle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18</xdr:col>
      <xdr:colOff>32146</xdr:colOff>
      <xdr:row>129</xdr:row>
      <xdr:rowOff>39291</xdr:rowOff>
    </xdr:from>
    <xdr:to>
      <xdr:col>18</xdr:col>
      <xdr:colOff>32146</xdr:colOff>
      <xdr:row>133</xdr:row>
      <xdr:rowOff>8334</xdr:rowOff>
    </xdr:to>
    <xdr:sp macro="" textlink="">
      <xdr:nvSpPr>
        <xdr:cNvPr id="88" name="Line 282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>
          <a:spLocks noChangeShapeType="1"/>
        </xdr:cNvSpPr>
      </xdr:nvSpPr>
      <xdr:spPr bwMode="auto">
        <a:xfrm rot="16200000">
          <a:off x="1000125" y="7822406"/>
          <a:ext cx="207168" cy="0"/>
        </a:xfrm>
        <a:prstGeom prst="lin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  <a:round/>
          <a:headEnd/>
          <a:tailEnd type="triangle" w="sm" len="sm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9525</xdr:colOff>
      <xdr:row>124</xdr:row>
      <xdr:rowOff>32147</xdr:rowOff>
    </xdr:from>
    <xdr:to>
      <xdr:col>10</xdr:col>
      <xdr:colOff>38099</xdr:colOff>
      <xdr:row>124</xdr:row>
      <xdr:rowOff>32147</xdr:rowOff>
    </xdr:to>
    <xdr:sp macro="" textlink="">
      <xdr:nvSpPr>
        <xdr:cNvPr id="89" name="Line 28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>
          <a:spLocks noChangeShapeType="1"/>
        </xdr:cNvSpPr>
      </xdr:nvSpPr>
      <xdr:spPr bwMode="auto">
        <a:xfrm>
          <a:off x="426244" y="7414022"/>
          <a:ext cx="207168" cy="0"/>
        </a:xfrm>
        <a:prstGeom prst="lin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  <a:round/>
          <a:headEnd/>
          <a:tailEnd type="triangle" w="sm" len="sm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32146</xdr:colOff>
      <xdr:row>112</xdr:row>
      <xdr:rowOff>45245</xdr:rowOff>
    </xdr:from>
    <xdr:to>
      <xdr:col>15</xdr:col>
      <xdr:colOff>32146</xdr:colOff>
      <xdr:row>116</xdr:row>
      <xdr:rowOff>14288</xdr:rowOff>
    </xdr:to>
    <xdr:sp macro="" textlink="">
      <xdr:nvSpPr>
        <xdr:cNvPr id="90" name="Line 282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>
          <a:spLocks noChangeShapeType="1"/>
        </xdr:cNvSpPr>
      </xdr:nvSpPr>
      <xdr:spPr bwMode="auto">
        <a:xfrm rot="5400000">
          <a:off x="821531" y="6816329"/>
          <a:ext cx="207168" cy="0"/>
        </a:xfrm>
        <a:prstGeom prst="lin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  <a:round/>
          <a:headEnd/>
          <a:tailEnd type="triangle" w="sm" len="sm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DufecBlauw">
      <a:dk1>
        <a:sysClr val="windowText" lastClr="000000"/>
      </a:dk1>
      <a:lt1>
        <a:sysClr val="window" lastClr="FFFFFF"/>
      </a:lt1>
      <a:dk2>
        <a:srgbClr val="3C5356"/>
      </a:dk2>
      <a:lt2>
        <a:srgbClr val="EA5045"/>
      </a:lt2>
      <a:accent1>
        <a:srgbClr val="668C9E"/>
      </a:accent1>
      <a:accent2>
        <a:srgbClr val="C0D3DE"/>
      </a:accent2>
      <a:accent3>
        <a:srgbClr val="90AFBD"/>
      </a:accent3>
      <a:accent4>
        <a:srgbClr val="F7AA4E"/>
      </a:accent4>
      <a:accent5>
        <a:srgbClr val="FFD744"/>
      </a:accent5>
      <a:accent6>
        <a:srgbClr val="89B65C"/>
      </a:accent6>
      <a:hlink>
        <a:srgbClr val="000000"/>
      </a:hlink>
      <a:folHlink>
        <a:srgbClr val="000000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5">
    <pageSetUpPr autoPageBreaks="0"/>
  </sheetPr>
  <dimension ref="A1:O63"/>
  <sheetViews>
    <sheetView showGridLines="0" zoomScaleNormal="100" zoomScaleSheetLayoutView="100" workbookViewId="0"/>
  </sheetViews>
  <sheetFormatPr defaultColWidth="8.83203125" defaultRowHeight="12" customHeight="1" x14ac:dyDescent="0.2"/>
  <cols>
    <col min="1" max="1" width="2.83203125" style="5" customWidth="1"/>
    <col min="2" max="2" width="42.83203125" style="5" customWidth="1"/>
    <col min="3" max="3" width="2.83203125" style="5" customWidth="1"/>
    <col min="4" max="4" width="38.33203125" style="1" customWidth="1"/>
    <col min="5" max="5" width="11.5" style="1" customWidth="1"/>
    <col min="6" max="8" width="11.5" style="2" customWidth="1"/>
    <col min="9" max="9" width="5.83203125" style="5" customWidth="1"/>
    <col min="10" max="10" width="38.33203125" style="1" customWidth="1"/>
    <col min="11" max="11" width="11.5" style="1" customWidth="1"/>
    <col min="12" max="14" width="11.5" style="2" customWidth="1"/>
    <col min="15" max="15" width="5.83203125" style="5" customWidth="1"/>
    <col min="16" max="16384" width="8.83203125" style="1"/>
  </cols>
  <sheetData>
    <row r="1" spans="2:14" ht="12" customHeight="1" x14ac:dyDescent="0.2">
      <c r="D1" s="5"/>
      <c r="E1" s="5"/>
      <c r="F1" s="5"/>
      <c r="G1" s="5"/>
      <c r="H1" s="5"/>
      <c r="J1" s="5"/>
      <c r="K1" s="5"/>
      <c r="L1" s="5"/>
      <c r="M1" s="5"/>
      <c r="N1" s="5"/>
    </row>
    <row r="2" spans="2:14" ht="24" customHeight="1" x14ac:dyDescent="0.25">
      <c r="B2" s="13" t="s">
        <v>5</v>
      </c>
      <c r="C2" s="6" t="s">
        <v>66</v>
      </c>
      <c r="D2" s="13" t="str">
        <f>UPPER(B8)</f>
        <v>A19 / R8 KNOOPPUNT KORTRIJK-WEST</v>
      </c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2:14" ht="24" customHeight="1" x14ac:dyDescent="0.25">
      <c r="B3" s="12" t="s">
        <v>6</v>
      </c>
      <c r="C3" s="6" t="s">
        <v>66</v>
      </c>
      <c r="D3" s="12" t="s">
        <v>137</v>
      </c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2:14" ht="12" customHeight="1" x14ac:dyDescent="0.25">
      <c r="B4" s="12"/>
      <c r="C4" s="6" t="s">
        <v>66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</row>
    <row r="5" spans="2:14" ht="12" customHeight="1" x14ac:dyDescent="0.25">
      <c r="B5" s="12"/>
      <c r="C5" s="6" t="s">
        <v>66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2:14" ht="12" customHeight="1" x14ac:dyDescent="0.25">
      <c r="B6" s="8"/>
      <c r="C6" s="6" t="s">
        <v>66</v>
      </c>
      <c r="D6" s="179" t="s">
        <v>143</v>
      </c>
      <c r="E6" s="179"/>
      <c r="F6" s="179"/>
      <c r="G6" s="179"/>
      <c r="H6" s="179"/>
      <c r="J6" s="179" t="s">
        <v>144</v>
      </c>
      <c r="K6" s="179"/>
      <c r="L6" s="179"/>
      <c r="M6" s="179"/>
      <c r="N6" s="179"/>
    </row>
    <row r="7" spans="2:14" ht="12" customHeight="1" x14ac:dyDescent="0.25">
      <c r="B7" s="9" t="s">
        <v>7</v>
      </c>
      <c r="C7" s="6" t="s">
        <v>66</v>
      </c>
      <c r="D7" s="179"/>
      <c r="E7" s="179"/>
      <c r="F7" s="179"/>
      <c r="G7" s="179"/>
      <c r="H7" s="179"/>
      <c r="J7" s="179"/>
      <c r="K7" s="179"/>
      <c r="L7" s="179"/>
      <c r="M7" s="179"/>
      <c r="N7" s="179"/>
    </row>
    <row r="8" spans="2:14" ht="12" customHeight="1" x14ac:dyDescent="0.25">
      <c r="B8" s="8" t="str">
        <f>INFO!$B$4</f>
        <v>A19 / R8 Knooppunt Kortrijk-West</v>
      </c>
      <c r="C8" s="6" t="s">
        <v>66</v>
      </c>
      <c r="D8" s="35" t="s">
        <v>8</v>
      </c>
      <c r="E8" s="14"/>
      <c r="F8" s="23"/>
      <c r="G8" s="39"/>
      <c r="H8" s="23"/>
      <c r="J8" s="35" t="s">
        <v>8</v>
      </c>
      <c r="K8" s="14"/>
      <c r="L8" s="23"/>
      <c r="M8" s="39"/>
      <c r="N8" s="23"/>
    </row>
    <row r="9" spans="2:14" ht="12" customHeight="1" x14ac:dyDescent="0.25">
      <c r="C9" s="6" t="s">
        <v>66</v>
      </c>
      <c r="D9" s="143" t="s">
        <v>9</v>
      </c>
      <c r="E9" s="144" t="s">
        <v>18</v>
      </c>
      <c r="F9" s="144" t="s">
        <v>149</v>
      </c>
      <c r="G9" s="145" t="s">
        <v>31</v>
      </c>
      <c r="H9" s="144" t="s">
        <v>0</v>
      </c>
      <c r="J9" s="143" t="s">
        <v>9</v>
      </c>
      <c r="K9" s="144" t="s">
        <v>18</v>
      </c>
      <c r="L9" s="144" t="s">
        <v>68</v>
      </c>
      <c r="M9" s="145" t="s">
        <v>31</v>
      </c>
      <c r="N9" s="144" t="s">
        <v>0</v>
      </c>
    </row>
    <row r="10" spans="2:14" ht="12" customHeight="1" x14ac:dyDescent="0.25">
      <c r="B10" s="8" t="s">
        <v>137</v>
      </c>
      <c r="C10" s="6" t="s">
        <v>66</v>
      </c>
      <c r="D10" s="146" t="s">
        <v>145</v>
      </c>
      <c r="E10" s="173" t="s">
        <v>1</v>
      </c>
      <c r="F10" s="147">
        <f ca="1">Knoop.Mvt_Tot!H36+Knoop.Mvt_Tot!I36</f>
        <v>1059</v>
      </c>
      <c r="G10" s="148">
        <f ca="1">Knoop.Mvt_Tot!G36</f>
        <v>928</v>
      </c>
      <c r="H10" s="147">
        <f ca="1">SUM(E10:G10)</f>
        <v>1987</v>
      </c>
      <c r="J10" s="146" t="s">
        <v>145</v>
      </c>
      <c r="K10" s="147" t="s">
        <v>1</v>
      </c>
      <c r="L10" s="147">
        <f ca="1">Knoop.Mvt_Tot!H37+Knoop.Mvt_Tot!I37</f>
        <v>1466</v>
      </c>
      <c r="M10" s="148">
        <f ca="1">Knoop.Mvt_Tot!G37</f>
        <v>1344</v>
      </c>
      <c r="N10" s="147">
        <f ca="1">SUM(K10:M10)</f>
        <v>2810</v>
      </c>
    </row>
    <row r="11" spans="2:14" ht="12" customHeight="1" x14ac:dyDescent="0.25">
      <c r="B11" s="8" t="s">
        <v>132</v>
      </c>
      <c r="C11" s="6" t="s">
        <v>66</v>
      </c>
      <c r="D11" s="141" t="s">
        <v>148</v>
      </c>
      <c r="E11" s="25">
        <f ca="1">Knoop.Mvt_Tot!J36</f>
        <v>2288</v>
      </c>
      <c r="F11" s="174" t="s">
        <v>1</v>
      </c>
      <c r="G11" s="58">
        <f ca="1">Knoop.Mvt_Tot!K36</f>
        <v>677</v>
      </c>
      <c r="H11" s="25">
        <f t="shared" ref="H11:H13" ca="1" si="0">SUM(E11:G11)</f>
        <v>2965</v>
      </c>
      <c r="J11" s="141" t="s">
        <v>146</v>
      </c>
      <c r="K11" s="25">
        <f ca="1">Knoop.Mvt_Tot!J37</f>
        <v>1702</v>
      </c>
      <c r="L11" s="25" t="s">
        <v>1</v>
      </c>
      <c r="M11" s="58">
        <f ca="1">Knoop.Mvt_Tot!K37</f>
        <v>689</v>
      </c>
      <c r="N11" s="25">
        <f t="shared" ref="N11:N13" ca="1" si="1">SUM(K11:M11)</f>
        <v>2391</v>
      </c>
    </row>
    <row r="12" spans="2:14" ht="12" customHeight="1" x14ac:dyDescent="0.25">
      <c r="B12" s="8" t="s">
        <v>133</v>
      </c>
      <c r="C12" s="6" t="s">
        <v>66</v>
      </c>
      <c r="D12" s="146" t="s">
        <v>147</v>
      </c>
      <c r="E12" s="147">
        <f ca="1">Knoop.Mvt_Tot!N36</f>
        <v>1233</v>
      </c>
      <c r="F12" s="147">
        <f ca="1">Knoop.Mvt_Tot!L36+Knoop.Mvt_Tot!M36</f>
        <v>1166</v>
      </c>
      <c r="G12" s="175" t="s">
        <v>1</v>
      </c>
      <c r="H12" s="147">
        <f t="shared" ca="1" si="0"/>
        <v>2399</v>
      </c>
      <c r="J12" s="146" t="s">
        <v>147</v>
      </c>
      <c r="K12" s="147">
        <f ca="1">Knoop.Mvt_Tot!N37</f>
        <v>984</v>
      </c>
      <c r="L12" s="147">
        <f ca="1">Knoop.Mvt_Tot!L37+Knoop.Mvt_Tot!M37</f>
        <v>1292</v>
      </c>
      <c r="M12" s="148" t="s">
        <v>1</v>
      </c>
      <c r="N12" s="147">
        <f t="shared" ca="1" si="1"/>
        <v>2276</v>
      </c>
    </row>
    <row r="13" spans="2:14" ht="12" customHeight="1" x14ac:dyDescent="0.25">
      <c r="B13" s="8" t="s">
        <v>134</v>
      </c>
      <c r="C13" s="6" t="s">
        <v>66</v>
      </c>
      <c r="D13" s="142" t="s">
        <v>0</v>
      </c>
      <c r="E13" s="54">
        <f ca="1">SUM(E10:E12)</f>
        <v>3521</v>
      </c>
      <c r="F13" s="54">
        <f t="shared" ref="F13:G13" ca="1" si="2">SUM(F10:F12)</f>
        <v>2225</v>
      </c>
      <c r="G13" s="55">
        <f t="shared" ca="1" si="2"/>
        <v>1605</v>
      </c>
      <c r="H13" s="56">
        <f t="shared" ca="1" si="0"/>
        <v>7351</v>
      </c>
      <c r="J13" s="142" t="s">
        <v>0</v>
      </c>
      <c r="K13" s="54">
        <f ca="1">SUM(K10:K12)</f>
        <v>2686</v>
      </c>
      <c r="L13" s="54">
        <f t="shared" ref="L13:M13" ca="1" si="3">SUM(L10:L12)</f>
        <v>2758</v>
      </c>
      <c r="M13" s="55">
        <f t="shared" ca="1" si="3"/>
        <v>2033</v>
      </c>
      <c r="N13" s="56">
        <f t="shared" ca="1" si="1"/>
        <v>7477</v>
      </c>
    </row>
    <row r="14" spans="2:14" s="5" customFormat="1" ht="12" customHeight="1" x14ac:dyDescent="0.25">
      <c r="B14" s="8" t="s">
        <v>135</v>
      </c>
      <c r="C14" s="6" t="s">
        <v>66</v>
      </c>
      <c r="D14" s="59"/>
      <c r="E14" s="60"/>
      <c r="F14" s="61"/>
      <c r="G14" s="62"/>
      <c r="H14" s="61"/>
      <c r="J14" s="59"/>
      <c r="K14" s="60"/>
      <c r="L14" s="61"/>
      <c r="M14" s="62"/>
      <c r="N14" s="61"/>
    </row>
    <row r="15" spans="2:14" s="5" customFormat="1" ht="12" customHeight="1" x14ac:dyDescent="0.25">
      <c r="C15" s="6" t="s">
        <v>66</v>
      </c>
    </row>
    <row r="16" spans="2:14" s="5" customFormat="1" ht="12" customHeight="1" x14ac:dyDescent="0.25">
      <c r="B16" s="9" t="s">
        <v>2</v>
      </c>
      <c r="C16" s="6" t="s">
        <v>66</v>
      </c>
      <c r="D16" s="5" t="str">
        <f>"Drukste uur ochtend: "&amp;TEXT(INFO!$B$28,"uu:mm")&amp; " - "&amp;TEXT(INFO!$C$28,"uu:mm")&amp;" uur"</f>
        <v>Drukste uur ochtend: 07:30 - 08:30 uur</v>
      </c>
      <c r="J16" s="5" t="str">
        <f>"Drukste uur avond: "&amp;TEXT(INFO!$B$29,"uu:mm")&amp; " - "&amp;TEXT(INFO!$C$29,"uu:mm")&amp;" uur"</f>
        <v>Drukste uur avond: 16:45 - 17:45 uur</v>
      </c>
    </row>
    <row r="17" spans="2:15" s="5" customFormat="1" ht="12" customHeight="1" x14ac:dyDescent="0.25">
      <c r="B17" s="8" t="str">
        <f>"Meetdag: "&amp;INFO!$B$11</f>
        <v>Meetdag: Donderdag 3 oktober 2019</v>
      </c>
      <c r="C17" s="6" t="s">
        <v>66</v>
      </c>
    </row>
    <row r="18" spans="2:15" s="5" customFormat="1" ht="12" customHeight="1" x14ac:dyDescent="0.25">
      <c r="B18" s="8" t="str">
        <f>"Methodiek: "&amp;INFO!$B$13</f>
        <v>Methodiek: Video + auto. beeldverwerking / ANPR</v>
      </c>
      <c r="C18" s="6" t="s">
        <v>66</v>
      </c>
      <c r="O18" s="57"/>
    </row>
    <row r="19" spans="2:15" s="5" customFormat="1" ht="12" customHeight="1" x14ac:dyDescent="0.25">
      <c r="B19" s="8" t="str">
        <f>"In opdracht van: "&amp;INFO!$B$12</f>
        <v>In opdracht van: Agentschap Wegen en Verkeer</v>
      </c>
      <c r="C19" s="6" t="s">
        <v>66</v>
      </c>
      <c r="O19" s="57"/>
    </row>
    <row r="20" spans="2:15" s="5" customFormat="1" ht="12" customHeight="1" x14ac:dyDescent="0.25">
      <c r="B20" s="8" t="s">
        <v>3</v>
      </c>
      <c r="C20" s="6" t="s">
        <v>66</v>
      </c>
      <c r="O20" s="57"/>
    </row>
    <row r="21" spans="2:15" s="5" customFormat="1" ht="12" customHeight="1" x14ac:dyDescent="0.25">
      <c r="B21" s="8"/>
      <c r="C21" s="6" t="s">
        <v>66</v>
      </c>
      <c r="O21" s="57"/>
    </row>
    <row r="22" spans="2:15" s="5" customFormat="1" ht="12" customHeight="1" x14ac:dyDescent="0.25">
      <c r="B22" s="9" t="s">
        <v>87</v>
      </c>
      <c r="C22" s="6" t="s">
        <v>66</v>
      </c>
      <c r="O22" s="57"/>
    </row>
    <row r="23" spans="2:15" s="5" customFormat="1" ht="12" customHeight="1" x14ac:dyDescent="0.25">
      <c r="B23" s="8" t="str">
        <f>"Dossier: "&amp;INFO!$B$5</f>
        <v>Dossier: MDN75-WVL047</v>
      </c>
      <c r="C23" s="6" t="s">
        <v>66</v>
      </c>
      <c r="O23" s="57"/>
    </row>
    <row r="24" spans="2:15" s="5" customFormat="1" ht="12" customHeight="1" x14ac:dyDescent="0.25">
      <c r="B24" s="8" t="str">
        <f>"V-plan: "&amp;INFO!$B$6</f>
        <v>V-plan: -</v>
      </c>
      <c r="C24" s="6" t="s">
        <v>66</v>
      </c>
      <c r="O24" s="57"/>
    </row>
    <row r="25" spans="2:15" s="5" customFormat="1" ht="12" customHeight="1" x14ac:dyDescent="0.25">
      <c r="B25" s="8" t="str">
        <f>"Provincie: "&amp;INFO!$B$7</f>
        <v>Provincie: West-Vlaanderen</v>
      </c>
      <c r="C25" s="6" t="s">
        <v>66</v>
      </c>
      <c r="O25" s="57"/>
    </row>
    <row r="26" spans="2:15" s="5" customFormat="1" ht="12" customHeight="1" x14ac:dyDescent="0.25">
      <c r="B26" s="8" t="str">
        <f>"Gemeente: "&amp;INFO!$B$8</f>
        <v>Gemeente: Kortrijk</v>
      </c>
      <c r="C26" s="6" t="s">
        <v>66</v>
      </c>
      <c r="O26" s="57"/>
    </row>
    <row r="27" spans="2:15" s="5" customFormat="1" ht="12" customHeight="1" x14ac:dyDescent="0.25">
      <c r="B27" s="8" t="str">
        <f>"Deelgemeente: "&amp;INFO!$B$9</f>
        <v>Deelgemeente: Kortrijk</v>
      </c>
      <c r="C27" s="6" t="s">
        <v>66</v>
      </c>
      <c r="O27" s="57"/>
    </row>
    <row r="28" spans="2:15" s="5" customFormat="1" ht="12" customHeight="1" x14ac:dyDescent="0.25">
      <c r="B28" s="8" t="str">
        <f>"Weer: "&amp;INFO!$B$10</f>
        <v>Weer: Droog, geheel bewolkt, 15 °C</v>
      </c>
      <c r="C28" s="6" t="s">
        <v>66</v>
      </c>
      <c r="O28" s="57"/>
    </row>
    <row r="29" spans="2:15" s="5" customFormat="1" ht="12" customHeight="1" x14ac:dyDescent="0.25">
      <c r="B29" s="8"/>
      <c r="C29" s="6" t="s">
        <v>66</v>
      </c>
      <c r="O29" s="57"/>
    </row>
    <row r="30" spans="2:15" s="5" customFormat="1" ht="12" customHeight="1" x14ac:dyDescent="0.25">
      <c r="B30" s="9" t="s">
        <v>98</v>
      </c>
      <c r="C30" s="6" t="s">
        <v>66</v>
      </c>
      <c r="O30" s="57"/>
    </row>
    <row r="31" spans="2:15" s="5" customFormat="1" ht="12" customHeight="1" x14ac:dyDescent="0.25">
      <c r="B31" s="5" t="s">
        <v>138</v>
      </c>
      <c r="C31" s="6" t="s">
        <v>66</v>
      </c>
      <c r="O31" s="57"/>
    </row>
    <row r="32" spans="2:15" s="5" customFormat="1" ht="12" customHeight="1" x14ac:dyDescent="0.25">
      <c r="B32" s="5" t="s">
        <v>140</v>
      </c>
      <c r="C32" s="6" t="s">
        <v>66</v>
      </c>
      <c r="O32" s="57"/>
    </row>
    <row r="33" spans="2:15" s="5" customFormat="1" ht="12" customHeight="1" x14ac:dyDescent="0.25">
      <c r="B33" s="5" t="s">
        <v>150</v>
      </c>
      <c r="C33" s="6" t="s">
        <v>66</v>
      </c>
      <c r="O33" s="57"/>
    </row>
    <row r="34" spans="2:15" s="5" customFormat="1" ht="12" customHeight="1" x14ac:dyDescent="0.25">
      <c r="B34" s="8" t="s">
        <v>151</v>
      </c>
      <c r="C34" s="6" t="s">
        <v>66</v>
      </c>
      <c r="O34" s="57"/>
    </row>
    <row r="35" spans="2:15" s="5" customFormat="1" ht="12" customHeight="1" x14ac:dyDescent="0.25">
      <c r="B35" s="8" t="s">
        <v>152</v>
      </c>
      <c r="C35" s="6" t="s">
        <v>66</v>
      </c>
      <c r="O35" s="57"/>
    </row>
    <row r="36" spans="2:15" s="5" customFormat="1" ht="12" customHeight="1" x14ac:dyDescent="0.25">
      <c r="B36" s="8" t="s">
        <v>153</v>
      </c>
      <c r="C36" s="6" t="s">
        <v>66</v>
      </c>
      <c r="O36" s="57"/>
    </row>
    <row r="37" spans="2:15" s="5" customFormat="1" ht="12" customHeight="1" x14ac:dyDescent="0.25">
      <c r="B37" s="8"/>
      <c r="C37" s="6" t="s">
        <v>66</v>
      </c>
      <c r="O37" s="57"/>
    </row>
    <row r="38" spans="2:15" s="5" customFormat="1" ht="12" customHeight="1" x14ac:dyDescent="0.25">
      <c r="B38" s="8"/>
      <c r="C38" s="6" t="s">
        <v>66</v>
      </c>
      <c r="O38" s="57"/>
    </row>
    <row r="39" spans="2:15" s="5" customFormat="1" ht="12" customHeight="1" x14ac:dyDescent="0.25">
      <c r="B39" s="8"/>
      <c r="C39" s="6" t="s">
        <v>66</v>
      </c>
      <c r="O39" s="57"/>
    </row>
    <row r="40" spans="2:15" s="5" customFormat="1" ht="12" customHeight="1" x14ac:dyDescent="0.25">
      <c r="B40" s="8"/>
      <c r="C40" s="6" t="s">
        <v>66</v>
      </c>
      <c r="O40" s="57"/>
    </row>
    <row r="41" spans="2:15" s="5" customFormat="1" ht="12" customHeight="1" x14ac:dyDescent="0.25">
      <c r="B41" s="8"/>
      <c r="C41" s="6" t="s">
        <v>66</v>
      </c>
      <c r="O41" s="57"/>
    </row>
    <row r="42" spans="2:15" s="5" customFormat="1" ht="12" customHeight="1" x14ac:dyDescent="0.25">
      <c r="B42" s="8"/>
      <c r="C42" s="6" t="s">
        <v>66</v>
      </c>
      <c r="O42" s="57"/>
    </row>
    <row r="43" spans="2:15" s="5" customFormat="1" ht="12" customHeight="1" x14ac:dyDescent="0.25">
      <c r="B43" s="8"/>
      <c r="C43" s="6" t="s">
        <v>66</v>
      </c>
      <c r="O43" s="57"/>
    </row>
    <row r="44" spans="2:15" s="5" customFormat="1" ht="12" customHeight="1" x14ac:dyDescent="0.25">
      <c r="B44" s="8"/>
      <c r="C44" s="6" t="s">
        <v>66</v>
      </c>
      <c r="O44" s="57"/>
    </row>
    <row r="45" spans="2:15" s="5" customFormat="1" ht="12" customHeight="1" x14ac:dyDescent="0.25">
      <c r="B45" s="8"/>
      <c r="C45" s="6" t="s">
        <v>66</v>
      </c>
    </row>
    <row r="46" spans="2:15" s="5" customFormat="1" ht="12" customHeight="1" x14ac:dyDescent="0.25">
      <c r="B46" s="8"/>
      <c r="C46" s="6" t="s">
        <v>66</v>
      </c>
    </row>
    <row r="47" spans="2:15" s="5" customFormat="1" ht="12" customHeight="1" x14ac:dyDescent="0.25">
      <c r="B47" s="8"/>
      <c r="C47" s="6" t="s">
        <v>66</v>
      </c>
    </row>
    <row r="48" spans="2:15" s="5" customFormat="1" ht="12" customHeight="1" x14ac:dyDescent="0.25">
      <c r="B48" s="8"/>
      <c r="C48" s="6" t="s">
        <v>66</v>
      </c>
    </row>
    <row r="49" spans="1:15" s="5" customFormat="1" ht="12" customHeight="1" x14ac:dyDescent="0.25">
      <c r="C49" s="6" t="s">
        <v>66</v>
      </c>
    </row>
    <row r="50" spans="1:15" s="5" customFormat="1" ht="12" customHeight="1" x14ac:dyDescent="0.25">
      <c r="C50" s="6" t="s">
        <v>66</v>
      </c>
    </row>
    <row r="51" spans="1:15" s="5" customFormat="1" ht="12" customHeight="1" x14ac:dyDescent="0.25">
      <c r="C51" s="6" t="s">
        <v>66</v>
      </c>
    </row>
    <row r="52" spans="1:15" s="5" customFormat="1" ht="12" customHeight="1" x14ac:dyDescent="0.2"/>
    <row r="53" spans="1:15" s="5" customFormat="1" ht="12" customHeight="1" x14ac:dyDescent="0.2"/>
    <row r="54" spans="1:15" s="5" customFormat="1" ht="12" customHeight="1" x14ac:dyDescent="0.2"/>
    <row r="55" spans="1:15" ht="12" customHeight="1" x14ac:dyDescent="0.2">
      <c r="E55" s="2"/>
      <c r="K55" s="2"/>
    </row>
    <row r="56" spans="1:15" ht="12" customHeight="1" x14ac:dyDescent="0.2">
      <c r="E56" s="2"/>
      <c r="K56" s="2"/>
    </row>
    <row r="57" spans="1:15" ht="12" customHeight="1" x14ac:dyDescent="0.2">
      <c r="E57" s="2"/>
      <c r="K57" s="2"/>
    </row>
    <row r="58" spans="1:15" ht="12" customHeight="1" x14ac:dyDescent="0.2">
      <c r="E58" s="2"/>
      <c r="K58" s="2"/>
    </row>
    <row r="59" spans="1:15" ht="12" customHeight="1" x14ac:dyDescent="0.2">
      <c r="E59" s="2"/>
      <c r="K59" s="2"/>
    </row>
    <row r="60" spans="1:15" ht="12" customHeight="1" x14ac:dyDescent="0.2">
      <c r="E60" s="2"/>
      <c r="K60" s="2"/>
    </row>
    <row r="61" spans="1:15" ht="12" customHeight="1" x14ac:dyDescent="0.2">
      <c r="E61" s="2"/>
      <c r="K61" s="2"/>
    </row>
    <row r="62" spans="1:15" s="2" customFormat="1" ht="12" customHeight="1" x14ac:dyDescent="0.2">
      <c r="A62" s="5"/>
      <c r="B62" s="5"/>
      <c r="C62" s="5"/>
      <c r="D62" s="1"/>
      <c r="I62" s="5"/>
      <c r="J62" s="1"/>
      <c r="O62" s="5"/>
    </row>
    <row r="63" spans="1:15" s="2" customFormat="1" ht="12" customHeight="1" x14ac:dyDescent="0.2">
      <c r="A63" s="5"/>
      <c r="B63" s="5"/>
      <c r="C63" s="5"/>
      <c r="D63" s="1"/>
      <c r="I63" s="5"/>
      <c r="J63" s="1"/>
      <c r="O63" s="5"/>
    </row>
  </sheetData>
  <mergeCells count="2">
    <mergeCell ref="D6:H7"/>
    <mergeCell ref="J6:N7"/>
  </mergeCells>
  <pageMargins left="0.39370078740157483" right="0.39370078740157483" top="0.59055118110236227" bottom="0.59055118110236227" header="0.31496062992125984" footer="0.39370078740157483"/>
  <pageSetup paperSize="9" scale="75" orientation="landscape" r:id="rId1"/>
  <headerFooter>
    <oddHeader>&amp;A</oddHeader>
    <oddFooter>&amp;L&amp;"Core Sans NR 45 Regular,Standaard"&amp;12&amp;K03+000&amp;P&amp;R&amp;"Core Sans NR 45 Regular,Vet"&amp;16&amp;K03+000DUFEC</oddFooter>
  </headerFooter>
  <rowBreaks count="1" manualBreakCount="1">
    <brk id="52" min="1" max="2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6">
    <pageSetUpPr autoPageBreaks="0"/>
  </sheetPr>
  <dimension ref="A1:AE67"/>
  <sheetViews>
    <sheetView showGridLines="0" zoomScaleNormal="100" zoomScaleSheetLayoutView="100" workbookViewId="0"/>
  </sheetViews>
  <sheetFormatPr defaultColWidth="8.83203125" defaultRowHeight="12" customHeight="1" x14ac:dyDescent="0.2"/>
  <cols>
    <col min="1" max="1" width="2.83203125" style="5" customWidth="1"/>
    <col min="2" max="2" width="42.83203125" style="5" customWidth="1"/>
    <col min="3" max="3" width="2.83203125" style="5" customWidth="1"/>
    <col min="4" max="4" width="5.83203125" style="1" customWidth="1"/>
    <col min="5" max="5" width="1" style="1" customWidth="1"/>
    <col min="6" max="6" width="5.83203125" style="1" customWidth="1"/>
    <col min="7" max="14" width="10.83203125" style="22" customWidth="1"/>
    <col min="15" max="15" width="8.83203125" style="1"/>
    <col min="16" max="16" width="5.83203125" style="1" customWidth="1"/>
    <col min="17" max="17" width="1" style="1" customWidth="1"/>
    <col min="18" max="18" width="5.83203125" style="1" customWidth="1"/>
    <col min="19" max="27" width="6.83203125" style="22" customWidth="1"/>
    <col min="28" max="16384" width="8.83203125" style="1"/>
  </cols>
  <sheetData>
    <row r="1" spans="2:31" ht="12" customHeight="1" x14ac:dyDescent="0.2">
      <c r="D1" s="5"/>
      <c r="E1" s="5"/>
      <c r="F1" s="5"/>
      <c r="G1" s="11"/>
      <c r="H1" s="11"/>
      <c r="I1" s="11"/>
      <c r="J1" s="11"/>
      <c r="K1" s="11"/>
      <c r="L1" s="11"/>
      <c r="M1" s="11"/>
      <c r="N1" s="11"/>
      <c r="P1" s="5"/>
      <c r="Q1" s="5"/>
      <c r="R1" s="5"/>
      <c r="S1" s="11"/>
      <c r="T1" s="11"/>
      <c r="U1" s="11"/>
      <c r="V1" s="11"/>
      <c r="W1" s="11"/>
      <c r="X1" s="11"/>
      <c r="Y1" s="11"/>
      <c r="Z1" s="11"/>
      <c r="AA1" s="11"/>
    </row>
    <row r="2" spans="2:31" ht="24" customHeight="1" x14ac:dyDescent="0.25">
      <c r="B2" s="13" t="s">
        <v>5</v>
      </c>
      <c r="C2" s="6" t="s">
        <v>66</v>
      </c>
      <c r="D2" s="13" t="str">
        <f>UPPER(B8)</f>
        <v>A19 / R8 KNOOPPUNT KORTRIJK-WEST</v>
      </c>
      <c r="E2" s="13"/>
      <c r="F2" s="13"/>
      <c r="G2" s="19"/>
      <c r="H2" s="19"/>
      <c r="I2" s="19"/>
      <c r="J2" s="19"/>
      <c r="K2" s="19"/>
      <c r="L2" s="19"/>
      <c r="M2" s="19"/>
      <c r="N2" s="19"/>
      <c r="P2" s="13"/>
      <c r="Q2" s="13"/>
      <c r="R2" s="13"/>
      <c r="S2" s="19"/>
      <c r="T2" s="19"/>
      <c r="U2" s="19"/>
      <c r="V2" s="19"/>
      <c r="W2" s="19"/>
      <c r="X2" s="19"/>
      <c r="Y2" s="19"/>
      <c r="Z2" s="19"/>
      <c r="AA2" s="19"/>
    </row>
    <row r="3" spans="2:31" ht="24" customHeight="1" x14ac:dyDescent="0.25">
      <c r="B3" s="12" t="s">
        <v>6</v>
      </c>
      <c r="C3" s="6" t="s">
        <v>66</v>
      </c>
      <c r="D3" s="12" t="s">
        <v>137</v>
      </c>
      <c r="E3" s="12"/>
      <c r="F3" s="12"/>
      <c r="G3" s="20"/>
      <c r="H3" s="20"/>
      <c r="I3" s="20"/>
      <c r="J3" s="20"/>
      <c r="K3" s="20"/>
      <c r="L3" s="20"/>
      <c r="M3" s="20"/>
      <c r="N3" s="20"/>
      <c r="P3" s="12"/>
      <c r="Q3" s="12"/>
      <c r="R3" s="12"/>
      <c r="S3" s="20"/>
      <c r="T3" s="20"/>
      <c r="U3" s="20"/>
      <c r="V3" s="20"/>
      <c r="W3" s="20"/>
      <c r="X3" s="20"/>
      <c r="Y3" s="20"/>
      <c r="Z3" s="20"/>
      <c r="AA3" s="20"/>
    </row>
    <row r="4" spans="2:31" ht="12" customHeight="1" x14ac:dyDescent="0.25">
      <c r="B4" s="7"/>
      <c r="C4" s="6" t="s">
        <v>66</v>
      </c>
      <c r="D4" s="7"/>
      <c r="E4" s="7"/>
      <c r="F4" s="7"/>
      <c r="G4" s="21"/>
      <c r="H4" s="21"/>
      <c r="I4" s="21"/>
      <c r="J4" s="21"/>
      <c r="K4" s="21"/>
      <c r="L4" s="21"/>
      <c r="M4" s="21"/>
      <c r="N4" s="21"/>
      <c r="P4" s="7"/>
      <c r="Q4" s="7"/>
      <c r="R4" s="7"/>
      <c r="S4" s="21"/>
      <c r="T4" s="21"/>
      <c r="U4" s="21"/>
      <c r="V4" s="21"/>
      <c r="W4" s="21"/>
      <c r="X4" s="21"/>
      <c r="Y4" s="21"/>
      <c r="Z4" s="21"/>
      <c r="AA4" s="21"/>
    </row>
    <row r="5" spans="2:31" ht="12" customHeight="1" x14ac:dyDescent="0.25">
      <c r="B5" s="7"/>
      <c r="C5" s="6" t="s">
        <v>66</v>
      </c>
      <c r="D5" s="5"/>
      <c r="E5" s="5"/>
      <c r="F5" s="5"/>
      <c r="G5" s="11"/>
      <c r="H5" s="11"/>
      <c r="I5" s="11"/>
      <c r="J5" s="11"/>
      <c r="K5" s="11"/>
      <c r="L5" s="11"/>
      <c r="M5" s="11"/>
      <c r="N5" s="11"/>
      <c r="P5" s="5"/>
      <c r="Q5" s="5"/>
      <c r="R5" s="5"/>
      <c r="S5" s="11"/>
      <c r="T5" s="11"/>
      <c r="U5" s="11"/>
      <c r="V5" s="11"/>
      <c r="W5" s="11"/>
      <c r="X5" s="11"/>
      <c r="Y5" s="11"/>
      <c r="Z5" s="11"/>
      <c r="AA5" s="11"/>
    </row>
    <row r="6" spans="2:31" ht="12" customHeight="1" x14ac:dyDescent="0.25">
      <c r="B6" s="8"/>
      <c r="C6" s="6" t="s">
        <v>66</v>
      </c>
      <c r="D6" s="179" t="s">
        <v>122</v>
      </c>
      <c r="E6" s="179"/>
      <c r="F6" s="179"/>
      <c r="G6" s="179"/>
      <c r="H6" s="179"/>
      <c r="I6" s="179"/>
      <c r="J6" s="179"/>
      <c r="K6" s="179"/>
      <c r="L6" s="179"/>
      <c r="M6" s="176"/>
      <c r="N6" s="176"/>
      <c r="P6" s="179" t="s">
        <v>131</v>
      </c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</row>
    <row r="7" spans="2:31" ht="12" customHeight="1" x14ac:dyDescent="0.25">
      <c r="B7" s="9" t="s">
        <v>7</v>
      </c>
      <c r="C7" s="6" t="s">
        <v>66</v>
      </c>
      <c r="D7" s="179"/>
      <c r="E7" s="179"/>
      <c r="F7" s="179"/>
      <c r="G7" s="179"/>
      <c r="H7" s="179"/>
      <c r="I7" s="179"/>
      <c r="J7" s="179"/>
      <c r="K7" s="179"/>
      <c r="L7" s="179"/>
      <c r="M7" s="176"/>
      <c r="N7" s="176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</row>
    <row r="8" spans="2:31" ht="12" customHeight="1" x14ac:dyDescent="0.25">
      <c r="B8" s="8" t="s">
        <v>136</v>
      </c>
      <c r="C8" s="6" t="s">
        <v>66</v>
      </c>
      <c r="D8" s="14"/>
      <c r="E8" s="14"/>
      <c r="F8" s="136"/>
      <c r="G8" s="49" t="s">
        <v>72</v>
      </c>
      <c r="H8" s="23"/>
      <c r="I8" s="23"/>
      <c r="J8" s="49" t="s">
        <v>73</v>
      </c>
      <c r="K8" s="23"/>
      <c r="L8" s="49" t="s">
        <v>74</v>
      </c>
      <c r="M8" s="23"/>
      <c r="N8" s="23"/>
      <c r="P8" s="14"/>
      <c r="Q8" s="14"/>
      <c r="R8" s="35"/>
      <c r="S8" s="49" t="s">
        <v>72</v>
      </c>
      <c r="T8" s="23"/>
      <c r="U8" s="39"/>
      <c r="V8" s="23" t="s">
        <v>73</v>
      </c>
      <c r="W8" s="23"/>
      <c r="X8" s="23"/>
      <c r="Y8" s="49" t="s">
        <v>74</v>
      </c>
      <c r="Z8" s="23"/>
      <c r="AA8" s="23"/>
    </row>
    <row r="9" spans="2:31" ht="12" customHeight="1" x14ac:dyDescent="0.25">
      <c r="C9" s="6" t="s">
        <v>66</v>
      </c>
      <c r="D9" s="14"/>
      <c r="E9" s="14"/>
      <c r="F9" s="14"/>
      <c r="G9" s="10" t="s">
        <v>123</v>
      </c>
      <c r="H9" s="4" t="s">
        <v>124</v>
      </c>
      <c r="I9" s="4" t="s">
        <v>125</v>
      </c>
      <c r="J9" s="10" t="s">
        <v>126</v>
      </c>
      <c r="K9" s="4" t="s">
        <v>127</v>
      </c>
      <c r="L9" s="10" t="s">
        <v>128</v>
      </c>
      <c r="M9" s="4" t="s">
        <v>129</v>
      </c>
      <c r="N9" s="4" t="s">
        <v>130</v>
      </c>
      <c r="P9" s="14"/>
      <c r="Q9" s="14"/>
      <c r="R9" s="36"/>
      <c r="S9" s="10" t="s">
        <v>9</v>
      </c>
      <c r="T9" s="4" t="s">
        <v>8</v>
      </c>
      <c r="U9" s="3" t="s">
        <v>65</v>
      </c>
      <c r="V9" s="4" t="s">
        <v>9</v>
      </c>
      <c r="W9" s="4" t="s">
        <v>8</v>
      </c>
      <c r="X9" s="4" t="s">
        <v>65</v>
      </c>
      <c r="Y9" s="10" t="s">
        <v>9</v>
      </c>
      <c r="Z9" s="4" t="s">
        <v>8</v>
      </c>
      <c r="AA9" s="4" t="s">
        <v>65</v>
      </c>
    </row>
    <row r="10" spans="2:31" ht="12" customHeight="1" x14ac:dyDescent="0.25">
      <c r="B10" s="8" t="s">
        <v>137</v>
      </c>
      <c r="C10" s="6" t="s">
        <v>66</v>
      </c>
      <c r="D10" s="43" t="s">
        <v>4</v>
      </c>
      <c r="E10" s="43"/>
      <c r="F10" s="43"/>
      <c r="G10" s="44"/>
      <c r="H10" s="41"/>
      <c r="I10" s="41"/>
      <c r="J10" s="44"/>
      <c r="K10" s="41"/>
      <c r="L10" s="44"/>
      <c r="M10" s="41"/>
      <c r="N10" s="41"/>
      <c r="P10" s="43" t="s">
        <v>4</v>
      </c>
      <c r="Q10" s="43"/>
      <c r="R10" s="43"/>
      <c r="S10" s="44"/>
      <c r="T10" s="41"/>
      <c r="U10" s="42"/>
      <c r="V10" s="41"/>
      <c r="W10" s="41"/>
      <c r="X10" s="41"/>
      <c r="Y10" s="44"/>
      <c r="Z10" s="41"/>
      <c r="AA10" s="41"/>
      <c r="AC10" s="177"/>
      <c r="AD10" s="177"/>
      <c r="AE10" s="177"/>
    </row>
    <row r="11" spans="2:31" ht="12" customHeight="1" x14ac:dyDescent="0.25">
      <c r="B11" s="8" t="s">
        <v>132</v>
      </c>
      <c r="C11" s="6" t="s">
        <v>66</v>
      </c>
      <c r="D11" s="32">
        <v>0.29166666666666669</v>
      </c>
      <c r="E11" s="32" t="s">
        <v>1</v>
      </c>
      <c r="F11" s="32">
        <v>0.30208333333333337</v>
      </c>
      <c r="G11" s="63">
        <v>133</v>
      </c>
      <c r="H11" s="17">
        <v>75</v>
      </c>
      <c r="I11" s="17">
        <v>92</v>
      </c>
      <c r="J11" s="15">
        <v>450</v>
      </c>
      <c r="K11" s="16">
        <v>169</v>
      </c>
      <c r="L11" s="15">
        <v>60</v>
      </c>
      <c r="M11" s="16">
        <v>109</v>
      </c>
      <c r="N11" s="16">
        <v>158</v>
      </c>
      <c r="P11" s="32">
        <v>0.29166666666666669</v>
      </c>
      <c r="Q11" s="32" t="s">
        <v>1</v>
      </c>
      <c r="R11" s="37">
        <f t="shared" ref="R11:R26" si="0">P11+15/1440</f>
        <v>0.30208333333333337</v>
      </c>
      <c r="S11" s="63">
        <f>SUM(G11:I11)</f>
        <v>300</v>
      </c>
      <c r="T11" s="17">
        <f>SUM(J11,N11)</f>
        <v>608</v>
      </c>
      <c r="U11" s="18">
        <f>SUM(S11:T11)</f>
        <v>908</v>
      </c>
      <c r="V11" s="16">
        <f>SUM(J11:K11)</f>
        <v>619</v>
      </c>
      <c r="W11" s="16">
        <f>SUM(H11:I11,L11:M11)</f>
        <v>336</v>
      </c>
      <c r="X11" s="16">
        <f>SUM(V11:W11)</f>
        <v>955</v>
      </c>
      <c r="Y11" s="15">
        <f>SUM(L11:N11)</f>
        <v>327</v>
      </c>
      <c r="Z11" s="16">
        <f>SUM(G11,K11)</f>
        <v>302</v>
      </c>
      <c r="AA11" s="16">
        <f>SUM(Y11:Z11)</f>
        <v>629</v>
      </c>
      <c r="AC11" s="177"/>
      <c r="AD11" s="177"/>
      <c r="AE11" s="177"/>
    </row>
    <row r="12" spans="2:31" ht="12" customHeight="1" x14ac:dyDescent="0.25">
      <c r="B12" s="8" t="s">
        <v>133</v>
      </c>
      <c r="C12" s="6" t="s">
        <v>66</v>
      </c>
      <c r="D12" s="33">
        <v>0.30208333333333337</v>
      </c>
      <c r="E12" s="33" t="s">
        <v>1</v>
      </c>
      <c r="F12" s="33">
        <v>0.31250000000000006</v>
      </c>
      <c r="G12" s="64">
        <v>181</v>
      </c>
      <c r="H12" s="26">
        <v>94</v>
      </c>
      <c r="I12" s="26">
        <v>109</v>
      </c>
      <c r="J12" s="24">
        <v>489</v>
      </c>
      <c r="K12" s="25">
        <v>202</v>
      </c>
      <c r="L12" s="24">
        <v>99</v>
      </c>
      <c r="M12" s="25">
        <v>116</v>
      </c>
      <c r="N12" s="25">
        <v>229</v>
      </c>
      <c r="P12" s="33">
        <f t="shared" ref="P12:P18" si="1">R11</f>
        <v>0.30208333333333337</v>
      </c>
      <c r="Q12" s="33" t="s">
        <v>1</v>
      </c>
      <c r="R12" s="38">
        <f t="shared" si="0"/>
        <v>0.31250000000000006</v>
      </c>
      <c r="S12" s="64">
        <f t="shared" ref="S12:S37" si="2">SUM(G12:I12)</f>
        <v>384</v>
      </c>
      <c r="T12" s="26">
        <f t="shared" ref="T12:T37" si="3">SUM(J12,N12)</f>
        <v>718</v>
      </c>
      <c r="U12" s="27">
        <f t="shared" ref="U12:U37" si="4">SUM(S12:T12)</f>
        <v>1102</v>
      </c>
      <c r="V12" s="25">
        <f t="shared" ref="V12:V37" si="5">SUM(J12:K12)</f>
        <v>691</v>
      </c>
      <c r="W12" s="25">
        <f t="shared" ref="W12:W37" si="6">SUM(H12:I12,L12:M12)</f>
        <v>418</v>
      </c>
      <c r="X12" s="25">
        <f t="shared" ref="X12:X37" si="7">SUM(V12:W12)</f>
        <v>1109</v>
      </c>
      <c r="Y12" s="24">
        <f t="shared" ref="Y12:Y37" si="8">SUM(L12:N12)</f>
        <v>444</v>
      </c>
      <c r="Z12" s="25">
        <f t="shared" ref="Z12:Z37" si="9">SUM(G12,K12)</f>
        <v>383</v>
      </c>
      <c r="AA12" s="25">
        <f t="shared" ref="AA12:AA37" si="10">SUM(Y12:Z12)</f>
        <v>827</v>
      </c>
      <c r="AC12" s="177"/>
      <c r="AD12" s="177"/>
      <c r="AE12" s="177"/>
    </row>
    <row r="13" spans="2:31" ht="12" customHeight="1" x14ac:dyDescent="0.25">
      <c r="B13" s="8" t="s">
        <v>134</v>
      </c>
      <c r="C13" s="6" t="s">
        <v>66</v>
      </c>
      <c r="D13" s="32">
        <v>0.3125</v>
      </c>
      <c r="E13" s="32" t="s">
        <v>1</v>
      </c>
      <c r="F13" s="32">
        <v>0.32291666666666669</v>
      </c>
      <c r="G13" s="63">
        <v>257</v>
      </c>
      <c r="H13" s="17">
        <v>133</v>
      </c>
      <c r="I13" s="17">
        <v>151</v>
      </c>
      <c r="J13" s="15">
        <v>533</v>
      </c>
      <c r="K13" s="16">
        <v>173</v>
      </c>
      <c r="L13" s="15">
        <v>145</v>
      </c>
      <c r="M13" s="16">
        <v>181</v>
      </c>
      <c r="N13" s="16">
        <v>294</v>
      </c>
      <c r="P13" s="32">
        <f t="shared" si="1"/>
        <v>0.31250000000000006</v>
      </c>
      <c r="Q13" s="32" t="s">
        <v>1</v>
      </c>
      <c r="R13" s="37">
        <f t="shared" si="0"/>
        <v>0.32291666666666674</v>
      </c>
      <c r="S13" s="63">
        <f t="shared" si="2"/>
        <v>541</v>
      </c>
      <c r="T13" s="17">
        <f t="shared" si="3"/>
        <v>827</v>
      </c>
      <c r="U13" s="18">
        <f t="shared" si="4"/>
        <v>1368</v>
      </c>
      <c r="V13" s="16">
        <f t="shared" si="5"/>
        <v>706</v>
      </c>
      <c r="W13" s="16">
        <f t="shared" si="6"/>
        <v>610</v>
      </c>
      <c r="X13" s="16">
        <f t="shared" si="7"/>
        <v>1316</v>
      </c>
      <c r="Y13" s="15">
        <f t="shared" si="8"/>
        <v>620</v>
      </c>
      <c r="Z13" s="16">
        <f t="shared" si="9"/>
        <v>430</v>
      </c>
      <c r="AA13" s="16">
        <f t="shared" si="10"/>
        <v>1050</v>
      </c>
      <c r="AC13" s="177"/>
      <c r="AD13" s="177"/>
      <c r="AE13" s="177"/>
    </row>
    <row r="14" spans="2:31" ht="12" customHeight="1" x14ac:dyDescent="0.25">
      <c r="B14" s="8" t="s">
        <v>135</v>
      </c>
      <c r="C14" s="6" t="s">
        <v>66</v>
      </c>
      <c r="D14" s="33">
        <v>0.32291666666666669</v>
      </c>
      <c r="E14" s="33" t="s">
        <v>1</v>
      </c>
      <c r="F14" s="33">
        <v>0.33333333333333337</v>
      </c>
      <c r="G14" s="64">
        <v>279</v>
      </c>
      <c r="H14" s="26">
        <v>133</v>
      </c>
      <c r="I14" s="26">
        <v>143</v>
      </c>
      <c r="J14" s="24">
        <v>597</v>
      </c>
      <c r="K14" s="25">
        <v>154</v>
      </c>
      <c r="L14" s="24">
        <v>146</v>
      </c>
      <c r="M14" s="25">
        <v>170</v>
      </c>
      <c r="N14" s="25">
        <v>375</v>
      </c>
      <c r="P14" s="33">
        <f t="shared" si="1"/>
        <v>0.32291666666666674</v>
      </c>
      <c r="Q14" s="33" t="s">
        <v>1</v>
      </c>
      <c r="R14" s="38">
        <f t="shared" si="0"/>
        <v>0.33333333333333343</v>
      </c>
      <c r="S14" s="64">
        <f t="shared" si="2"/>
        <v>555</v>
      </c>
      <c r="T14" s="26">
        <f t="shared" si="3"/>
        <v>972</v>
      </c>
      <c r="U14" s="27">
        <f t="shared" si="4"/>
        <v>1527</v>
      </c>
      <c r="V14" s="25">
        <f t="shared" si="5"/>
        <v>751</v>
      </c>
      <c r="W14" s="25">
        <f t="shared" si="6"/>
        <v>592</v>
      </c>
      <c r="X14" s="25">
        <f t="shared" si="7"/>
        <v>1343</v>
      </c>
      <c r="Y14" s="24">
        <f t="shared" si="8"/>
        <v>691</v>
      </c>
      <c r="Z14" s="25">
        <f t="shared" si="9"/>
        <v>433</v>
      </c>
      <c r="AA14" s="25">
        <f t="shared" si="10"/>
        <v>1124</v>
      </c>
      <c r="AC14" s="177"/>
      <c r="AD14" s="177"/>
      <c r="AE14" s="177"/>
    </row>
    <row r="15" spans="2:31" ht="12" customHeight="1" x14ac:dyDescent="0.25">
      <c r="B15" s="8"/>
      <c r="C15" s="6" t="s">
        <v>66</v>
      </c>
      <c r="D15" s="32">
        <v>0.33333333333333337</v>
      </c>
      <c r="E15" s="32" t="s">
        <v>1</v>
      </c>
      <c r="F15" s="32">
        <v>0.34375000000000006</v>
      </c>
      <c r="G15" s="63">
        <v>192</v>
      </c>
      <c r="H15" s="17">
        <v>105</v>
      </c>
      <c r="I15" s="17">
        <v>140</v>
      </c>
      <c r="J15" s="15">
        <v>637</v>
      </c>
      <c r="K15" s="16">
        <v>168</v>
      </c>
      <c r="L15" s="15">
        <v>114</v>
      </c>
      <c r="M15" s="16">
        <v>150</v>
      </c>
      <c r="N15" s="16">
        <v>324</v>
      </c>
      <c r="P15" s="32">
        <f t="shared" si="1"/>
        <v>0.33333333333333343</v>
      </c>
      <c r="Q15" s="32" t="s">
        <v>1</v>
      </c>
      <c r="R15" s="37">
        <f t="shared" si="0"/>
        <v>0.34375000000000011</v>
      </c>
      <c r="S15" s="63">
        <f t="shared" si="2"/>
        <v>437</v>
      </c>
      <c r="T15" s="17">
        <f t="shared" si="3"/>
        <v>961</v>
      </c>
      <c r="U15" s="18">
        <f t="shared" si="4"/>
        <v>1398</v>
      </c>
      <c r="V15" s="16">
        <f t="shared" si="5"/>
        <v>805</v>
      </c>
      <c r="W15" s="16">
        <f t="shared" si="6"/>
        <v>509</v>
      </c>
      <c r="X15" s="16">
        <f t="shared" si="7"/>
        <v>1314</v>
      </c>
      <c r="Y15" s="15">
        <f t="shared" si="8"/>
        <v>588</v>
      </c>
      <c r="Z15" s="16">
        <f t="shared" si="9"/>
        <v>360</v>
      </c>
      <c r="AA15" s="16">
        <f t="shared" si="10"/>
        <v>948</v>
      </c>
      <c r="AC15" s="177"/>
      <c r="AD15" s="177"/>
      <c r="AE15" s="177"/>
    </row>
    <row r="16" spans="2:31" ht="12" customHeight="1" x14ac:dyDescent="0.25">
      <c r="B16" s="9" t="s">
        <v>2</v>
      </c>
      <c r="C16" s="6" t="s">
        <v>66</v>
      </c>
      <c r="D16" s="33">
        <v>0.34375000000000006</v>
      </c>
      <c r="E16" s="33" t="s">
        <v>1</v>
      </c>
      <c r="F16" s="33">
        <v>0.35416666666666674</v>
      </c>
      <c r="G16" s="64">
        <v>200</v>
      </c>
      <c r="H16" s="26">
        <v>95</v>
      </c>
      <c r="I16" s="26">
        <v>159</v>
      </c>
      <c r="J16" s="24">
        <v>521</v>
      </c>
      <c r="K16" s="25">
        <v>182</v>
      </c>
      <c r="L16" s="24">
        <v>106</v>
      </c>
      <c r="M16" s="25">
        <v>154</v>
      </c>
      <c r="N16" s="25">
        <v>240</v>
      </c>
      <c r="P16" s="33">
        <f t="shared" si="1"/>
        <v>0.34375000000000011</v>
      </c>
      <c r="Q16" s="33" t="s">
        <v>1</v>
      </c>
      <c r="R16" s="38">
        <f t="shared" si="0"/>
        <v>0.3541666666666668</v>
      </c>
      <c r="S16" s="64">
        <f t="shared" si="2"/>
        <v>454</v>
      </c>
      <c r="T16" s="26">
        <f t="shared" si="3"/>
        <v>761</v>
      </c>
      <c r="U16" s="27">
        <f t="shared" si="4"/>
        <v>1215</v>
      </c>
      <c r="V16" s="25">
        <f t="shared" si="5"/>
        <v>703</v>
      </c>
      <c r="W16" s="25">
        <f t="shared" si="6"/>
        <v>514</v>
      </c>
      <c r="X16" s="25">
        <f t="shared" si="7"/>
        <v>1217</v>
      </c>
      <c r="Y16" s="24">
        <f t="shared" si="8"/>
        <v>500</v>
      </c>
      <c r="Z16" s="25">
        <f t="shared" si="9"/>
        <v>382</v>
      </c>
      <c r="AA16" s="25">
        <f t="shared" si="10"/>
        <v>882</v>
      </c>
      <c r="AC16" s="177"/>
      <c r="AD16" s="177"/>
      <c r="AE16" s="177"/>
    </row>
    <row r="17" spans="2:31" ht="12" customHeight="1" x14ac:dyDescent="0.25">
      <c r="B17" s="8" t="str">
        <f>"Meetdag: "&amp;INFO!$B$11</f>
        <v>Meetdag: Donderdag 3 oktober 2019</v>
      </c>
      <c r="C17" s="6" t="s">
        <v>66</v>
      </c>
      <c r="D17" s="32">
        <v>0.35416666666666674</v>
      </c>
      <c r="E17" s="32" t="s">
        <v>1</v>
      </c>
      <c r="F17" s="32">
        <v>0.36458333333333343</v>
      </c>
      <c r="G17" s="63">
        <v>144</v>
      </c>
      <c r="H17" s="17">
        <v>106</v>
      </c>
      <c r="I17" s="17">
        <v>127</v>
      </c>
      <c r="J17" s="15">
        <v>453</v>
      </c>
      <c r="K17" s="16">
        <v>162</v>
      </c>
      <c r="L17" s="15">
        <v>87</v>
      </c>
      <c r="M17" s="16">
        <v>118</v>
      </c>
      <c r="N17" s="16">
        <v>193</v>
      </c>
      <c r="P17" s="32">
        <f t="shared" si="1"/>
        <v>0.3541666666666668</v>
      </c>
      <c r="Q17" s="32" t="s">
        <v>1</v>
      </c>
      <c r="R17" s="37">
        <f t="shared" si="0"/>
        <v>0.36458333333333348</v>
      </c>
      <c r="S17" s="63">
        <f t="shared" si="2"/>
        <v>377</v>
      </c>
      <c r="T17" s="17">
        <f t="shared" si="3"/>
        <v>646</v>
      </c>
      <c r="U17" s="18">
        <f t="shared" si="4"/>
        <v>1023</v>
      </c>
      <c r="V17" s="16">
        <f t="shared" si="5"/>
        <v>615</v>
      </c>
      <c r="W17" s="16">
        <f t="shared" si="6"/>
        <v>438</v>
      </c>
      <c r="X17" s="16">
        <f t="shared" si="7"/>
        <v>1053</v>
      </c>
      <c r="Y17" s="15">
        <f t="shared" si="8"/>
        <v>398</v>
      </c>
      <c r="Z17" s="16">
        <f t="shared" si="9"/>
        <v>306</v>
      </c>
      <c r="AA17" s="16">
        <f t="shared" si="10"/>
        <v>704</v>
      </c>
      <c r="AC17" s="177"/>
      <c r="AD17" s="177"/>
      <c r="AE17" s="177"/>
    </row>
    <row r="18" spans="2:31" ht="12" customHeight="1" x14ac:dyDescent="0.25">
      <c r="B18" s="8" t="str">
        <f>"Methodiek: "&amp;INFO!$B$13</f>
        <v>Methodiek: Video + auto. beeldverwerking / ANPR</v>
      </c>
      <c r="C18" s="6" t="s">
        <v>66</v>
      </c>
      <c r="D18" s="34">
        <v>0.36458333333333343</v>
      </c>
      <c r="E18" s="34" t="s">
        <v>1</v>
      </c>
      <c r="F18" s="34">
        <v>0.37500000000000011</v>
      </c>
      <c r="G18" s="65">
        <v>135</v>
      </c>
      <c r="H18" s="30">
        <v>99</v>
      </c>
      <c r="I18" s="30">
        <v>94</v>
      </c>
      <c r="J18" s="28">
        <v>437</v>
      </c>
      <c r="K18" s="29">
        <v>148</v>
      </c>
      <c r="L18" s="28">
        <v>78</v>
      </c>
      <c r="M18" s="29">
        <v>99</v>
      </c>
      <c r="N18" s="29">
        <v>125</v>
      </c>
      <c r="P18" s="34">
        <f t="shared" si="1"/>
        <v>0.36458333333333348</v>
      </c>
      <c r="Q18" s="34" t="s">
        <v>1</v>
      </c>
      <c r="R18" s="40">
        <f t="shared" si="0"/>
        <v>0.37500000000000017</v>
      </c>
      <c r="S18" s="65">
        <f t="shared" si="2"/>
        <v>328</v>
      </c>
      <c r="T18" s="30">
        <f t="shared" si="3"/>
        <v>562</v>
      </c>
      <c r="U18" s="31">
        <f t="shared" si="4"/>
        <v>890</v>
      </c>
      <c r="V18" s="29">
        <f t="shared" si="5"/>
        <v>585</v>
      </c>
      <c r="W18" s="29">
        <f t="shared" si="6"/>
        <v>370</v>
      </c>
      <c r="X18" s="29">
        <f t="shared" si="7"/>
        <v>955</v>
      </c>
      <c r="Y18" s="28">
        <f t="shared" si="8"/>
        <v>302</v>
      </c>
      <c r="Z18" s="29">
        <f t="shared" si="9"/>
        <v>283</v>
      </c>
      <c r="AA18" s="29">
        <f t="shared" si="10"/>
        <v>585</v>
      </c>
      <c r="AC18" s="177"/>
      <c r="AD18" s="177"/>
      <c r="AE18" s="177"/>
    </row>
    <row r="19" spans="2:31" ht="12" customHeight="1" x14ac:dyDescent="0.25">
      <c r="B19" s="8" t="str">
        <f>"In opdracht van: "&amp;INFO!$B$12</f>
        <v>In opdracht van: Agentschap Wegen en Verkeer</v>
      </c>
      <c r="C19" s="6" t="s">
        <v>66</v>
      </c>
      <c r="D19" s="32">
        <v>0.66666666666666663</v>
      </c>
      <c r="E19" s="32" t="s">
        <v>1</v>
      </c>
      <c r="F19" s="32">
        <v>0.67708333333333326</v>
      </c>
      <c r="G19" s="63">
        <v>277</v>
      </c>
      <c r="H19" s="17">
        <v>156</v>
      </c>
      <c r="I19" s="17">
        <v>116</v>
      </c>
      <c r="J19" s="15">
        <v>326</v>
      </c>
      <c r="K19" s="16">
        <v>145</v>
      </c>
      <c r="L19" s="15">
        <v>130</v>
      </c>
      <c r="M19" s="16">
        <v>105</v>
      </c>
      <c r="N19" s="16">
        <v>180</v>
      </c>
      <c r="P19" s="32">
        <f>D19</f>
        <v>0.66666666666666663</v>
      </c>
      <c r="Q19" s="32" t="s">
        <v>1</v>
      </c>
      <c r="R19" s="37">
        <f t="shared" si="0"/>
        <v>0.67708333333333326</v>
      </c>
      <c r="S19" s="63">
        <f t="shared" si="2"/>
        <v>549</v>
      </c>
      <c r="T19" s="17">
        <f t="shared" si="3"/>
        <v>506</v>
      </c>
      <c r="U19" s="18">
        <f t="shared" si="4"/>
        <v>1055</v>
      </c>
      <c r="V19" s="16">
        <f t="shared" si="5"/>
        <v>471</v>
      </c>
      <c r="W19" s="16">
        <f t="shared" si="6"/>
        <v>507</v>
      </c>
      <c r="X19" s="16">
        <f t="shared" si="7"/>
        <v>978</v>
      </c>
      <c r="Y19" s="15">
        <f t="shared" si="8"/>
        <v>415</v>
      </c>
      <c r="Z19" s="16">
        <f t="shared" si="9"/>
        <v>422</v>
      </c>
      <c r="AA19" s="16">
        <f t="shared" si="10"/>
        <v>837</v>
      </c>
      <c r="AC19" s="177"/>
      <c r="AD19" s="177"/>
      <c r="AE19" s="177"/>
    </row>
    <row r="20" spans="2:31" ht="12" customHeight="1" x14ac:dyDescent="0.25">
      <c r="B20" s="8" t="s">
        <v>3</v>
      </c>
      <c r="C20" s="6" t="s">
        <v>66</v>
      </c>
      <c r="D20" s="33">
        <v>0.67708333333333326</v>
      </c>
      <c r="E20" s="33" t="s">
        <v>1</v>
      </c>
      <c r="F20" s="33">
        <v>0.68749999999999989</v>
      </c>
      <c r="G20" s="64">
        <v>283</v>
      </c>
      <c r="H20" s="26">
        <v>185</v>
      </c>
      <c r="I20" s="26">
        <v>146</v>
      </c>
      <c r="J20" s="24">
        <v>362</v>
      </c>
      <c r="K20" s="25">
        <v>177</v>
      </c>
      <c r="L20" s="24">
        <v>124</v>
      </c>
      <c r="M20" s="25">
        <v>140</v>
      </c>
      <c r="N20" s="25">
        <v>174</v>
      </c>
      <c r="P20" s="33">
        <f t="shared" ref="P20:P26" si="11">R19</f>
        <v>0.67708333333333326</v>
      </c>
      <c r="Q20" s="33" t="s">
        <v>1</v>
      </c>
      <c r="R20" s="38">
        <f t="shared" si="0"/>
        <v>0.68749999999999989</v>
      </c>
      <c r="S20" s="64">
        <f t="shared" si="2"/>
        <v>614</v>
      </c>
      <c r="T20" s="26">
        <f t="shared" si="3"/>
        <v>536</v>
      </c>
      <c r="U20" s="27">
        <f t="shared" si="4"/>
        <v>1150</v>
      </c>
      <c r="V20" s="25">
        <f t="shared" si="5"/>
        <v>539</v>
      </c>
      <c r="W20" s="25">
        <f t="shared" si="6"/>
        <v>595</v>
      </c>
      <c r="X20" s="25">
        <f t="shared" si="7"/>
        <v>1134</v>
      </c>
      <c r="Y20" s="24">
        <f t="shared" si="8"/>
        <v>438</v>
      </c>
      <c r="Z20" s="25">
        <f t="shared" si="9"/>
        <v>460</v>
      </c>
      <c r="AA20" s="25">
        <f t="shared" si="10"/>
        <v>898</v>
      </c>
      <c r="AC20" s="177"/>
      <c r="AD20" s="177"/>
      <c r="AE20" s="177"/>
    </row>
    <row r="21" spans="2:31" ht="12" customHeight="1" x14ac:dyDescent="0.25">
      <c r="B21" s="8"/>
      <c r="C21" s="6" t="s">
        <v>66</v>
      </c>
      <c r="D21" s="32">
        <v>0.68749999999999989</v>
      </c>
      <c r="E21" s="32" t="s">
        <v>1</v>
      </c>
      <c r="F21" s="32">
        <v>0.69791666666666652</v>
      </c>
      <c r="G21" s="63">
        <v>316</v>
      </c>
      <c r="H21" s="17">
        <v>174</v>
      </c>
      <c r="I21" s="17">
        <v>148</v>
      </c>
      <c r="J21" s="15">
        <v>365</v>
      </c>
      <c r="K21" s="16">
        <v>162</v>
      </c>
      <c r="L21" s="15">
        <v>143</v>
      </c>
      <c r="M21" s="16">
        <v>143</v>
      </c>
      <c r="N21" s="16">
        <v>248</v>
      </c>
      <c r="P21" s="32">
        <f t="shared" si="11"/>
        <v>0.68749999999999989</v>
      </c>
      <c r="Q21" s="32" t="s">
        <v>1</v>
      </c>
      <c r="R21" s="37">
        <f t="shared" si="0"/>
        <v>0.69791666666666652</v>
      </c>
      <c r="S21" s="63">
        <f t="shared" si="2"/>
        <v>638</v>
      </c>
      <c r="T21" s="17">
        <f t="shared" si="3"/>
        <v>613</v>
      </c>
      <c r="U21" s="18">
        <f t="shared" si="4"/>
        <v>1251</v>
      </c>
      <c r="V21" s="16">
        <f t="shared" si="5"/>
        <v>527</v>
      </c>
      <c r="W21" s="16">
        <f t="shared" si="6"/>
        <v>608</v>
      </c>
      <c r="X21" s="16">
        <f t="shared" si="7"/>
        <v>1135</v>
      </c>
      <c r="Y21" s="15">
        <f t="shared" si="8"/>
        <v>534</v>
      </c>
      <c r="Z21" s="16">
        <f t="shared" si="9"/>
        <v>478</v>
      </c>
      <c r="AA21" s="16">
        <f t="shared" si="10"/>
        <v>1012</v>
      </c>
      <c r="AC21" s="177"/>
      <c r="AD21" s="177"/>
      <c r="AE21" s="177"/>
    </row>
    <row r="22" spans="2:31" ht="12" customHeight="1" x14ac:dyDescent="0.25">
      <c r="B22" s="9" t="s">
        <v>10</v>
      </c>
      <c r="C22" s="6" t="s">
        <v>66</v>
      </c>
      <c r="D22" s="33">
        <v>0.69791666666666663</v>
      </c>
      <c r="E22" s="33" t="s">
        <v>1</v>
      </c>
      <c r="F22" s="33">
        <v>0.70833333333333315</v>
      </c>
      <c r="G22" s="64">
        <v>327</v>
      </c>
      <c r="H22" s="26">
        <v>213</v>
      </c>
      <c r="I22" s="26">
        <v>149</v>
      </c>
      <c r="J22" s="24">
        <v>411</v>
      </c>
      <c r="K22" s="25">
        <v>170</v>
      </c>
      <c r="L22" s="24">
        <v>162</v>
      </c>
      <c r="M22" s="25">
        <v>159</v>
      </c>
      <c r="N22" s="25">
        <v>260</v>
      </c>
      <c r="P22" s="33">
        <f t="shared" si="11"/>
        <v>0.69791666666666652</v>
      </c>
      <c r="Q22" s="33" t="s">
        <v>1</v>
      </c>
      <c r="R22" s="38">
        <f t="shared" si="0"/>
        <v>0.70833333333333315</v>
      </c>
      <c r="S22" s="64">
        <f t="shared" si="2"/>
        <v>689</v>
      </c>
      <c r="T22" s="26">
        <f t="shared" si="3"/>
        <v>671</v>
      </c>
      <c r="U22" s="27">
        <f t="shared" si="4"/>
        <v>1360</v>
      </c>
      <c r="V22" s="25">
        <f t="shared" si="5"/>
        <v>581</v>
      </c>
      <c r="W22" s="25">
        <f t="shared" si="6"/>
        <v>683</v>
      </c>
      <c r="X22" s="25">
        <f t="shared" si="7"/>
        <v>1264</v>
      </c>
      <c r="Y22" s="24">
        <f t="shared" si="8"/>
        <v>581</v>
      </c>
      <c r="Z22" s="25">
        <f t="shared" si="9"/>
        <v>497</v>
      </c>
      <c r="AA22" s="25">
        <f t="shared" si="10"/>
        <v>1078</v>
      </c>
      <c r="AC22" s="177"/>
      <c r="AD22" s="177"/>
      <c r="AE22" s="177"/>
    </row>
    <row r="23" spans="2:31" ht="12" customHeight="1" x14ac:dyDescent="0.25">
      <c r="B23" s="8"/>
      <c r="C23" s="6" t="s">
        <v>66</v>
      </c>
      <c r="D23" s="32">
        <v>0.70833333333333315</v>
      </c>
      <c r="E23" s="32" t="s">
        <v>1</v>
      </c>
      <c r="F23" s="32">
        <v>0.71874999999999978</v>
      </c>
      <c r="G23" s="63">
        <v>316</v>
      </c>
      <c r="H23" s="17">
        <v>192</v>
      </c>
      <c r="I23" s="17">
        <v>169</v>
      </c>
      <c r="J23" s="15">
        <v>424</v>
      </c>
      <c r="K23" s="16">
        <v>165</v>
      </c>
      <c r="L23" s="15">
        <v>197</v>
      </c>
      <c r="M23" s="16">
        <v>177</v>
      </c>
      <c r="N23" s="16">
        <v>278</v>
      </c>
      <c r="P23" s="32">
        <f t="shared" si="11"/>
        <v>0.70833333333333315</v>
      </c>
      <c r="Q23" s="32" t="s">
        <v>1</v>
      </c>
      <c r="R23" s="37">
        <f t="shared" si="0"/>
        <v>0.71874999999999978</v>
      </c>
      <c r="S23" s="63">
        <f t="shared" si="2"/>
        <v>677</v>
      </c>
      <c r="T23" s="17">
        <f t="shared" si="3"/>
        <v>702</v>
      </c>
      <c r="U23" s="18">
        <f t="shared" si="4"/>
        <v>1379</v>
      </c>
      <c r="V23" s="16">
        <f t="shared" si="5"/>
        <v>589</v>
      </c>
      <c r="W23" s="16">
        <f t="shared" si="6"/>
        <v>735</v>
      </c>
      <c r="X23" s="16">
        <f t="shared" si="7"/>
        <v>1324</v>
      </c>
      <c r="Y23" s="15">
        <f t="shared" si="8"/>
        <v>652</v>
      </c>
      <c r="Z23" s="16">
        <f t="shared" si="9"/>
        <v>481</v>
      </c>
      <c r="AA23" s="16">
        <f t="shared" si="10"/>
        <v>1133</v>
      </c>
      <c r="AC23" s="177"/>
      <c r="AD23" s="177"/>
      <c r="AE23" s="177"/>
    </row>
    <row r="24" spans="2:31" ht="12" customHeight="1" x14ac:dyDescent="0.25">
      <c r="B24" s="8"/>
      <c r="C24" s="6" t="s">
        <v>66</v>
      </c>
      <c r="D24" s="33">
        <v>0.71874999999999978</v>
      </c>
      <c r="E24" s="33" t="s">
        <v>1</v>
      </c>
      <c r="F24" s="33">
        <v>0.72916666666666641</v>
      </c>
      <c r="G24" s="64">
        <v>338</v>
      </c>
      <c r="H24" s="26">
        <v>198</v>
      </c>
      <c r="I24" s="26">
        <v>177</v>
      </c>
      <c r="J24" s="24">
        <v>434</v>
      </c>
      <c r="K24" s="25">
        <v>175</v>
      </c>
      <c r="L24" s="24">
        <v>169</v>
      </c>
      <c r="M24" s="25">
        <v>158</v>
      </c>
      <c r="N24" s="25">
        <v>247</v>
      </c>
      <c r="P24" s="33">
        <f t="shared" si="11"/>
        <v>0.71874999999999978</v>
      </c>
      <c r="Q24" s="33" t="s">
        <v>1</v>
      </c>
      <c r="R24" s="38">
        <f t="shared" si="0"/>
        <v>0.72916666666666641</v>
      </c>
      <c r="S24" s="64">
        <f t="shared" si="2"/>
        <v>713</v>
      </c>
      <c r="T24" s="26">
        <f t="shared" si="3"/>
        <v>681</v>
      </c>
      <c r="U24" s="27">
        <f t="shared" si="4"/>
        <v>1394</v>
      </c>
      <c r="V24" s="25">
        <f t="shared" si="5"/>
        <v>609</v>
      </c>
      <c r="W24" s="25">
        <f t="shared" si="6"/>
        <v>702</v>
      </c>
      <c r="X24" s="25">
        <f t="shared" si="7"/>
        <v>1311</v>
      </c>
      <c r="Y24" s="24">
        <f t="shared" si="8"/>
        <v>574</v>
      </c>
      <c r="Z24" s="25">
        <f t="shared" si="9"/>
        <v>513</v>
      </c>
      <c r="AA24" s="25">
        <f t="shared" si="10"/>
        <v>1087</v>
      </c>
      <c r="AC24" s="177"/>
      <c r="AD24" s="177"/>
      <c r="AE24" s="177"/>
    </row>
    <row r="25" spans="2:31" ht="12" customHeight="1" x14ac:dyDescent="0.25">
      <c r="B25" s="8"/>
      <c r="C25" s="6" t="s">
        <v>66</v>
      </c>
      <c r="D25" s="32">
        <v>0.72916666666666641</v>
      </c>
      <c r="E25" s="32" t="s">
        <v>1</v>
      </c>
      <c r="F25" s="32">
        <v>0.73958333333333304</v>
      </c>
      <c r="G25" s="63">
        <v>363</v>
      </c>
      <c r="H25" s="17">
        <v>209</v>
      </c>
      <c r="I25" s="17">
        <v>159</v>
      </c>
      <c r="J25" s="15">
        <v>433</v>
      </c>
      <c r="K25" s="16">
        <v>179</v>
      </c>
      <c r="L25" s="15">
        <v>151</v>
      </c>
      <c r="M25" s="16">
        <v>119</v>
      </c>
      <c r="N25" s="16">
        <v>199</v>
      </c>
      <c r="P25" s="32">
        <f t="shared" si="11"/>
        <v>0.72916666666666641</v>
      </c>
      <c r="Q25" s="32" t="s">
        <v>1</v>
      </c>
      <c r="R25" s="37">
        <f t="shared" si="0"/>
        <v>0.73958333333333304</v>
      </c>
      <c r="S25" s="63">
        <f t="shared" si="2"/>
        <v>731</v>
      </c>
      <c r="T25" s="17">
        <f t="shared" si="3"/>
        <v>632</v>
      </c>
      <c r="U25" s="18">
        <f t="shared" si="4"/>
        <v>1363</v>
      </c>
      <c r="V25" s="16">
        <f t="shared" si="5"/>
        <v>612</v>
      </c>
      <c r="W25" s="16">
        <f t="shared" si="6"/>
        <v>638</v>
      </c>
      <c r="X25" s="16">
        <f t="shared" si="7"/>
        <v>1250</v>
      </c>
      <c r="Y25" s="15">
        <f t="shared" si="8"/>
        <v>469</v>
      </c>
      <c r="Z25" s="16">
        <f t="shared" si="9"/>
        <v>542</v>
      </c>
      <c r="AA25" s="16">
        <f t="shared" si="10"/>
        <v>1011</v>
      </c>
      <c r="AC25" s="177"/>
      <c r="AD25" s="177"/>
      <c r="AE25" s="177"/>
    </row>
    <row r="26" spans="2:31" ht="12" customHeight="1" x14ac:dyDescent="0.25">
      <c r="B26" s="8"/>
      <c r="C26" s="6" t="s">
        <v>66</v>
      </c>
      <c r="D26" s="34">
        <v>0.73958333333333304</v>
      </c>
      <c r="E26" s="34" t="s">
        <v>1</v>
      </c>
      <c r="F26" s="34">
        <v>0.74999999999999967</v>
      </c>
      <c r="G26" s="65">
        <v>324</v>
      </c>
      <c r="H26" s="30">
        <v>199</v>
      </c>
      <c r="I26" s="30">
        <v>149</v>
      </c>
      <c r="J26" s="28">
        <v>503</v>
      </c>
      <c r="K26" s="29">
        <v>189</v>
      </c>
      <c r="L26" s="28">
        <v>131</v>
      </c>
      <c r="M26" s="29">
        <v>139</v>
      </c>
      <c r="N26" s="29">
        <v>191</v>
      </c>
      <c r="P26" s="34">
        <f t="shared" si="11"/>
        <v>0.73958333333333304</v>
      </c>
      <c r="Q26" s="34" t="s">
        <v>1</v>
      </c>
      <c r="R26" s="40">
        <f t="shared" si="0"/>
        <v>0.74999999999999967</v>
      </c>
      <c r="S26" s="65">
        <f t="shared" si="2"/>
        <v>672</v>
      </c>
      <c r="T26" s="30">
        <f t="shared" si="3"/>
        <v>694</v>
      </c>
      <c r="U26" s="31">
        <f t="shared" si="4"/>
        <v>1366</v>
      </c>
      <c r="V26" s="29">
        <f t="shared" si="5"/>
        <v>692</v>
      </c>
      <c r="W26" s="29">
        <f t="shared" si="6"/>
        <v>618</v>
      </c>
      <c r="X26" s="29">
        <f t="shared" si="7"/>
        <v>1310</v>
      </c>
      <c r="Y26" s="28">
        <f t="shared" si="8"/>
        <v>461</v>
      </c>
      <c r="Z26" s="29">
        <f t="shared" si="9"/>
        <v>513</v>
      </c>
      <c r="AA26" s="29">
        <f t="shared" si="10"/>
        <v>974</v>
      </c>
      <c r="AC26" s="177"/>
      <c r="AD26" s="177"/>
      <c r="AE26" s="177"/>
    </row>
    <row r="27" spans="2:31" ht="12" customHeight="1" x14ac:dyDescent="0.25">
      <c r="B27" s="8"/>
      <c r="C27" s="6" t="s">
        <v>66</v>
      </c>
      <c r="D27" s="43" t="s">
        <v>15</v>
      </c>
      <c r="E27" s="43"/>
      <c r="F27" s="43"/>
      <c r="G27" s="51"/>
      <c r="H27" s="52"/>
      <c r="I27" s="52"/>
      <c r="J27" s="51"/>
      <c r="K27" s="52"/>
      <c r="L27" s="51"/>
      <c r="M27" s="52"/>
      <c r="N27" s="52"/>
      <c r="P27" s="43" t="s">
        <v>15</v>
      </c>
      <c r="Q27" s="43"/>
      <c r="R27" s="43"/>
      <c r="S27" s="51"/>
      <c r="T27" s="52"/>
      <c r="U27" s="66"/>
      <c r="V27" s="52"/>
      <c r="W27" s="52"/>
      <c r="X27" s="52"/>
      <c r="Y27" s="51"/>
      <c r="Z27" s="52"/>
      <c r="AA27" s="52"/>
      <c r="AC27" s="177"/>
      <c r="AD27" s="177"/>
      <c r="AE27" s="177"/>
    </row>
    <row r="28" spans="2:31" ht="12" customHeight="1" x14ac:dyDescent="0.25">
      <c r="B28" s="8"/>
      <c r="C28" s="6" t="s">
        <v>66</v>
      </c>
      <c r="D28" s="32">
        <f>D11</f>
        <v>0.29166666666666669</v>
      </c>
      <c r="E28" s="32" t="s">
        <v>1</v>
      </c>
      <c r="F28" s="32">
        <f t="shared" ref="F28:F31" si="12">D28+60/1440</f>
        <v>0.33333333333333337</v>
      </c>
      <c r="G28" s="45">
        <f t="shared" ref="G28" si="13">SUM(G11:G14)</f>
        <v>850</v>
      </c>
      <c r="H28" s="17">
        <f t="shared" ref="H28:N28" si="14">SUM(H11:H14)</f>
        <v>435</v>
      </c>
      <c r="I28" s="17">
        <f t="shared" si="14"/>
        <v>495</v>
      </c>
      <c r="J28" s="15">
        <f t="shared" si="14"/>
        <v>2069</v>
      </c>
      <c r="K28" s="16">
        <f t="shared" si="14"/>
        <v>698</v>
      </c>
      <c r="L28" s="15">
        <f t="shared" si="14"/>
        <v>450</v>
      </c>
      <c r="M28" s="16">
        <f t="shared" si="14"/>
        <v>576</v>
      </c>
      <c r="N28" s="16">
        <f t="shared" si="14"/>
        <v>1056</v>
      </c>
      <c r="P28" s="32">
        <f>P11</f>
        <v>0.29166666666666669</v>
      </c>
      <c r="Q28" s="32" t="s">
        <v>1</v>
      </c>
      <c r="R28" s="37">
        <f t="shared" ref="R28:R31" si="15">P28+60/1440</f>
        <v>0.33333333333333337</v>
      </c>
      <c r="S28" s="63">
        <f t="shared" si="2"/>
        <v>1780</v>
      </c>
      <c r="T28" s="17">
        <f t="shared" si="3"/>
        <v>3125</v>
      </c>
      <c r="U28" s="18">
        <f t="shared" si="4"/>
        <v>4905</v>
      </c>
      <c r="V28" s="16">
        <f t="shared" si="5"/>
        <v>2767</v>
      </c>
      <c r="W28" s="16">
        <f t="shared" si="6"/>
        <v>1956</v>
      </c>
      <c r="X28" s="16">
        <f t="shared" si="7"/>
        <v>4723</v>
      </c>
      <c r="Y28" s="15">
        <f t="shared" si="8"/>
        <v>2082</v>
      </c>
      <c r="Z28" s="16">
        <f t="shared" si="9"/>
        <v>1548</v>
      </c>
      <c r="AA28" s="16">
        <f t="shared" si="10"/>
        <v>3630</v>
      </c>
    </row>
    <row r="29" spans="2:31" ht="12" customHeight="1" x14ac:dyDescent="0.25">
      <c r="B29" s="8"/>
      <c r="C29" s="6" t="s">
        <v>66</v>
      </c>
      <c r="D29" s="33">
        <f>D15</f>
        <v>0.33333333333333337</v>
      </c>
      <c r="E29" s="33" t="s">
        <v>1</v>
      </c>
      <c r="F29" s="33">
        <f t="shared" si="12"/>
        <v>0.37500000000000006</v>
      </c>
      <c r="G29" s="47">
        <f t="shared" ref="G29" si="16">SUM(G15:G18)</f>
        <v>671</v>
      </c>
      <c r="H29" s="26">
        <f t="shared" ref="H29:N29" si="17">SUM(H15:H18)</f>
        <v>405</v>
      </c>
      <c r="I29" s="26">
        <f t="shared" si="17"/>
        <v>520</v>
      </c>
      <c r="J29" s="24">
        <f t="shared" si="17"/>
        <v>2048</v>
      </c>
      <c r="K29" s="25">
        <f t="shared" si="17"/>
        <v>660</v>
      </c>
      <c r="L29" s="24">
        <f t="shared" si="17"/>
        <v>385</v>
      </c>
      <c r="M29" s="25">
        <f t="shared" si="17"/>
        <v>521</v>
      </c>
      <c r="N29" s="25">
        <f t="shared" si="17"/>
        <v>882</v>
      </c>
      <c r="P29" s="33">
        <f>P15</f>
        <v>0.33333333333333343</v>
      </c>
      <c r="Q29" s="33" t="s">
        <v>1</v>
      </c>
      <c r="R29" s="38">
        <f t="shared" si="15"/>
        <v>0.37500000000000011</v>
      </c>
      <c r="S29" s="64">
        <f t="shared" si="2"/>
        <v>1596</v>
      </c>
      <c r="T29" s="26">
        <f t="shared" si="3"/>
        <v>2930</v>
      </c>
      <c r="U29" s="27">
        <f t="shared" si="4"/>
        <v>4526</v>
      </c>
      <c r="V29" s="25">
        <f t="shared" si="5"/>
        <v>2708</v>
      </c>
      <c r="W29" s="25">
        <f t="shared" si="6"/>
        <v>1831</v>
      </c>
      <c r="X29" s="25">
        <f t="shared" si="7"/>
        <v>4539</v>
      </c>
      <c r="Y29" s="24">
        <f t="shared" si="8"/>
        <v>1788</v>
      </c>
      <c r="Z29" s="25">
        <f t="shared" si="9"/>
        <v>1331</v>
      </c>
      <c r="AA29" s="25">
        <f t="shared" si="10"/>
        <v>3119</v>
      </c>
    </row>
    <row r="30" spans="2:31" ht="12" customHeight="1" x14ac:dyDescent="0.25">
      <c r="B30" s="8"/>
      <c r="C30" s="6" t="s">
        <v>66</v>
      </c>
      <c r="D30" s="32">
        <f>D19</f>
        <v>0.66666666666666663</v>
      </c>
      <c r="E30" s="32" t="s">
        <v>1</v>
      </c>
      <c r="F30" s="32">
        <f t="shared" si="12"/>
        <v>0.70833333333333326</v>
      </c>
      <c r="G30" s="45">
        <f t="shared" ref="G30" si="18">SUM(G19:G22)</f>
        <v>1203</v>
      </c>
      <c r="H30" s="17">
        <f t="shared" ref="H30:N30" si="19">SUM(H19:H22)</f>
        <v>728</v>
      </c>
      <c r="I30" s="17">
        <f t="shared" si="19"/>
        <v>559</v>
      </c>
      <c r="J30" s="15">
        <f t="shared" si="19"/>
        <v>1464</v>
      </c>
      <c r="K30" s="16">
        <f t="shared" si="19"/>
        <v>654</v>
      </c>
      <c r="L30" s="15">
        <f t="shared" si="19"/>
        <v>559</v>
      </c>
      <c r="M30" s="16">
        <f t="shared" si="19"/>
        <v>547</v>
      </c>
      <c r="N30" s="16">
        <f t="shared" si="19"/>
        <v>862</v>
      </c>
      <c r="P30" s="32">
        <f>P19</f>
        <v>0.66666666666666663</v>
      </c>
      <c r="Q30" s="32" t="s">
        <v>1</v>
      </c>
      <c r="R30" s="37">
        <f t="shared" si="15"/>
        <v>0.70833333333333326</v>
      </c>
      <c r="S30" s="63">
        <f t="shared" si="2"/>
        <v>2490</v>
      </c>
      <c r="T30" s="17">
        <f t="shared" si="3"/>
        <v>2326</v>
      </c>
      <c r="U30" s="18">
        <f t="shared" si="4"/>
        <v>4816</v>
      </c>
      <c r="V30" s="16">
        <f t="shared" si="5"/>
        <v>2118</v>
      </c>
      <c r="W30" s="16">
        <f t="shared" si="6"/>
        <v>2393</v>
      </c>
      <c r="X30" s="16">
        <f t="shared" si="7"/>
        <v>4511</v>
      </c>
      <c r="Y30" s="15">
        <f t="shared" si="8"/>
        <v>1968</v>
      </c>
      <c r="Z30" s="16">
        <f t="shared" si="9"/>
        <v>1857</v>
      </c>
      <c r="AA30" s="16">
        <f t="shared" si="10"/>
        <v>3825</v>
      </c>
    </row>
    <row r="31" spans="2:31" ht="12" customHeight="1" x14ac:dyDescent="0.25">
      <c r="C31" s="6" t="s">
        <v>66</v>
      </c>
      <c r="D31" s="34">
        <f>D23</f>
        <v>0.70833333333333315</v>
      </c>
      <c r="E31" s="34" t="s">
        <v>1</v>
      </c>
      <c r="F31" s="34">
        <f t="shared" si="12"/>
        <v>0.74999999999999978</v>
      </c>
      <c r="G31" s="53">
        <f t="shared" ref="G31" si="20">SUM(G23:G26)</f>
        <v>1341</v>
      </c>
      <c r="H31" s="30">
        <f t="shared" ref="H31:N31" si="21">SUM(H23:H26)</f>
        <v>798</v>
      </c>
      <c r="I31" s="30">
        <f t="shared" si="21"/>
        <v>654</v>
      </c>
      <c r="J31" s="28">
        <f t="shared" si="21"/>
        <v>1794</v>
      </c>
      <c r="K31" s="29">
        <f t="shared" si="21"/>
        <v>708</v>
      </c>
      <c r="L31" s="28">
        <f t="shared" si="21"/>
        <v>648</v>
      </c>
      <c r="M31" s="29">
        <f t="shared" si="21"/>
        <v>593</v>
      </c>
      <c r="N31" s="29">
        <f t="shared" si="21"/>
        <v>915</v>
      </c>
      <c r="P31" s="34">
        <f>P23</f>
        <v>0.70833333333333315</v>
      </c>
      <c r="Q31" s="34" t="s">
        <v>1</v>
      </c>
      <c r="R31" s="40">
        <f t="shared" si="15"/>
        <v>0.74999999999999978</v>
      </c>
      <c r="S31" s="65">
        <f t="shared" si="2"/>
        <v>2793</v>
      </c>
      <c r="T31" s="30">
        <f t="shared" si="3"/>
        <v>2709</v>
      </c>
      <c r="U31" s="31">
        <f t="shared" si="4"/>
        <v>5502</v>
      </c>
      <c r="V31" s="29">
        <f t="shared" si="5"/>
        <v>2502</v>
      </c>
      <c r="W31" s="29">
        <f t="shared" si="6"/>
        <v>2693</v>
      </c>
      <c r="X31" s="29">
        <f t="shared" si="7"/>
        <v>5195</v>
      </c>
      <c r="Y31" s="28">
        <f t="shared" si="8"/>
        <v>2156</v>
      </c>
      <c r="Z31" s="29">
        <f t="shared" si="9"/>
        <v>2049</v>
      </c>
      <c r="AA31" s="29">
        <f t="shared" si="10"/>
        <v>4205</v>
      </c>
    </row>
    <row r="32" spans="2:31" ht="12" customHeight="1" x14ac:dyDescent="0.25">
      <c r="C32" s="6" t="s">
        <v>66</v>
      </c>
      <c r="D32" s="43" t="s">
        <v>16</v>
      </c>
      <c r="E32" s="43"/>
      <c r="F32" s="43"/>
      <c r="G32" s="51"/>
      <c r="H32" s="52"/>
      <c r="I32" s="52"/>
      <c r="J32" s="51"/>
      <c r="K32" s="52"/>
      <c r="L32" s="51"/>
      <c r="M32" s="52"/>
      <c r="N32" s="52"/>
      <c r="P32" s="43" t="s">
        <v>16</v>
      </c>
      <c r="Q32" s="43"/>
      <c r="R32" s="43"/>
      <c r="S32" s="51"/>
      <c r="T32" s="52"/>
      <c r="U32" s="66"/>
      <c r="V32" s="52"/>
      <c r="W32" s="52"/>
      <c r="X32" s="52"/>
      <c r="Y32" s="51"/>
      <c r="Z32" s="52"/>
      <c r="AA32" s="52"/>
    </row>
    <row r="33" spans="3:27" ht="12" customHeight="1" x14ac:dyDescent="0.25">
      <c r="C33" s="6" t="s">
        <v>66</v>
      </c>
      <c r="D33" s="32">
        <f>D11</f>
        <v>0.29166666666666669</v>
      </c>
      <c r="E33" s="32" t="s">
        <v>1</v>
      </c>
      <c r="F33" s="32">
        <f>F18</f>
        <v>0.37500000000000011</v>
      </c>
      <c r="G33" s="45">
        <f t="shared" ref="G33" si="22">SUM(G11:G18)</f>
        <v>1521</v>
      </c>
      <c r="H33" s="17">
        <f t="shared" ref="H33:N33" si="23">SUM(H11:H18)</f>
        <v>840</v>
      </c>
      <c r="I33" s="17">
        <f t="shared" si="23"/>
        <v>1015</v>
      </c>
      <c r="J33" s="15">
        <f t="shared" si="23"/>
        <v>4117</v>
      </c>
      <c r="K33" s="16">
        <f t="shared" si="23"/>
        <v>1358</v>
      </c>
      <c r="L33" s="15">
        <f t="shared" si="23"/>
        <v>835</v>
      </c>
      <c r="M33" s="16">
        <f t="shared" si="23"/>
        <v>1097</v>
      </c>
      <c r="N33" s="16">
        <f t="shared" si="23"/>
        <v>1938</v>
      </c>
      <c r="P33" s="32">
        <f>P11</f>
        <v>0.29166666666666669</v>
      </c>
      <c r="Q33" s="32" t="s">
        <v>1</v>
      </c>
      <c r="R33" s="37">
        <f>R18</f>
        <v>0.37500000000000017</v>
      </c>
      <c r="S33" s="63">
        <f t="shared" si="2"/>
        <v>3376</v>
      </c>
      <c r="T33" s="17">
        <f t="shared" si="3"/>
        <v>6055</v>
      </c>
      <c r="U33" s="18">
        <f t="shared" si="4"/>
        <v>9431</v>
      </c>
      <c r="V33" s="16">
        <f t="shared" si="5"/>
        <v>5475</v>
      </c>
      <c r="W33" s="16">
        <f t="shared" si="6"/>
        <v>3787</v>
      </c>
      <c r="X33" s="16">
        <f t="shared" si="7"/>
        <v>9262</v>
      </c>
      <c r="Y33" s="15">
        <f t="shared" si="8"/>
        <v>3870</v>
      </c>
      <c r="Z33" s="16">
        <f t="shared" si="9"/>
        <v>2879</v>
      </c>
      <c r="AA33" s="16">
        <f t="shared" si="10"/>
        <v>6749</v>
      </c>
    </row>
    <row r="34" spans="3:27" ht="12" customHeight="1" x14ac:dyDescent="0.25">
      <c r="C34" s="6" t="s">
        <v>66</v>
      </c>
      <c r="D34" s="33">
        <f>D19</f>
        <v>0.66666666666666663</v>
      </c>
      <c r="E34" s="33" t="s">
        <v>1</v>
      </c>
      <c r="F34" s="33">
        <f>F26</f>
        <v>0.74999999999999967</v>
      </c>
      <c r="G34" s="47">
        <f t="shared" ref="G34" si="24">SUM(G19:G26)</f>
        <v>2544</v>
      </c>
      <c r="H34" s="26">
        <f t="shared" ref="H34:N34" si="25">SUM(H19:H26)</f>
        <v>1526</v>
      </c>
      <c r="I34" s="26">
        <f t="shared" si="25"/>
        <v>1213</v>
      </c>
      <c r="J34" s="24">
        <f t="shared" si="25"/>
        <v>3258</v>
      </c>
      <c r="K34" s="25">
        <f t="shared" si="25"/>
        <v>1362</v>
      </c>
      <c r="L34" s="24">
        <f t="shared" si="25"/>
        <v>1207</v>
      </c>
      <c r="M34" s="25">
        <f t="shared" si="25"/>
        <v>1140</v>
      </c>
      <c r="N34" s="25">
        <f t="shared" si="25"/>
        <v>1777</v>
      </c>
      <c r="P34" s="33">
        <f>P19</f>
        <v>0.66666666666666663</v>
      </c>
      <c r="Q34" s="33" t="s">
        <v>1</v>
      </c>
      <c r="R34" s="38">
        <f>R26</f>
        <v>0.74999999999999967</v>
      </c>
      <c r="S34" s="64">
        <f t="shared" si="2"/>
        <v>5283</v>
      </c>
      <c r="T34" s="26">
        <f t="shared" si="3"/>
        <v>5035</v>
      </c>
      <c r="U34" s="27">
        <f t="shared" si="4"/>
        <v>10318</v>
      </c>
      <c r="V34" s="25">
        <f t="shared" si="5"/>
        <v>4620</v>
      </c>
      <c r="W34" s="25">
        <f t="shared" si="6"/>
        <v>5086</v>
      </c>
      <c r="X34" s="25">
        <f t="shared" si="7"/>
        <v>9706</v>
      </c>
      <c r="Y34" s="24">
        <f t="shared" si="8"/>
        <v>4124</v>
      </c>
      <c r="Z34" s="25">
        <f t="shared" si="9"/>
        <v>3906</v>
      </c>
      <c r="AA34" s="25">
        <f t="shared" si="10"/>
        <v>8030</v>
      </c>
    </row>
    <row r="35" spans="3:27" ht="12" customHeight="1" x14ac:dyDescent="0.25">
      <c r="C35" s="6" t="s">
        <v>66</v>
      </c>
      <c r="D35" s="43" t="s">
        <v>17</v>
      </c>
      <c r="E35" s="43"/>
      <c r="F35" s="43"/>
      <c r="G35" s="51"/>
      <c r="H35" s="52"/>
      <c r="I35" s="52"/>
      <c r="J35" s="51"/>
      <c r="K35" s="52"/>
      <c r="L35" s="51"/>
      <c r="M35" s="52"/>
      <c r="N35" s="52"/>
      <c r="P35" s="43" t="s">
        <v>17</v>
      </c>
      <c r="Q35" s="43"/>
      <c r="R35" s="43"/>
      <c r="S35" s="51"/>
      <c r="T35" s="52"/>
      <c r="U35" s="66"/>
      <c r="V35" s="52"/>
      <c r="W35" s="52"/>
      <c r="X35" s="52"/>
      <c r="Y35" s="51"/>
      <c r="Z35" s="52"/>
      <c r="AA35" s="52"/>
    </row>
    <row r="36" spans="3:27" ht="12" customHeight="1" x14ac:dyDescent="0.25">
      <c r="C36" s="6" t="s">
        <v>66</v>
      </c>
      <c r="D36" s="32">
        <f>INFO!$B$28</f>
        <v>0.3125</v>
      </c>
      <c r="E36" s="32" t="s">
        <v>1</v>
      </c>
      <c r="F36" s="32">
        <f>D36+60/1440</f>
        <v>0.35416666666666669</v>
      </c>
      <c r="G36" s="45">
        <f ca="1">SUM(OFFSET($D$10,MATCH($D36,$D$11:$D$26,0),COLUMN(G36)-COLUMN($D$10)):OFFSET($D$10,MATCH($D36,$D$11:$D$26,0)+3,COLUMN(G36)-COLUMN($D$10)))</f>
        <v>928</v>
      </c>
      <c r="H36" s="17">
        <f ca="1">SUM(OFFSET($D$10,MATCH($D36,$D$11:$D$26,0),COLUMN(H36)-COLUMN($D$10)):OFFSET($D$10,MATCH($D36,$D$11:$D$26,0)+3,COLUMN(H36)-COLUMN($D$10)))</f>
        <v>466</v>
      </c>
      <c r="I36" s="17">
        <f ca="1">SUM(OFFSET($D$10,MATCH($D36,$D$11:$D$26,0),COLUMN(I36)-COLUMN($D$10)):OFFSET($D$10,MATCH($D36,$D$11:$D$26,0)+3,COLUMN(I36)-COLUMN($D$10)))</f>
        <v>593</v>
      </c>
      <c r="J36" s="15">
        <f ca="1">SUM(OFFSET($D$10,MATCH($D36,$D$11:$D$26,0),COLUMN(J36)-COLUMN($D$10)):OFFSET($D$10,MATCH($D36,$D$11:$D$26,0)+3,COLUMN(J36)-COLUMN($D$10)))</f>
        <v>2288</v>
      </c>
      <c r="K36" s="16">
        <f ca="1">SUM(OFFSET($D$10,MATCH($D36,$D$11:$D$26,0),COLUMN(K36)-COLUMN($D$10)):OFFSET($D$10,MATCH($D36,$D$11:$D$26,0)+3,COLUMN(K36)-COLUMN($D$10)))</f>
        <v>677</v>
      </c>
      <c r="L36" s="15">
        <f ca="1">SUM(OFFSET($D$10,MATCH($D36,$D$11:$D$26,0),COLUMN(L36)-COLUMN($D$10)):OFFSET($D$10,MATCH($D36,$D$11:$D$26,0)+3,COLUMN(L36)-COLUMN($D$10)))</f>
        <v>511</v>
      </c>
      <c r="M36" s="16">
        <f ca="1">SUM(OFFSET($D$10,MATCH($D36,$D$11:$D$26,0),COLUMN(M36)-COLUMN($D$10)):OFFSET($D$10,MATCH($D36,$D$11:$D$26,0)+3,COLUMN(M36)-COLUMN($D$10)))</f>
        <v>655</v>
      </c>
      <c r="N36" s="16">
        <f ca="1">SUM(OFFSET($D$10,MATCH($D36,$D$11:$D$26,0),COLUMN(N36)-COLUMN($D$10)):OFFSET($D$10,MATCH($D36,$D$11:$D$26,0)+3,COLUMN(N36)-COLUMN($D$10)))</f>
        <v>1233</v>
      </c>
      <c r="P36" s="32">
        <f>INFO!$B$28</f>
        <v>0.3125</v>
      </c>
      <c r="Q36" s="32" t="s">
        <v>1</v>
      </c>
      <c r="R36" s="37">
        <f>P36+60/1440</f>
        <v>0.35416666666666669</v>
      </c>
      <c r="S36" s="63">
        <f t="shared" ca="1" si="2"/>
        <v>1987</v>
      </c>
      <c r="T36" s="17">
        <f t="shared" ca="1" si="3"/>
        <v>3521</v>
      </c>
      <c r="U36" s="18">
        <f t="shared" ca="1" si="4"/>
        <v>5508</v>
      </c>
      <c r="V36" s="16">
        <f t="shared" ca="1" si="5"/>
        <v>2965</v>
      </c>
      <c r="W36" s="16">
        <f t="shared" ca="1" si="6"/>
        <v>2225</v>
      </c>
      <c r="X36" s="16">
        <f t="shared" ca="1" si="7"/>
        <v>5190</v>
      </c>
      <c r="Y36" s="15">
        <f t="shared" ca="1" si="8"/>
        <v>2399</v>
      </c>
      <c r="Z36" s="16">
        <f t="shared" ca="1" si="9"/>
        <v>1605</v>
      </c>
      <c r="AA36" s="16">
        <f t="shared" ca="1" si="10"/>
        <v>4004</v>
      </c>
    </row>
    <row r="37" spans="3:27" ht="12" customHeight="1" x14ac:dyDescent="0.25">
      <c r="C37" s="6" t="s">
        <v>66</v>
      </c>
      <c r="D37" s="34">
        <f>INFO!$B$29</f>
        <v>0.69791666666666663</v>
      </c>
      <c r="E37" s="34" t="s">
        <v>1</v>
      </c>
      <c r="F37" s="34">
        <f>D37+60/1440</f>
        <v>0.73958333333333326</v>
      </c>
      <c r="G37" s="53">
        <f ca="1">SUM(OFFSET($D$10,MATCH($D37,$D$11:$D$26,0),COLUMN(G37)-COLUMN($D$10)):OFFSET($D$10,MATCH($D37,$D$11:$D$26,0)+3,COLUMN(G37)-COLUMN($D$10)))</f>
        <v>1344</v>
      </c>
      <c r="H37" s="30">
        <f ca="1">SUM(OFFSET($D$10,MATCH($D37,$D$11:$D$26,0),COLUMN(H37)-COLUMN($D$10)):OFFSET($D$10,MATCH($D37,$D$11:$D$26,0)+3,COLUMN(H37)-COLUMN($D$10)))</f>
        <v>812</v>
      </c>
      <c r="I37" s="30">
        <f ca="1">SUM(OFFSET($D$10,MATCH($D37,$D$11:$D$26,0),COLUMN(I37)-COLUMN($D$10)):OFFSET($D$10,MATCH($D37,$D$11:$D$26,0)+3,COLUMN(I37)-COLUMN($D$10)))</f>
        <v>654</v>
      </c>
      <c r="J37" s="28">
        <f ca="1">SUM(OFFSET($D$10,MATCH($D37,$D$11:$D$26,0),COLUMN(J37)-COLUMN($D$10)):OFFSET($D$10,MATCH($D37,$D$11:$D$26,0)+3,COLUMN(J37)-COLUMN($D$10)))</f>
        <v>1702</v>
      </c>
      <c r="K37" s="29">
        <f ca="1">SUM(OFFSET($D$10,MATCH($D37,$D$11:$D$26,0),COLUMN(K37)-COLUMN($D$10)):OFFSET($D$10,MATCH($D37,$D$11:$D$26,0)+3,COLUMN(K37)-COLUMN($D$10)))</f>
        <v>689</v>
      </c>
      <c r="L37" s="28">
        <f ca="1">SUM(OFFSET($D$10,MATCH($D37,$D$11:$D$26,0),COLUMN(L37)-COLUMN($D$10)):OFFSET($D$10,MATCH($D37,$D$11:$D$26,0)+3,COLUMN(L37)-COLUMN($D$10)))</f>
        <v>679</v>
      </c>
      <c r="M37" s="29">
        <f ca="1">SUM(OFFSET($D$10,MATCH($D37,$D$11:$D$26,0),COLUMN(M37)-COLUMN($D$10)):OFFSET($D$10,MATCH($D37,$D$11:$D$26,0)+3,COLUMN(M37)-COLUMN($D$10)))</f>
        <v>613</v>
      </c>
      <c r="N37" s="29">
        <f ca="1">SUM(OFFSET($D$10,MATCH($D37,$D$11:$D$26,0),COLUMN(N37)-COLUMN($D$10)):OFFSET($D$10,MATCH($D37,$D$11:$D$26,0)+3,COLUMN(N37)-COLUMN($D$10)))</f>
        <v>984</v>
      </c>
      <c r="P37" s="34">
        <f>INFO!$B$29</f>
        <v>0.69791666666666663</v>
      </c>
      <c r="Q37" s="34" t="s">
        <v>1</v>
      </c>
      <c r="R37" s="40">
        <f>P37+60/1440</f>
        <v>0.73958333333333326</v>
      </c>
      <c r="S37" s="65">
        <f t="shared" ca="1" si="2"/>
        <v>2810</v>
      </c>
      <c r="T37" s="30">
        <f t="shared" ca="1" si="3"/>
        <v>2686</v>
      </c>
      <c r="U37" s="31">
        <f t="shared" ca="1" si="4"/>
        <v>5496</v>
      </c>
      <c r="V37" s="29">
        <f t="shared" ca="1" si="5"/>
        <v>2391</v>
      </c>
      <c r="W37" s="29">
        <f t="shared" ca="1" si="6"/>
        <v>2758</v>
      </c>
      <c r="X37" s="29">
        <f t="shared" ca="1" si="7"/>
        <v>5149</v>
      </c>
      <c r="Y37" s="28">
        <f t="shared" ca="1" si="8"/>
        <v>2276</v>
      </c>
      <c r="Z37" s="29">
        <f t="shared" ca="1" si="9"/>
        <v>2033</v>
      </c>
      <c r="AA37" s="29">
        <f t="shared" ca="1" si="10"/>
        <v>4309</v>
      </c>
    </row>
    <row r="38" spans="3:27" ht="12" customHeight="1" x14ac:dyDescent="0.25">
      <c r="C38" s="6" t="s">
        <v>66</v>
      </c>
    </row>
    <row r="39" spans="3:27" ht="12" customHeight="1" x14ac:dyDescent="0.25">
      <c r="C39" s="6" t="s">
        <v>66</v>
      </c>
      <c r="D39" s="178" t="s">
        <v>141</v>
      </c>
    </row>
    <row r="40" spans="3:27" ht="12" customHeight="1" x14ac:dyDescent="0.25">
      <c r="C40" s="6" t="s">
        <v>66</v>
      </c>
      <c r="D40" s="178" t="s">
        <v>142</v>
      </c>
    </row>
    <row r="41" spans="3:27" ht="12" customHeight="1" x14ac:dyDescent="0.25">
      <c r="C41" s="6" t="s">
        <v>66</v>
      </c>
    </row>
    <row r="42" spans="3:27" ht="12" customHeight="1" x14ac:dyDescent="0.25">
      <c r="C42" s="6" t="s">
        <v>66</v>
      </c>
    </row>
    <row r="43" spans="3:27" ht="12" customHeight="1" x14ac:dyDescent="0.25">
      <c r="C43" s="6"/>
    </row>
    <row r="44" spans="3:27" ht="12" customHeight="1" x14ac:dyDescent="0.25">
      <c r="C44" s="6"/>
    </row>
    <row r="45" spans="3:27" ht="12" customHeight="1" x14ac:dyDescent="0.25">
      <c r="C45" s="6"/>
    </row>
    <row r="46" spans="3:27" ht="12" customHeight="1" x14ac:dyDescent="0.25">
      <c r="C46" s="6"/>
    </row>
    <row r="47" spans="3:27" ht="12" customHeight="1" x14ac:dyDescent="0.25">
      <c r="C47" s="6"/>
    </row>
    <row r="48" spans="3:27" ht="12" customHeight="1" x14ac:dyDescent="0.25">
      <c r="C48" s="6"/>
    </row>
    <row r="49" spans="2:3" ht="12" customHeight="1" x14ac:dyDescent="0.25">
      <c r="C49" s="6"/>
    </row>
    <row r="50" spans="2:3" ht="12" customHeight="1" x14ac:dyDescent="0.25">
      <c r="C50" s="6"/>
    </row>
    <row r="51" spans="2:3" ht="12" customHeight="1" x14ac:dyDescent="0.25">
      <c r="C51" s="6"/>
    </row>
    <row r="52" spans="2:3" ht="12" customHeight="1" x14ac:dyDescent="0.25">
      <c r="C52" s="6"/>
    </row>
    <row r="53" spans="2:3" ht="12" customHeight="1" x14ac:dyDescent="0.25">
      <c r="C53" s="6"/>
    </row>
    <row r="54" spans="2:3" ht="12" customHeight="1" x14ac:dyDescent="0.25">
      <c r="C54" s="6" t="s">
        <v>66</v>
      </c>
    </row>
    <row r="55" spans="2:3" ht="12" customHeight="1" x14ac:dyDescent="0.25">
      <c r="C55" s="6" t="s">
        <v>66</v>
      </c>
    </row>
    <row r="56" spans="2:3" ht="12" customHeight="1" x14ac:dyDescent="0.25">
      <c r="B56" s="9" t="s">
        <v>98</v>
      </c>
      <c r="C56" s="6" t="s">
        <v>66</v>
      </c>
    </row>
    <row r="57" spans="2:3" ht="12" customHeight="1" x14ac:dyDescent="0.25">
      <c r="B57" s="5" t="s">
        <v>138</v>
      </c>
      <c r="C57" s="6" t="s">
        <v>66</v>
      </c>
    </row>
    <row r="58" spans="2:3" ht="12" customHeight="1" x14ac:dyDescent="0.25">
      <c r="B58" s="5" t="s">
        <v>140</v>
      </c>
      <c r="C58" s="6" t="s">
        <v>66</v>
      </c>
    </row>
    <row r="59" spans="2:3" ht="12" customHeight="1" x14ac:dyDescent="0.25">
      <c r="B59" s="5" t="s">
        <v>139</v>
      </c>
      <c r="C59" s="6" t="s">
        <v>66</v>
      </c>
    </row>
    <row r="60" spans="2:3" ht="12" customHeight="1" x14ac:dyDescent="0.25">
      <c r="C60" s="6" t="s">
        <v>66</v>
      </c>
    </row>
    <row r="61" spans="2:3" ht="12" customHeight="1" x14ac:dyDescent="0.25">
      <c r="B61" s="1"/>
      <c r="C61" s="6" t="s">
        <v>66</v>
      </c>
    </row>
    <row r="62" spans="2:3" ht="12" customHeight="1" x14ac:dyDescent="0.25">
      <c r="C62" s="6" t="s">
        <v>66</v>
      </c>
    </row>
    <row r="63" spans="2:3" ht="12" customHeight="1" x14ac:dyDescent="0.25">
      <c r="C63" s="6" t="s">
        <v>66</v>
      </c>
    </row>
    <row r="64" spans="2:3" ht="12" customHeight="1" x14ac:dyDescent="0.25">
      <c r="B64" s="1"/>
      <c r="C64" s="6" t="s">
        <v>66</v>
      </c>
    </row>
    <row r="65" spans="2:2" ht="12" customHeight="1" x14ac:dyDescent="0.2">
      <c r="B65" s="1"/>
    </row>
    <row r="66" spans="2:2" ht="12" customHeight="1" x14ac:dyDescent="0.2">
      <c r="B66" s="1"/>
    </row>
    <row r="67" spans="2:2" ht="12" customHeight="1" x14ac:dyDescent="0.2">
      <c r="B67" s="1"/>
    </row>
  </sheetData>
  <mergeCells count="2">
    <mergeCell ref="D6:L7"/>
    <mergeCell ref="P6:AA7"/>
  </mergeCells>
  <pageMargins left="0.39370078740157483" right="0.39370078740157483" top="0.59055118110236227" bottom="0.59055118110236227" header="0.31496062992125984" footer="0.39370078740157483"/>
  <pageSetup paperSize="9" scale="75" firstPageNumber="8" orientation="landscape" r:id="rId1"/>
  <headerFooter>
    <oddHeader>&amp;A</oddHeader>
    <oddFooter>&amp;L&amp;"Core Sans NR 45 Regular,Standaard"&amp;12&amp;K03+000&amp;P&amp;R&amp;"Core Sans NR 45 Regular,Vet"&amp;16&amp;K03+000DUFEC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">
    <pageSetUpPr autoPageBreaks="0"/>
  </sheetPr>
  <dimension ref="A1:O63"/>
  <sheetViews>
    <sheetView showGridLines="0" topLeftCell="A19" zoomScaleNormal="100" zoomScaleSheetLayoutView="100" workbookViewId="0"/>
  </sheetViews>
  <sheetFormatPr defaultColWidth="8.83203125" defaultRowHeight="12" customHeight="1" x14ac:dyDescent="0.2"/>
  <cols>
    <col min="1" max="1" width="2.83203125" style="5" customWidth="1"/>
    <col min="2" max="2" width="42.83203125" style="5" customWidth="1"/>
    <col min="3" max="3" width="2.83203125" style="5" customWidth="1"/>
    <col min="4" max="4" width="38.33203125" style="1" customWidth="1"/>
    <col min="5" max="5" width="11.5" style="1" customWidth="1"/>
    <col min="6" max="8" width="11.5" style="2" customWidth="1"/>
    <col min="9" max="9" width="5.83203125" style="5" customWidth="1"/>
    <col min="10" max="10" width="38.33203125" style="1" customWidth="1"/>
    <col min="11" max="11" width="11.5" style="1" customWidth="1"/>
    <col min="12" max="14" width="11.5" style="2" customWidth="1"/>
    <col min="15" max="15" width="5.83203125" style="5" customWidth="1"/>
    <col min="16" max="16384" width="8.83203125" style="1"/>
  </cols>
  <sheetData>
    <row r="1" spans="2:14" ht="12" customHeight="1" x14ac:dyDescent="0.2">
      <c r="D1" s="5"/>
      <c r="E1" s="5"/>
      <c r="F1" s="5"/>
      <c r="G1" s="5"/>
      <c r="H1" s="5"/>
      <c r="J1" s="5"/>
      <c r="K1" s="5"/>
      <c r="L1" s="5"/>
      <c r="M1" s="5"/>
      <c r="N1" s="5"/>
    </row>
    <row r="2" spans="2:14" ht="24" customHeight="1" x14ac:dyDescent="0.25">
      <c r="B2" s="13" t="s">
        <v>5</v>
      </c>
      <c r="C2" s="6" t="s">
        <v>66</v>
      </c>
      <c r="D2" s="13" t="str">
        <f>UPPER(B8)</f>
        <v>A19 / R8 KNOOPPUNT KORTRIJK-WEST</v>
      </c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2:14" ht="24" customHeight="1" x14ac:dyDescent="0.25">
      <c r="B3" s="12" t="s">
        <v>6</v>
      </c>
      <c r="C3" s="6" t="s">
        <v>66</v>
      </c>
      <c r="D3" s="12" t="s">
        <v>118</v>
      </c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2:14" ht="12" customHeight="1" x14ac:dyDescent="0.25">
      <c r="B4" s="12"/>
      <c r="C4" s="6" t="s">
        <v>66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</row>
    <row r="5" spans="2:14" ht="12" customHeight="1" x14ac:dyDescent="0.25">
      <c r="B5" s="12"/>
      <c r="C5" s="6" t="s">
        <v>66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2:14" ht="12" customHeight="1" x14ac:dyDescent="0.25">
      <c r="B6" s="8"/>
      <c r="C6" s="6" t="s">
        <v>66</v>
      </c>
      <c r="D6" s="179" t="s">
        <v>105</v>
      </c>
      <c r="E6" s="179"/>
      <c r="F6" s="179"/>
      <c r="G6" s="179"/>
      <c r="H6" s="179"/>
      <c r="J6" s="179" t="s">
        <v>106</v>
      </c>
      <c r="K6" s="179"/>
      <c r="L6" s="179"/>
      <c r="M6" s="179"/>
      <c r="N6" s="179"/>
    </row>
    <row r="7" spans="2:14" ht="12" customHeight="1" x14ac:dyDescent="0.25">
      <c r="B7" s="9" t="s">
        <v>7</v>
      </c>
      <c r="C7" s="6" t="s">
        <v>66</v>
      </c>
      <c r="D7" s="179"/>
      <c r="E7" s="179"/>
      <c r="F7" s="179"/>
      <c r="G7" s="179"/>
      <c r="H7" s="179"/>
      <c r="J7" s="179"/>
      <c r="K7" s="179"/>
      <c r="L7" s="179"/>
      <c r="M7" s="179"/>
      <c r="N7" s="179"/>
    </row>
    <row r="8" spans="2:14" ht="12" customHeight="1" x14ac:dyDescent="0.25">
      <c r="B8" s="8" t="str">
        <f>INFO!$B$4</f>
        <v>A19 / R8 Knooppunt Kortrijk-West</v>
      </c>
      <c r="C8" s="6" t="s">
        <v>66</v>
      </c>
      <c r="D8" s="35" t="s">
        <v>8</v>
      </c>
      <c r="E8" s="14"/>
      <c r="F8" s="23"/>
      <c r="G8" s="39"/>
      <c r="H8" s="23"/>
      <c r="J8" s="35" t="s">
        <v>8</v>
      </c>
      <c r="K8" s="14"/>
      <c r="L8" s="23"/>
      <c r="M8" s="39"/>
      <c r="N8" s="23"/>
    </row>
    <row r="9" spans="2:14" ht="12" customHeight="1" x14ac:dyDescent="0.25">
      <c r="C9" s="6" t="s">
        <v>66</v>
      </c>
      <c r="D9" s="143" t="s">
        <v>9</v>
      </c>
      <c r="E9" s="144" t="s">
        <v>18</v>
      </c>
      <c r="F9" s="144" t="s">
        <v>68</v>
      </c>
      <c r="G9" s="145" t="s">
        <v>31</v>
      </c>
      <c r="H9" s="144" t="s">
        <v>0</v>
      </c>
      <c r="J9" s="143" t="s">
        <v>9</v>
      </c>
      <c r="K9" s="144" t="s">
        <v>18</v>
      </c>
      <c r="L9" s="144" t="s">
        <v>68</v>
      </c>
      <c r="M9" s="145" t="s">
        <v>31</v>
      </c>
      <c r="N9" s="144" t="s">
        <v>0</v>
      </c>
    </row>
    <row r="10" spans="2:14" ht="12" customHeight="1" x14ac:dyDescent="0.25">
      <c r="B10" s="8" t="str">
        <f>D3</f>
        <v>Kruispunt R8 / Verbindingsboog A19</v>
      </c>
      <c r="C10" s="6" t="s">
        <v>66</v>
      </c>
      <c r="D10" s="146" t="str">
        <f>INFO!$B$21</f>
        <v>Z. R8 komende van Complex Bissegem</v>
      </c>
      <c r="E10" s="173" t="s">
        <v>1</v>
      </c>
      <c r="F10" s="147" t="s">
        <v>1</v>
      </c>
      <c r="G10" s="148">
        <f ca="1">Kpt.PAE_Tot!G36</f>
        <v>2087</v>
      </c>
      <c r="H10" s="147">
        <f ca="1">SUM(E10:G10)</f>
        <v>2087</v>
      </c>
      <c r="J10" s="146" t="str">
        <f>INFO!$B$21</f>
        <v>Z. R8 komende van Complex Bissegem</v>
      </c>
      <c r="K10" s="147" t="s">
        <v>1</v>
      </c>
      <c r="L10" s="147" t="s">
        <v>1</v>
      </c>
      <c r="M10" s="148">
        <f ca="1">Kpt.PAE_Tot!G37</f>
        <v>2915</v>
      </c>
      <c r="N10" s="147">
        <f ca="1">SUM(K10:M10)</f>
        <v>2915</v>
      </c>
    </row>
    <row r="11" spans="2:14" ht="12" customHeight="1" x14ac:dyDescent="0.25">
      <c r="B11" s="8" t="str">
        <f>INFO!$C$21</f>
        <v>Z = R8 komende van Complex Bissegem</v>
      </c>
      <c r="C11" s="6" t="s">
        <v>66</v>
      </c>
      <c r="D11" s="141" t="str">
        <f>INFO!$B$22</f>
        <v>W. Verbindingsboog komende van A19</v>
      </c>
      <c r="E11" s="25">
        <f ca="1">Kpt.PAE_Tot!H36</f>
        <v>2431</v>
      </c>
      <c r="F11" s="174" t="s">
        <v>1</v>
      </c>
      <c r="G11" s="58">
        <f ca="1">Kpt.PAE_Tot!I36</f>
        <v>715</v>
      </c>
      <c r="H11" s="25">
        <f t="shared" ref="H11:H13" ca="1" si="0">SUM(E11:G11)</f>
        <v>3146</v>
      </c>
      <c r="J11" s="141" t="str">
        <f>INFO!$B$22</f>
        <v>W. Verbindingsboog komende van A19</v>
      </c>
      <c r="K11" s="25">
        <f ca="1">Kpt.PAE_Tot!H37</f>
        <v>1816</v>
      </c>
      <c r="L11" s="25" t="s">
        <v>1</v>
      </c>
      <c r="M11" s="58">
        <f ca="1">Kpt.PAE_Tot!I37</f>
        <v>721</v>
      </c>
      <c r="N11" s="25">
        <f t="shared" ref="N11:N13" ca="1" si="1">SUM(K11:M11)</f>
        <v>2537</v>
      </c>
    </row>
    <row r="12" spans="2:14" ht="12" customHeight="1" x14ac:dyDescent="0.25">
      <c r="B12" s="8" t="str">
        <f>INFO!$C$22</f>
        <v>W = Verbindingsboog komende van A19</v>
      </c>
      <c r="C12" s="6" t="s">
        <v>66</v>
      </c>
      <c r="D12" s="146" t="str">
        <f>INFO!$B$23</f>
        <v>N. R8 komende van Complex Gullegem</v>
      </c>
      <c r="E12" s="147">
        <f ca="1">Kpt.PAE_Tot!J36</f>
        <v>1272</v>
      </c>
      <c r="F12" s="147" t="s">
        <v>1</v>
      </c>
      <c r="G12" s="175" t="s">
        <v>1</v>
      </c>
      <c r="H12" s="147">
        <f t="shared" ca="1" si="0"/>
        <v>1272</v>
      </c>
      <c r="J12" s="146" t="str">
        <f>INFO!$B$23</f>
        <v>N. R8 komende van Complex Gullegem</v>
      </c>
      <c r="K12" s="147">
        <f ca="1">Kpt.PAE_Tot!J37</f>
        <v>1016</v>
      </c>
      <c r="L12" s="147" t="s">
        <v>1</v>
      </c>
      <c r="M12" s="148" t="s">
        <v>1</v>
      </c>
      <c r="N12" s="147">
        <f t="shared" ca="1" si="1"/>
        <v>1016</v>
      </c>
    </row>
    <row r="13" spans="2:14" ht="12" customHeight="1" x14ac:dyDescent="0.25">
      <c r="B13" s="8" t="str">
        <f>INFO!$C$23</f>
        <v>N = R8 komende van Complex Gullegem</v>
      </c>
      <c r="C13" s="6" t="s">
        <v>66</v>
      </c>
      <c r="D13" s="142" t="s">
        <v>0</v>
      </c>
      <c r="E13" s="54">
        <f ca="1">SUM(E10:E12)</f>
        <v>3703</v>
      </c>
      <c r="F13" s="54">
        <f t="shared" ref="F13:G13" si="2">SUM(F10:F12)</f>
        <v>0</v>
      </c>
      <c r="G13" s="55">
        <f t="shared" ca="1" si="2"/>
        <v>2802</v>
      </c>
      <c r="H13" s="56">
        <f t="shared" ca="1" si="0"/>
        <v>6505</v>
      </c>
      <c r="J13" s="142" t="s">
        <v>0</v>
      </c>
      <c r="K13" s="54">
        <f ca="1">SUM(K10:K12)</f>
        <v>2832</v>
      </c>
      <c r="L13" s="54">
        <f t="shared" ref="L13" si="3">SUM(L10:L12)</f>
        <v>0</v>
      </c>
      <c r="M13" s="55">
        <f t="shared" ref="M13" ca="1" si="4">SUM(M10:M12)</f>
        <v>3636</v>
      </c>
      <c r="N13" s="56">
        <f t="shared" ca="1" si="1"/>
        <v>6468</v>
      </c>
    </row>
    <row r="14" spans="2:14" s="5" customFormat="1" ht="12" customHeight="1" x14ac:dyDescent="0.25">
      <c r="B14" s="8"/>
      <c r="C14" s="6" t="s">
        <v>66</v>
      </c>
      <c r="D14" s="59"/>
      <c r="E14" s="60"/>
      <c r="F14" s="61"/>
      <c r="G14" s="62"/>
      <c r="H14" s="61"/>
      <c r="J14" s="59"/>
      <c r="K14" s="60"/>
      <c r="L14" s="61"/>
      <c r="M14" s="62"/>
      <c r="N14" s="61"/>
    </row>
    <row r="15" spans="2:14" s="5" customFormat="1" ht="12" customHeight="1" x14ac:dyDescent="0.25">
      <c r="B15" s="9" t="s">
        <v>2</v>
      </c>
      <c r="C15" s="6" t="s">
        <v>66</v>
      </c>
    </row>
    <row r="16" spans="2:14" s="5" customFormat="1" ht="12" customHeight="1" x14ac:dyDescent="0.25">
      <c r="B16" s="8" t="str">
        <f>"Meetdag: "&amp;INFO!$B$11</f>
        <v>Meetdag: Donderdag 3 oktober 2019</v>
      </c>
      <c r="C16" s="6" t="s">
        <v>66</v>
      </c>
      <c r="D16" s="5" t="str">
        <f>"Drukste uur ochtend: "&amp;TEXT(INFO!$B$28,"uu:mm")&amp; " - "&amp;TEXT(INFO!$C$28,"uu:mm")&amp;" uur"</f>
        <v>Drukste uur ochtend: 07:30 - 08:30 uur</v>
      </c>
      <c r="J16" s="5" t="str">
        <f>"Drukste uur avond: "&amp;TEXT(INFO!$B$29,"uu:mm")&amp; " - "&amp;TEXT(INFO!$C$29,"uu:mm")&amp;" uur"</f>
        <v>Drukste uur avond: 16:45 - 17:45 uur</v>
      </c>
    </row>
    <row r="17" spans="2:15" s="5" customFormat="1" ht="12" customHeight="1" x14ac:dyDescent="0.25">
      <c r="B17" s="8" t="str">
        <f>"Methodiek: "&amp;INFO!$B$13</f>
        <v>Methodiek: Video + auto. beeldverwerking / ANPR</v>
      </c>
      <c r="C17" s="6" t="s">
        <v>66</v>
      </c>
    </row>
    <row r="18" spans="2:15" s="5" customFormat="1" ht="12" customHeight="1" x14ac:dyDescent="0.25">
      <c r="B18" s="8" t="str">
        <f>"In opdracht van: "&amp;INFO!$B$12</f>
        <v>In opdracht van: Agentschap Wegen en Verkeer</v>
      </c>
      <c r="C18" s="6" t="s">
        <v>66</v>
      </c>
      <c r="O18" s="57"/>
    </row>
    <row r="19" spans="2:15" s="5" customFormat="1" ht="12" customHeight="1" x14ac:dyDescent="0.25">
      <c r="B19" s="8" t="s">
        <v>3</v>
      </c>
      <c r="C19" s="6" t="s">
        <v>66</v>
      </c>
      <c r="O19" s="57"/>
    </row>
    <row r="20" spans="2:15" s="5" customFormat="1" ht="12" customHeight="1" x14ac:dyDescent="0.25">
      <c r="B20" s="8"/>
      <c r="C20" s="6" t="s">
        <v>66</v>
      </c>
      <c r="O20" s="57"/>
    </row>
    <row r="21" spans="2:15" s="5" customFormat="1" ht="12" customHeight="1" x14ac:dyDescent="0.25">
      <c r="B21" s="9" t="s">
        <v>87</v>
      </c>
      <c r="C21" s="6" t="s">
        <v>66</v>
      </c>
      <c r="O21" s="57"/>
    </row>
    <row r="22" spans="2:15" s="5" customFormat="1" ht="12" customHeight="1" x14ac:dyDescent="0.25">
      <c r="B22" s="8" t="str">
        <f>"Dossier: "&amp;INFO!$B$5</f>
        <v>Dossier: MDN75-WVL047</v>
      </c>
      <c r="C22" s="6" t="s">
        <v>66</v>
      </c>
      <c r="O22" s="57"/>
    </row>
    <row r="23" spans="2:15" s="5" customFormat="1" ht="12" customHeight="1" x14ac:dyDescent="0.25">
      <c r="B23" s="8" t="str">
        <f>"V-plan: "&amp;INFO!$B$6</f>
        <v>V-plan: -</v>
      </c>
      <c r="C23" s="6" t="s">
        <v>66</v>
      </c>
      <c r="O23" s="57"/>
    </row>
    <row r="24" spans="2:15" s="5" customFormat="1" ht="12" customHeight="1" x14ac:dyDescent="0.25">
      <c r="B24" s="8" t="str">
        <f>"Provincie: "&amp;INFO!$B$7</f>
        <v>Provincie: West-Vlaanderen</v>
      </c>
      <c r="C24" s="6" t="s">
        <v>66</v>
      </c>
      <c r="O24" s="57"/>
    </row>
    <row r="25" spans="2:15" s="5" customFormat="1" ht="12" customHeight="1" x14ac:dyDescent="0.25">
      <c r="B25" s="8" t="str">
        <f>"Gemeente: "&amp;INFO!$B$8</f>
        <v>Gemeente: Kortrijk</v>
      </c>
      <c r="C25" s="6" t="s">
        <v>66</v>
      </c>
      <c r="O25" s="57"/>
    </row>
    <row r="26" spans="2:15" s="5" customFormat="1" ht="12" customHeight="1" x14ac:dyDescent="0.25">
      <c r="B26" s="8" t="str">
        <f>"Deelgemeente: "&amp;INFO!$B$9</f>
        <v>Deelgemeente: Kortrijk</v>
      </c>
      <c r="C26" s="6" t="s">
        <v>66</v>
      </c>
      <c r="O26" s="57"/>
    </row>
    <row r="27" spans="2:15" s="5" customFormat="1" ht="12" customHeight="1" x14ac:dyDescent="0.25">
      <c r="B27" s="8" t="str">
        <f>"Weer: "&amp;INFO!$B$10</f>
        <v>Weer: Droog, geheel bewolkt, 15 °C</v>
      </c>
      <c r="C27" s="6" t="s">
        <v>66</v>
      </c>
      <c r="O27" s="57"/>
    </row>
    <row r="28" spans="2:15" s="5" customFormat="1" ht="12" customHeight="1" x14ac:dyDescent="0.25">
      <c r="B28" s="8"/>
      <c r="C28" s="6" t="s">
        <v>66</v>
      </c>
      <c r="O28" s="57"/>
    </row>
    <row r="29" spans="2:15" s="5" customFormat="1" ht="12" customHeight="1" x14ac:dyDescent="0.25">
      <c r="B29" s="9" t="s">
        <v>98</v>
      </c>
      <c r="C29" s="6" t="s">
        <v>66</v>
      </c>
      <c r="O29" s="57"/>
    </row>
    <row r="30" spans="2:15" s="5" customFormat="1" ht="12" customHeight="1" x14ac:dyDescent="0.25">
      <c r="B30" s="5" t="s">
        <v>107</v>
      </c>
      <c r="C30" s="6" t="s">
        <v>66</v>
      </c>
      <c r="O30" s="57"/>
    </row>
    <row r="31" spans="2:15" s="5" customFormat="1" ht="12" customHeight="1" x14ac:dyDescent="0.25">
      <c r="B31" s="8"/>
      <c r="C31" s="6" t="s">
        <v>66</v>
      </c>
      <c r="O31" s="57"/>
    </row>
    <row r="32" spans="2:15" s="5" customFormat="1" ht="12" customHeight="1" x14ac:dyDescent="0.25">
      <c r="B32" s="8"/>
      <c r="C32" s="6" t="s">
        <v>66</v>
      </c>
      <c r="O32" s="57"/>
    </row>
    <row r="33" spans="2:15" s="5" customFormat="1" ht="12" customHeight="1" x14ac:dyDescent="0.25">
      <c r="B33" s="8"/>
      <c r="C33" s="6" t="s">
        <v>66</v>
      </c>
      <c r="O33" s="57"/>
    </row>
    <row r="34" spans="2:15" s="5" customFormat="1" ht="12" customHeight="1" x14ac:dyDescent="0.25">
      <c r="B34" s="8"/>
      <c r="C34" s="6" t="s">
        <v>66</v>
      </c>
      <c r="O34" s="57"/>
    </row>
    <row r="35" spans="2:15" s="5" customFormat="1" ht="12" customHeight="1" x14ac:dyDescent="0.25">
      <c r="B35" s="8"/>
      <c r="C35" s="6" t="s">
        <v>66</v>
      </c>
      <c r="O35" s="57"/>
    </row>
    <row r="36" spans="2:15" s="5" customFormat="1" ht="12" customHeight="1" x14ac:dyDescent="0.25">
      <c r="B36" s="8"/>
      <c r="C36" s="6" t="s">
        <v>66</v>
      </c>
      <c r="O36" s="57"/>
    </row>
    <row r="37" spans="2:15" s="5" customFormat="1" ht="12" customHeight="1" x14ac:dyDescent="0.25">
      <c r="B37" s="8"/>
      <c r="C37" s="6" t="s">
        <v>66</v>
      </c>
      <c r="O37" s="57"/>
    </row>
    <row r="38" spans="2:15" s="5" customFormat="1" ht="12" customHeight="1" x14ac:dyDescent="0.25">
      <c r="B38" s="8"/>
      <c r="C38" s="6" t="s">
        <v>66</v>
      </c>
      <c r="O38" s="57"/>
    </row>
    <row r="39" spans="2:15" s="5" customFormat="1" ht="12" customHeight="1" x14ac:dyDescent="0.25">
      <c r="B39" s="8"/>
      <c r="C39" s="6" t="s">
        <v>66</v>
      </c>
      <c r="O39" s="57"/>
    </row>
    <row r="40" spans="2:15" s="5" customFormat="1" ht="12" customHeight="1" x14ac:dyDescent="0.25">
      <c r="B40" s="8"/>
      <c r="C40" s="6" t="s">
        <v>66</v>
      </c>
      <c r="O40" s="57"/>
    </row>
    <row r="41" spans="2:15" s="5" customFormat="1" ht="12" customHeight="1" x14ac:dyDescent="0.25">
      <c r="B41" s="8"/>
      <c r="C41" s="6" t="s">
        <v>66</v>
      </c>
      <c r="O41" s="57"/>
    </row>
    <row r="42" spans="2:15" s="5" customFormat="1" ht="12" customHeight="1" x14ac:dyDescent="0.25">
      <c r="B42" s="8"/>
      <c r="C42" s="6" t="s">
        <v>66</v>
      </c>
      <c r="O42" s="57"/>
    </row>
    <row r="43" spans="2:15" s="5" customFormat="1" ht="12" customHeight="1" x14ac:dyDescent="0.25">
      <c r="B43" s="8"/>
      <c r="C43" s="6" t="s">
        <v>66</v>
      </c>
      <c r="O43" s="57"/>
    </row>
    <row r="44" spans="2:15" s="5" customFormat="1" ht="12" customHeight="1" x14ac:dyDescent="0.25">
      <c r="B44" s="8"/>
      <c r="C44" s="6" t="s">
        <v>66</v>
      </c>
      <c r="O44" s="57"/>
    </row>
    <row r="45" spans="2:15" s="5" customFormat="1" ht="12" customHeight="1" x14ac:dyDescent="0.25">
      <c r="B45" s="8"/>
      <c r="C45" s="6" t="s">
        <v>66</v>
      </c>
    </row>
    <row r="46" spans="2:15" s="5" customFormat="1" ht="12" customHeight="1" x14ac:dyDescent="0.25">
      <c r="B46" s="8"/>
      <c r="C46" s="6" t="s">
        <v>66</v>
      </c>
    </row>
    <row r="47" spans="2:15" s="5" customFormat="1" ht="12" customHeight="1" x14ac:dyDescent="0.25">
      <c r="B47" s="8"/>
      <c r="C47" s="6" t="s">
        <v>66</v>
      </c>
    </row>
    <row r="48" spans="2:15" s="5" customFormat="1" ht="12" customHeight="1" x14ac:dyDescent="0.25">
      <c r="B48" s="8"/>
      <c r="C48" s="6" t="s">
        <v>66</v>
      </c>
    </row>
    <row r="49" spans="1:15" s="5" customFormat="1" ht="12" customHeight="1" x14ac:dyDescent="0.25">
      <c r="C49" s="6" t="s">
        <v>66</v>
      </c>
    </row>
    <row r="50" spans="1:15" s="5" customFormat="1" ht="12" customHeight="1" x14ac:dyDescent="0.25">
      <c r="C50" s="6" t="s">
        <v>66</v>
      </c>
    </row>
    <row r="51" spans="1:15" s="5" customFormat="1" ht="12" customHeight="1" x14ac:dyDescent="0.25">
      <c r="C51" s="6" t="s">
        <v>66</v>
      </c>
    </row>
    <row r="52" spans="1:15" s="5" customFormat="1" ht="12" customHeight="1" x14ac:dyDescent="0.2"/>
    <row r="53" spans="1:15" s="5" customFormat="1" ht="12" customHeight="1" x14ac:dyDescent="0.2"/>
    <row r="54" spans="1:15" s="5" customFormat="1" ht="12" customHeight="1" x14ac:dyDescent="0.2"/>
    <row r="55" spans="1:15" ht="12" customHeight="1" x14ac:dyDescent="0.2">
      <c r="E55" s="2"/>
      <c r="K55" s="2"/>
    </row>
    <row r="56" spans="1:15" ht="12" customHeight="1" x14ac:dyDescent="0.2">
      <c r="E56" s="2"/>
      <c r="K56" s="2"/>
    </row>
    <row r="57" spans="1:15" ht="12" customHeight="1" x14ac:dyDescent="0.2">
      <c r="E57" s="2"/>
      <c r="K57" s="2"/>
    </row>
    <row r="58" spans="1:15" ht="12" customHeight="1" x14ac:dyDescent="0.2">
      <c r="E58" s="2"/>
      <c r="K58" s="2"/>
    </row>
    <row r="59" spans="1:15" ht="12" customHeight="1" x14ac:dyDescent="0.2">
      <c r="E59" s="2"/>
      <c r="K59" s="2"/>
    </row>
    <row r="60" spans="1:15" ht="12" customHeight="1" x14ac:dyDescent="0.2">
      <c r="E60" s="2"/>
      <c r="K60" s="2"/>
    </row>
    <row r="61" spans="1:15" ht="12" customHeight="1" x14ac:dyDescent="0.2">
      <c r="E61" s="2"/>
      <c r="K61" s="2"/>
    </row>
    <row r="62" spans="1:15" s="2" customFormat="1" ht="12" customHeight="1" x14ac:dyDescent="0.2">
      <c r="A62" s="5"/>
      <c r="B62" s="5"/>
      <c r="C62" s="5"/>
      <c r="D62" s="1"/>
      <c r="I62" s="5"/>
      <c r="J62" s="1"/>
      <c r="O62" s="5"/>
    </row>
    <row r="63" spans="1:15" s="2" customFormat="1" ht="12" customHeight="1" x14ac:dyDescent="0.2">
      <c r="A63" s="5"/>
      <c r="B63" s="5"/>
      <c r="C63" s="5"/>
      <c r="D63" s="1"/>
      <c r="I63" s="5"/>
      <c r="J63" s="1"/>
      <c r="O63" s="5"/>
    </row>
  </sheetData>
  <mergeCells count="2">
    <mergeCell ref="D6:H7"/>
    <mergeCell ref="J6:N7"/>
  </mergeCells>
  <pageMargins left="0.39370078740157483" right="0.39370078740157483" top="0.59055118110236227" bottom="0.59055118110236227" header="0.31496062992125984" footer="0.39370078740157483"/>
  <pageSetup paperSize="9" scale="75" orientation="landscape" r:id="rId1"/>
  <headerFooter>
    <oddHeader>&amp;A</oddHeader>
    <oddFooter>&amp;L&amp;"Core Sans NR 45 Regular,Standaard"&amp;12&amp;K03+000&amp;P&amp;R&amp;"Core Sans NR 45 Regular,Vet"&amp;16&amp;K03+000DUFEC</oddFooter>
  </headerFooter>
  <rowBreaks count="1" manualBreakCount="1">
    <brk id="52" min="1" max="2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>
    <pageSetUpPr autoPageBreaks="0"/>
  </sheetPr>
  <dimension ref="A1:W56"/>
  <sheetViews>
    <sheetView showGridLines="0" zoomScaleNormal="100" zoomScaleSheetLayoutView="100" workbookViewId="0"/>
  </sheetViews>
  <sheetFormatPr defaultColWidth="8.83203125" defaultRowHeight="12" customHeight="1" x14ac:dyDescent="0.2"/>
  <cols>
    <col min="1" max="1" width="2.83203125" style="5" customWidth="1"/>
    <col min="2" max="2" width="42.83203125" style="5" customWidth="1"/>
    <col min="3" max="3" width="2.83203125" style="5" customWidth="1"/>
    <col min="4" max="4" width="5.83203125" style="1" customWidth="1"/>
    <col min="5" max="5" width="1" style="1" customWidth="1"/>
    <col min="6" max="6" width="5.83203125" style="1" customWidth="1"/>
    <col min="7" max="10" width="10.83203125" style="22" customWidth="1"/>
    <col min="11" max="11" width="8.83203125" style="1"/>
    <col min="12" max="12" width="5.83203125" style="1" customWidth="1"/>
    <col min="13" max="13" width="1" style="1" customWidth="1"/>
    <col min="14" max="14" width="5.83203125" style="1" customWidth="1"/>
    <col min="15" max="23" width="6.83203125" style="22" customWidth="1"/>
    <col min="24" max="16384" width="8.83203125" style="1"/>
  </cols>
  <sheetData>
    <row r="1" spans="2:23" ht="12" customHeight="1" x14ac:dyDescent="0.2">
      <c r="D1" s="5"/>
      <c r="E1" s="5"/>
      <c r="F1" s="5"/>
      <c r="G1" s="11"/>
      <c r="H1" s="11"/>
      <c r="I1" s="11"/>
      <c r="J1" s="11"/>
      <c r="L1" s="5"/>
      <c r="M1" s="5"/>
      <c r="N1" s="5"/>
      <c r="O1" s="11"/>
      <c r="P1" s="11"/>
      <c r="Q1" s="11"/>
      <c r="R1" s="11"/>
      <c r="S1" s="11"/>
      <c r="T1" s="11"/>
      <c r="U1" s="11"/>
      <c r="V1" s="11"/>
      <c r="W1" s="11"/>
    </row>
    <row r="2" spans="2:23" ht="24" customHeight="1" x14ac:dyDescent="0.25">
      <c r="B2" s="13" t="s">
        <v>5</v>
      </c>
      <c r="C2" s="6" t="s">
        <v>66</v>
      </c>
      <c r="D2" s="13" t="str">
        <f>UPPER(B8)</f>
        <v>A19 / R8 KNOOPPUNT KORTRIJK-WEST</v>
      </c>
      <c r="E2" s="13"/>
      <c r="F2" s="13"/>
      <c r="G2" s="19"/>
      <c r="H2" s="19"/>
      <c r="I2" s="19"/>
      <c r="J2" s="19"/>
      <c r="L2" s="13"/>
      <c r="M2" s="13"/>
      <c r="N2" s="13"/>
      <c r="O2" s="19"/>
      <c r="P2" s="19"/>
      <c r="Q2" s="19"/>
      <c r="R2" s="19"/>
      <c r="S2" s="19"/>
      <c r="T2" s="19"/>
      <c r="U2" s="19"/>
      <c r="V2" s="19"/>
      <c r="W2" s="19"/>
    </row>
    <row r="3" spans="2:23" ht="24" customHeight="1" x14ac:dyDescent="0.25">
      <c r="B3" s="12" t="s">
        <v>6</v>
      </c>
      <c r="C3" s="6" t="s">
        <v>66</v>
      </c>
      <c r="D3" s="12" t="s">
        <v>118</v>
      </c>
      <c r="E3" s="12"/>
      <c r="F3" s="12"/>
      <c r="G3" s="20"/>
      <c r="H3" s="20"/>
      <c r="I3" s="20"/>
      <c r="J3" s="20"/>
      <c r="L3" s="12"/>
      <c r="M3" s="12"/>
      <c r="N3" s="12"/>
      <c r="O3" s="20"/>
      <c r="P3" s="20"/>
      <c r="Q3" s="20"/>
      <c r="R3" s="20"/>
      <c r="S3" s="20"/>
      <c r="T3" s="20"/>
      <c r="U3" s="20"/>
      <c r="V3" s="20"/>
      <c r="W3" s="20"/>
    </row>
    <row r="4" spans="2:23" ht="12" customHeight="1" x14ac:dyDescent="0.25">
      <c r="B4" s="7"/>
      <c r="C4" s="6" t="s">
        <v>66</v>
      </c>
      <c r="D4" s="7"/>
      <c r="E4" s="7"/>
      <c r="F4" s="7"/>
      <c r="G4" s="21"/>
      <c r="H4" s="21"/>
      <c r="I4" s="21"/>
      <c r="J4" s="21"/>
      <c r="L4" s="7"/>
      <c r="M4" s="7"/>
      <c r="N4" s="7"/>
      <c r="O4" s="21"/>
      <c r="P4" s="21"/>
      <c r="Q4" s="21"/>
      <c r="R4" s="21"/>
      <c r="S4" s="21"/>
      <c r="T4" s="21"/>
      <c r="U4" s="21"/>
      <c r="V4" s="21"/>
      <c r="W4" s="21"/>
    </row>
    <row r="5" spans="2:23" ht="12" customHeight="1" x14ac:dyDescent="0.25">
      <c r="B5" s="7"/>
      <c r="C5" s="6" t="s">
        <v>66</v>
      </c>
      <c r="D5" s="5"/>
      <c r="E5" s="5"/>
      <c r="F5" s="5"/>
      <c r="G5" s="11"/>
      <c r="H5" s="11"/>
      <c r="I5" s="11"/>
      <c r="J5" s="11"/>
      <c r="L5" s="5"/>
      <c r="M5" s="5"/>
      <c r="N5" s="5"/>
      <c r="O5" s="11"/>
      <c r="P5" s="11"/>
      <c r="Q5" s="11"/>
      <c r="R5" s="11"/>
      <c r="S5" s="11"/>
      <c r="T5" s="11"/>
      <c r="U5" s="11"/>
      <c r="V5" s="11"/>
      <c r="W5" s="11"/>
    </row>
    <row r="6" spans="2:23" ht="12" customHeight="1" x14ac:dyDescent="0.25">
      <c r="B6" s="8"/>
      <c r="C6" s="6" t="s">
        <v>66</v>
      </c>
      <c r="D6" s="179" t="s">
        <v>103</v>
      </c>
      <c r="E6" s="179"/>
      <c r="F6" s="179"/>
      <c r="G6" s="179"/>
      <c r="H6" s="179"/>
      <c r="I6" s="179"/>
      <c r="J6" s="179"/>
      <c r="L6" s="179" t="s">
        <v>104</v>
      </c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</row>
    <row r="7" spans="2:23" ht="12" customHeight="1" x14ac:dyDescent="0.25">
      <c r="B7" s="9" t="s">
        <v>7</v>
      </c>
      <c r="C7" s="6" t="s">
        <v>66</v>
      </c>
      <c r="D7" s="179"/>
      <c r="E7" s="179"/>
      <c r="F7" s="179"/>
      <c r="G7" s="179"/>
      <c r="H7" s="179"/>
      <c r="I7" s="179"/>
      <c r="J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</row>
    <row r="8" spans="2:23" ht="12" customHeight="1" x14ac:dyDescent="0.25">
      <c r="B8" s="8" t="str">
        <f>INFO!$B$4</f>
        <v>A19 / R8 Knooppunt Kortrijk-West</v>
      </c>
      <c r="C8" s="6" t="s">
        <v>66</v>
      </c>
      <c r="D8" s="14"/>
      <c r="E8" s="14"/>
      <c r="F8" s="136"/>
      <c r="G8" s="49" t="s">
        <v>72</v>
      </c>
      <c r="H8" s="49" t="s">
        <v>73</v>
      </c>
      <c r="I8" s="23"/>
      <c r="J8" s="49" t="s">
        <v>74</v>
      </c>
      <c r="L8" s="14"/>
      <c r="M8" s="14"/>
      <c r="N8" s="35"/>
      <c r="O8" s="49" t="s">
        <v>72</v>
      </c>
      <c r="P8" s="23"/>
      <c r="Q8" s="39"/>
      <c r="R8" s="23" t="s">
        <v>73</v>
      </c>
      <c r="S8" s="23"/>
      <c r="T8" s="23"/>
      <c r="U8" s="49" t="s">
        <v>74</v>
      </c>
      <c r="V8" s="23"/>
      <c r="W8" s="23"/>
    </row>
    <row r="9" spans="2:23" ht="12" customHeight="1" x14ac:dyDescent="0.25">
      <c r="C9" s="6" t="s">
        <v>66</v>
      </c>
      <c r="D9" s="14"/>
      <c r="E9" s="14"/>
      <c r="F9" s="14"/>
      <c r="G9" s="10" t="s">
        <v>11</v>
      </c>
      <c r="H9" s="10" t="s">
        <v>12</v>
      </c>
      <c r="I9" s="4" t="s">
        <v>13</v>
      </c>
      <c r="J9" s="10" t="s">
        <v>14</v>
      </c>
      <c r="L9" s="14"/>
      <c r="M9" s="14"/>
      <c r="N9" s="36"/>
      <c r="O9" s="10" t="s">
        <v>9</v>
      </c>
      <c r="P9" s="4" t="s">
        <v>8</v>
      </c>
      <c r="Q9" s="3" t="s">
        <v>65</v>
      </c>
      <c r="R9" s="4" t="s">
        <v>9</v>
      </c>
      <c r="S9" s="4" t="s">
        <v>8</v>
      </c>
      <c r="T9" s="4" t="s">
        <v>65</v>
      </c>
      <c r="U9" s="10" t="s">
        <v>9</v>
      </c>
      <c r="V9" s="4" t="s">
        <v>8</v>
      </c>
      <c r="W9" s="4" t="s">
        <v>65</v>
      </c>
    </row>
    <row r="10" spans="2:23" ht="12" customHeight="1" x14ac:dyDescent="0.25">
      <c r="B10" s="8" t="str">
        <f>D3</f>
        <v>Kruispunt R8 / Verbindingsboog A19</v>
      </c>
      <c r="C10" s="6" t="s">
        <v>66</v>
      </c>
      <c r="D10" s="43" t="s">
        <v>4</v>
      </c>
      <c r="E10" s="43"/>
      <c r="F10" s="43"/>
      <c r="G10" s="44"/>
      <c r="H10" s="44"/>
      <c r="I10" s="41"/>
      <c r="J10" s="44"/>
      <c r="L10" s="43" t="s">
        <v>4</v>
      </c>
      <c r="M10" s="43"/>
      <c r="N10" s="43"/>
      <c r="O10" s="44"/>
      <c r="P10" s="41"/>
      <c r="Q10" s="42"/>
      <c r="R10" s="41"/>
      <c r="S10" s="41"/>
      <c r="T10" s="41"/>
      <c r="U10" s="44"/>
      <c r="V10" s="41"/>
      <c r="W10" s="41"/>
    </row>
    <row r="11" spans="2:23" ht="12" customHeight="1" x14ac:dyDescent="0.25">
      <c r="B11" s="8" t="str">
        <f>INFO!$C$21</f>
        <v>Z = R8 komende van Complex Bissegem</v>
      </c>
      <c r="C11" s="6" t="s">
        <v>66</v>
      </c>
      <c r="D11" s="32">
        <v>0.29166666666666669</v>
      </c>
      <c r="E11" s="32" t="s">
        <v>1</v>
      </c>
      <c r="F11" s="32">
        <f t="shared" ref="F11:F26" si="0">D11+15/1440</f>
        <v>0.30208333333333337</v>
      </c>
      <c r="G11" s="63">
        <f>(Kpt.Mvt_Catri!G11*1)+(Kpt.Mvt_Catri!H11*2)+(Kpt.Mvt_Catri!I11*2)</f>
        <v>337</v>
      </c>
      <c r="H11" s="15">
        <f>(Kpt.Mvt_Catri!K11*1)+(Kpt.Mvt_Catri!L11*2)+(Kpt.Mvt_Catri!M11*2)</f>
        <v>484</v>
      </c>
      <c r="I11" s="16">
        <f>(Kpt.Mvt_Catri!S11*1)+(Kpt.Mvt_Catri!T11*2)+(Kpt.Mvt_Catri!U11*2)</f>
        <v>182</v>
      </c>
      <c r="J11" s="15">
        <f>(Kpt.Mvt_Catri!W11*1)+(Kpt.Mvt_Catri!X11*2)+(Kpt.Mvt_Catri!Y11*2)</f>
        <v>160</v>
      </c>
      <c r="L11" s="32">
        <v>0.29166666666666669</v>
      </c>
      <c r="M11" s="32" t="s">
        <v>1</v>
      </c>
      <c r="N11" s="37">
        <f t="shared" ref="N11:N26" si="1">L11+15/1440</f>
        <v>0.30208333333333337</v>
      </c>
      <c r="O11" s="63">
        <f>G11</f>
        <v>337</v>
      </c>
      <c r="P11" s="17">
        <f>H11+J11</f>
        <v>644</v>
      </c>
      <c r="Q11" s="18">
        <f>SUM(O11:P11)</f>
        <v>981</v>
      </c>
      <c r="R11" s="16">
        <f>H11+I11</f>
        <v>666</v>
      </c>
      <c r="S11" s="16"/>
      <c r="T11" s="16">
        <f>SUM(R11:S11)</f>
        <v>666</v>
      </c>
      <c r="U11" s="15">
        <f>J11</f>
        <v>160</v>
      </c>
      <c r="V11" s="16">
        <f>G11+I11</f>
        <v>519</v>
      </c>
      <c r="W11" s="16">
        <f>SUM(U11:V11)</f>
        <v>679</v>
      </c>
    </row>
    <row r="12" spans="2:23" ht="12" customHeight="1" x14ac:dyDescent="0.25">
      <c r="B12" s="8" t="str">
        <f>INFO!$C$22</f>
        <v>W = Verbindingsboog komende van A19</v>
      </c>
      <c r="C12" s="6" t="s">
        <v>66</v>
      </c>
      <c r="D12" s="33">
        <f t="shared" ref="D12:D26" si="2">F11</f>
        <v>0.30208333333333337</v>
      </c>
      <c r="E12" s="33" t="s">
        <v>1</v>
      </c>
      <c r="F12" s="33">
        <f t="shared" si="0"/>
        <v>0.31250000000000006</v>
      </c>
      <c r="G12" s="64">
        <f>(Kpt.Mvt_Catri!G12*1)+(Kpt.Mvt_Catri!H12*2)+(Kpt.Mvt_Catri!I12*2)</f>
        <v>410</v>
      </c>
      <c r="H12" s="24">
        <f>(Kpt.Mvt_Catri!K12*1)+(Kpt.Mvt_Catri!L12*2)+(Kpt.Mvt_Catri!M12*2)</f>
        <v>519</v>
      </c>
      <c r="I12" s="25">
        <f>(Kpt.Mvt_Catri!S12*1)+(Kpt.Mvt_Catri!T12*2)+(Kpt.Mvt_Catri!U12*2)</f>
        <v>211</v>
      </c>
      <c r="J12" s="24">
        <f>(Kpt.Mvt_Catri!W12*1)+(Kpt.Mvt_Catri!X12*2)+(Kpt.Mvt_Catri!Y12*2)</f>
        <v>250</v>
      </c>
      <c r="L12" s="33">
        <f t="shared" ref="L12:L18" si="3">N11</f>
        <v>0.30208333333333337</v>
      </c>
      <c r="M12" s="33" t="s">
        <v>1</v>
      </c>
      <c r="N12" s="38">
        <f t="shared" si="1"/>
        <v>0.31250000000000006</v>
      </c>
      <c r="O12" s="64">
        <f t="shared" ref="O12:O37" si="4">G12</f>
        <v>410</v>
      </c>
      <c r="P12" s="26">
        <f t="shared" ref="P12:P37" si="5">H12+J12</f>
        <v>769</v>
      </c>
      <c r="Q12" s="27">
        <f t="shared" ref="Q12:Q37" si="6">SUM(O12:P12)</f>
        <v>1179</v>
      </c>
      <c r="R12" s="25">
        <f t="shared" ref="R12:R37" si="7">H12+I12</f>
        <v>730</v>
      </c>
      <c r="S12" s="25"/>
      <c r="T12" s="25">
        <f t="shared" ref="T12:T37" si="8">SUM(R12:S12)</f>
        <v>730</v>
      </c>
      <c r="U12" s="24">
        <f t="shared" ref="U12:U37" si="9">J12</f>
        <v>250</v>
      </c>
      <c r="V12" s="25">
        <f t="shared" ref="V12:V37" si="10">G12+I12</f>
        <v>621</v>
      </c>
      <c r="W12" s="25">
        <f t="shared" ref="W12:W37" si="11">SUM(U12:V12)</f>
        <v>871</v>
      </c>
    </row>
    <row r="13" spans="2:23" ht="12" customHeight="1" x14ac:dyDescent="0.25">
      <c r="B13" s="8" t="str">
        <f>INFO!$C$23</f>
        <v>N = R8 komende van Complex Gullegem</v>
      </c>
      <c r="C13" s="6" t="s">
        <v>66</v>
      </c>
      <c r="D13" s="32">
        <f t="shared" si="2"/>
        <v>0.31250000000000006</v>
      </c>
      <c r="E13" s="32" t="s">
        <v>1</v>
      </c>
      <c r="F13" s="32">
        <f t="shared" si="0"/>
        <v>0.32291666666666674</v>
      </c>
      <c r="G13" s="63">
        <f>(Kpt.Mvt_Catri!G13*1)+(Kpt.Mvt_Catri!H13*2)+(Kpt.Mvt_Catri!I13*2)</f>
        <v>570</v>
      </c>
      <c r="H13" s="15">
        <f>(Kpt.Mvt_Catri!K13*1)+(Kpt.Mvt_Catri!L13*2)+(Kpt.Mvt_Catri!M13*2)</f>
        <v>559</v>
      </c>
      <c r="I13" s="16">
        <f>(Kpt.Mvt_Catri!S13*1)+(Kpt.Mvt_Catri!T13*2)+(Kpt.Mvt_Catri!U13*2)</f>
        <v>180</v>
      </c>
      <c r="J13" s="15">
        <f>(Kpt.Mvt_Catri!W13*1)+(Kpt.Mvt_Catri!X13*2)+(Kpt.Mvt_Catri!Y13*2)</f>
        <v>303</v>
      </c>
      <c r="L13" s="32">
        <f t="shared" si="3"/>
        <v>0.31250000000000006</v>
      </c>
      <c r="M13" s="32" t="s">
        <v>1</v>
      </c>
      <c r="N13" s="37">
        <f t="shared" si="1"/>
        <v>0.32291666666666674</v>
      </c>
      <c r="O13" s="63">
        <f t="shared" si="4"/>
        <v>570</v>
      </c>
      <c r="P13" s="17">
        <f t="shared" si="5"/>
        <v>862</v>
      </c>
      <c r="Q13" s="18">
        <f t="shared" si="6"/>
        <v>1432</v>
      </c>
      <c r="R13" s="16">
        <f t="shared" si="7"/>
        <v>739</v>
      </c>
      <c r="S13" s="16"/>
      <c r="T13" s="16">
        <f t="shared" si="8"/>
        <v>739</v>
      </c>
      <c r="U13" s="15">
        <f t="shared" si="9"/>
        <v>303</v>
      </c>
      <c r="V13" s="16">
        <f t="shared" si="10"/>
        <v>750</v>
      </c>
      <c r="W13" s="16">
        <f t="shared" si="11"/>
        <v>1053</v>
      </c>
    </row>
    <row r="14" spans="2:23" ht="12" customHeight="1" x14ac:dyDescent="0.25">
      <c r="B14" s="8"/>
      <c r="C14" s="6" t="s">
        <v>66</v>
      </c>
      <c r="D14" s="33">
        <f t="shared" si="2"/>
        <v>0.32291666666666674</v>
      </c>
      <c r="E14" s="33" t="s">
        <v>1</v>
      </c>
      <c r="F14" s="33">
        <f t="shared" si="0"/>
        <v>0.33333333333333343</v>
      </c>
      <c r="G14" s="64">
        <f>(Kpt.Mvt_Catri!G14*1)+(Kpt.Mvt_Catri!H14*2)+(Kpt.Mvt_Catri!I14*2)</f>
        <v>580</v>
      </c>
      <c r="H14" s="24">
        <f>(Kpt.Mvt_Catri!K14*1)+(Kpt.Mvt_Catri!L14*2)+(Kpt.Mvt_Catri!M14*2)</f>
        <v>630</v>
      </c>
      <c r="I14" s="25">
        <f>(Kpt.Mvt_Catri!S14*1)+(Kpt.Mvt_Catri!T14*2)+(Kpt.Mvt_Catri!U14*2)</f>
        <v>164</v>
      </c>
      <c r="J14" s="24">
        <f>(Kpt.Mvt_Catri!W14*1)+(Kpt.Mvt_Catri!X14*2)+(Kpt.Mvt_Catri!Y14*2)</f>
        <v>386</v>
      </c>
      <c r="L14" s="33">
        <f t="shared" si="3"/>
        <v>0.32291666666666674</v>
      </c>
      <c r="M14" s="33" t="s">
        <v>1</v>
      </c>
      <c r="N14" s="38">
        <f t="shared" si="1"/>
        <v>0.33333333333333343</v>
      </c>
      <c r="O14" s="64">
        <f t="shared" si="4"/>
        <v>580</v>
      </c>
      <c r="P14" s="26">
        <f t="shared" si="5"/>
        <v>1016</v>
      </c>
      <c r="Q14" s="27">
        <f t="shared" si="6"/>
        <v>1596</v>
      </c>
      <c r="R14" s="25">
        <f t="shared" si="7"/>
        <v>794</v>
      </c>
      <c r="S14" s="25"/>
      <c r="T14" s="25">
        <f t="shared" si="8"/>
        <v>794</v>
      </c>
      <c r="U14" s="24">
        <f t="shared" si="9"/>
        <v>386</v>
      </c>
      <c r="V14" s="25">
        <f t="shared" si="10"/>
        <v>744</v>
      </c>
      <c r="W14" s="25">
        <f t="shared" si="11"/>
        <v>1130</v>
      </c>
    </row>
    <row r="15" spans="2:23" ht="12" customHeight="1" x14ac:dyDescent="0.25">
      <c r="B15" s="9" t="s">
        <v>2</v>
      </c>
      <c r="C15" s="6" t="s">
        <v>66</v>
      </c>
      <c r="D15" s="32">
        <f t="shared" si="2"/>
        <v>0.33333333333333343</v>
      </c>
      <c r="E15" s="32" t="s">
        <v>1</v>
      </c>
      <c r="F15" s="32">
        <f t="shared" si="0"/>
        <v>0.34375000000000011</v>
      </c>
      <c r="G15" s="63">
        <f>(Kpt.Mvt_Catri!G15*1)+(Kpt.Mvt_Catri!H15*2)+(Kpt.Mvt_Catri!I15*2)</f>
        <v>458</v>
      </c>
      <c r="H15" s="15">
        <f>(Kpt.Mvt_Catri!K15*1)+(Kpt.Mvt_Catri!L15*2)+(Kpt.Mvt_Catri!M15*2)</f>
        <v>676</v>
      </c>
      <c r="I15" s="16">
        <f>(Kpt.Mvt_Catri!S15*1)+(Kpt.Mvt_Catri!T15*2)+(Kpt.Mvt_Catri!U15*2)</f>
        <v>175</v>
      </c>
      <c r="J15" s="15">
        <f>(Kpt.Mvt_Catri!W15*1)+(Kpt.Mvt_Catri!X15*2)+(Kpt.Mvt_Catri!Y15*2)</f>
        <v>334</v>
      </c>
      <c r="L15" s="32">
        <f t="shared" si="3"/>
        <v>0.33333333333333343</v>
      </c>
      <c r="M15" s="32" t="s">
        <v>1</v>
      </c>
      <c r="N15" s="37">
        <f t="shared" si="1"/>
        <v>0.34375000000000011</v>
      </c>
      <c r="O15" s="63">
        <f t="shared" si="4"/>
        <v>458</v>
      </c>
      <c r="P15" s="17">
        <f t="shared" si="5"/>
        <v>1010</v>
      </c>
      <c r="Q15" s="18">
        <f t="shared" si="6"/>
        <v>1468</v>
      </c>
      <c r="R15" s="16">
        <f t="shared" si="7"/>
        <v>851</v>
      </c>
      <c r="S15" s="16"/>
      <c r="T15" s="16">
        <f t="shared" si="8"/>
        <v>851</v>
      </c>
      <c r="U15" s="15">
        <f t="shared" si="9"/>
        <v>334</v>
      </c>
      <c r="V15" s="16">
        <f t="shared" si="10"/>
        <v>633</v>
      </c>
      <c r="W15" s="16">
        <f t="shared" si="11"/>
        <v>967</v>
      </c>
    </row>
    <row r="16" spans="2:23" ht="12" customHeight="1" x14ac:dyDescent="0.25">
      <c r="B16" s="8" t="str">
        <f>"Meetdag: "&amp;INFO!$B$11</f>
        <v>Meetdag: Donderdag 3 oktober 2019</v>
      </c>
      <c r="C16" s="6" t="s">
        <v>66</v>
      </c>
      <c r="D16" s="33">
        <f t="shared" si="2"/>
        <v>0.34375000000000011</v>
      </c>
      <c r="E16" s="33" t="s">
        <v>1</v>
      </c>
      <c r="F16" s="33">
        <f t="shared" si="0"/>
        <v>0.3541666666666668</v>
      </c>
      <c r="G16" s="64">
        <f>(Kpt.Mvt_Catri!G16*1)+(Kpt.Mvt_Catri!H16*2)+(Kpt.Mvt_Catri!I16*2)</f>
        <v>479</v>
      </c>
      <c r="H16" s="24">
        <f>(Kpt.Mvt_Catri!K16*1)+(Kpt.Mvt_Catri!L16*2)+(Kpt.Mvt_Catri!M16*2)</f>
        <v>566</v>
      </c>
      <c r="I16" s="25">
        <f>(Kpt.Mvt_Catri!S16*1)+(Kpt.Mvt_Catri!T16*2)+(Kpt.Mvt_Catri!U16*2)</f>
        <v>196</v>
      </c>
      <c r="J16" s="24">
        <f>(Kpt.Mvt_Catri!W16*1)+(Kpt.Mvt_Catri!X16*2)+(Kpt.Mvt_Catri!Y16*2)</f>
        <v>249</v>
      </c>
      <c r="L16" s="33">
        <f t="shared" si="3"/>
        <v>0.34375000000000011</v>
      </c>
      <c r="M16" s="33" t="s">
        <v>1</v>
      </c>
      <c r="N16" s="38">
        <f t="shared" si="1"/>
        <v>0.3541666666666668</v>
      </c>
      <c r="O16" s="64">
        <f t="shared" si="4"/>
        <v>479</v>
      </c>
      <c r="P16" s="26">
        <f t="shared" si="5"/>
        <v>815</v>
      </c>
      <c r="Q16" s="27">
        <f t="shared" si="6"/>
        <v>1294</v>
      </c>
      <c r="R16" s="25">
        <f t="shared" si="7"/>
        <v>762</v>
      </c>
      <c r="S16" s="25"/>
      <c r="T16" s="25">
        <f t="shared" si="8"/>
        <v>762</v>
      </c>
      <c r="U16" s="24">
        <f t="shared" si="9"/>
        <v>249</v>
      </c>
      <c r="V16" s="25">
        <f t="shared" si="10"/>
        <v>675</v>
      </c>
      <c r="W16" s="25">
        <f t="shared" si="11"/>
        <v>924</v>
      </c>
    </row>
    <row r="17" spans="2:23" ht="12" customHeight="1" x14ac:dyDescent="0.25">
      <c r="B17" s="8" t="str">
        <f>"Methodiek: "&amp;INFO!$B$13</f>
        <v>Methodiek: Video + auto. beeldverwerking / ANPR</v>
      </c>
      <c r="C17" s="6" t="s">
        <v>66</v>
      </c>
      <c r="D17" s="32">
        <f t="shared" si="2"/>
        <v>0.3541666666666668</v>
      </c>
      <c r="E17" s="32" t="s">
        <v>1</v>
      </c>
      <c r="F17" s="32">
        <f t="shared" si="0"/>
        <v>0.36458333333333348</v>
      </c>
      <c r="G17" s="63">
        <f>(Kpt.Mvt_Catri!G17*1)+(Kpt.Mvt_Catri!H17*2)+(Kpt.Mvt_Catri!I17*2)</f>
        <v>415</v>
      </c>
      <c r="H17" s="15">
        <f>(Kpt.Mvt_Catri!K17*1)+(Kpt.Mvt_Catri!L17*2)+(Kpt.Mvt_Catri!M17*2)</f>
        <v>501</v>
      </c>
      <c r="I17" s="16">
        <f>(Kpt.Mvt_Catri!S17*1)+(Kpt.Mvt_Catri!T17*2)+(Kpt.Mvt_Catri!U17*2)</f>
        <v>171</v>
      </c>
      <c r="J17" s="15">
        <f>(Kpt.Mvt_Catri!W17*1)+(Kpt.Mvt_Catri!X17*2)+(Kpt.Mvt_Catri!Y17*2)</f>
        <v>201</v>
      </c>
      <c r="L17" s="32">
        <f t="shared" si="3"/>
        <v>0.3541666666666668</v>
      </c>
      <c r="M17" s="32" t="s">
        <v>1</v>
      </c>
      <c r="N17" s="37">
        <f t="shared" si="1"/>
        <v>0.36458333333333348</v>
      </c>
      <c r="O17" s="63">
        <f t="shared" si="4"/>
        <v>415</v>
      </c>
      <c r="P17" s="17">
        <f t="shared" si="5"/>
        <v>702</v>
      </c>
      <c r="Q17" s="18">
        <f t="shared" si="6"/>
        <v>1117</v>
      </c>
      <c r="R17" s="16">
        <f t="shared" si="7"/>
        <v>672</v>
      </c>
      <c r="S17" s="16"/>
      <c r="T17" s="16">
        <f t="shared" si="8"/>
        <v>672</v>
      </c>
      <c r="U17" s="15">
        <f t="shared" si="9"/>
        <v>201</v>
      </c>
      <c r="V17" s="16">
        <f t="shared" si="10"/>
        <v>586</v>
      </c>
      <c r="W17" s="16">
        <f t="shared" si="11"/>
        <v>787</v>
      </c>
    </row>
    <row r="18" spans="2:23" ht="12" customHeight="1" x14ac:dyDescent="0.25">
      <c r="B18" s="8" t="str">
        <f>"In opdracht van: "&amp;INFO!$B$12</f>
        <v>In opdracht van: Agentschap Wegen en Verkeer</v>
      </c>
      <c r="C18" s="6" t="s">
        <v>66</v>
      </c>
      <c r="D18" s="34">
        <f t="shared" si="2"/>
        <v>0.36458333333333348</v>
      </c>
      <c r="E18" s="34" t="s">
        <v>1</v>
      </c>
      <c r="F18" s="34">
        <f t="shared" si="0"/>
        <v>0.37500000000000017</v>
      </c>
      <c r="G18" s="65">
        <f>(Kpt.Mvt_Catri!G18*1)+(Kpt.Mvt_Catri!H18*2)+(Kpt.Mvt_Catri!I18*2)</f>
        <v>353</v>
      </c>
      <c r="H18" s="28">
        <f>(Kpt.Mvt_Catri!K18*1)+(Kpt.Mvt_Catri!L18*2)+(Kpt.Mvt_Catri!M18*2)</f>
        <v>487</v>
      </c>
      <c r="I18" s="29">
        <f>(Kpt.Mvt_Catri!S18*1)+(Kpt.Mvt_Catri!T18*2)+(Kpt.Mvt_Catri!U18*2)</f>
        <v>163</v>
      </c>
      <c r="J18" s="28">
        <f>(Kpt.Mvt_Catri!W18*1)+(Kpt.Mvt_Catri!X18*2)+(Kpt.Mvt_Catri!Y18*2)</f>
        <v>133</v>
      </c>
      <c r="L18" s="34">
        <f t="shared" si="3"/>
        <v>0.36458333333333348</v>
      </c>
      <c r="M18" s="34" t="s">
        <v>1</v>
      </c>
      <c r="N18" s="40">
        <f t="shared" si="1"/>
        <v>0.37500000000000017</v>
      </c>
      <c r="O18" s="65">
        <f t="shared" si="4"/>
        <v>353</v>
      </c>
      <c r="P18" s="30">
        <f t="shared" si="5"/>
        <v>620</v>
      </c>
      <c r="Q18" s="31">
        <f t="shared" si="6"/>
        <v>973</v>
      </c>
      <c r="R18" s="29">
        <f t="shared" si="7"/>
        <v>650</v>
      </c>
      <c r="S18" s="29"/>
      <c r="T18" s="29">
        <f t="shared" si="8"/>
        <v>650</v>
      </c>
      <c r="U18" s="28">
        <f t="shared" si="9"/>
        <v>133</v>
      </c>
      <c r="V18" s="29">
        <f t="shared" si="10"/>
        <v>516</v>
      </c>
      <c r="W18" s="29">
        <f t="shared" si="11"/>
        <v>649</v>
      </c>
    </row>
    <row r="19" spans="2:23" ht="12" customHeight="1" x14ac:dyDescent="0.25">
      <c r="B19" s="8" t="s">
        <v>3</v>
      </c>
      <c r="C19" s="6" t="s">
        <v>66</v>
      </c>
      <c r="D19" s="32">
        <f>Kpt.Mvt_Catri!$D$19</f>
        <v>0.66666666666666663</v>
      </c>
      <c r="E19" s="32" t="s">
        <v>1</v>
      </c>
      <c r="F19" s="32">
        <f t="shared" si="0"/>
        <v>0.67708333333333326</v>
      </c>
      <c r="G19" s="63">
        <f>(Kpt.Mvt_Catri!G19*1)+(Kpt.Mvt_Catri!H19*2)+(Kpt.Mvt_Catri!I19*2)</f>
        <v>589</v>
      </c>
      <c r="H19" s="15">
        <f>(Kpt.Mvt_Catri!K19*1)+(Kpt.Mvt_Catri!L19*2)+(Kpt.Mvt_Catri!M19*2)</f>
        <v>356</v>
      </c>
      <c r="I19" s="16">
        <f>(Kpt.Mvt_Catri!S19*1)+(Kpt.Mvt_Catri!T19*2)+(Kpt.Mvt_Catri!U19*2)</f>
        <v>162</v>
      </c>
      <c r="J19" s="15">
        <f>(Kpt.Mvt_Catri!W19*1)+(Kpt.Mvt_Catri!X19*2)+(Kpt.Mvt_Catri!Y19*2)</f>
        <v>197</v>
      </c>
      <c r="L19" s="32">
        <f>D19</f>
        <v>0.66666666666666663</v>
      </c>
      <c r="M19" s="32" t="s">
        <v>1</v>
      </c>
      <c r="N19" s="37">
        <f t="shared" si="1"/>
        <v>0.67708333333333326</v>
      </c>
      <c r="O19" s="63">
        <f t="shared" si="4"/>
        <v>589</v>
      </c>
      <c r="P19" s="17">
        <f t="shared" si="5"/>
        <v>553</v>
      </c>
      <c r="Q19" s="18">
        <f t="shared" si="6"/>
        <v>1142</v>
      </c>
      <c r="R19" s="16">
        <f t="shared" si="7"/>
        <v>518</v>
      </c>
      <c r="S19" s="16"/>
      <c r="T19" s="16">
        <f t="shared" si="8"/>
        <v>518</v>
      </c>
      <c r="U19" s="15">
        <f t="shared" si="9"/>
        <v>197</v>
      </c>
      <c r="V19" s="16">
        <f t="shared" si="10"/>
        <v>751</v>
      </c>
      <c r="W19" s="16">
        <f t="shared" si="11"/>
        <v>948</v>
      </c>
    </row>
    <row r="20" spans="2:23" ht="12" customHeight="1" x14ac:dyDescent="0.25">
      <c r="B20" s="8"/>
      <c r="C20" s="6" t="s">
        <v>66</v>
      </c>
      <c r="D20" s="33">
        <f t="shared" si="2"/>
        <v>0.67708333333333326</v>
      </c>
      <c r="E20" s="33" t="s">
        <v>1</v>
      </c>
      <c r="F20" s="33">
        <f t="shared" si="0"/>
        <v>0.68749999999999989</v>
      </c>
      <c r="G20" s="64">
        <f>(Kpt.Mvt_Catri!G20*1)+(Kpt.Mvt_Catri!H20*2)+(Kpt.Mvt_Catri!I20*2)</f>
        <v>643</v>
      </c>
      <c r="H20" s="24">
        <f>(Kpt.Mvt_Catri!K20*1)+(Kpt.Mvt_Catri!L20*2)+(Kpt.Mvt_Catri!M20*2)</f>
        <v>396</v>
      </c>
      <c r="I20" s="25">
        <f>(Kpt.Mvt_Catri!S20*1)+(Kpt.Mvt_Catri!T20*2)+(Kpt.Mvt_Catri!U20*2)</f>
        <v>194</v>
      </c>
      <c r="J20" s="24">
        <f>(Kpt.Mvt_Catri!W20*1)+(Kpt.Mvt_Catri!X20*2)+(Kpt.Mvt_Catri!Y20*2)</f>
        <v>186</v>
      </c>
      <c r="L20" s="33">
        <f t="shared" ref="L20:L26" si="12">N19</f>
        <v>0.67708333333333326</v>
      </c>
      <c r="M20" s="33" t="s">
        <v>1</v>
      </c>
      <c r="N20" s="38">
        <f t="shared" si="1"/>
        <v>0.68749999999999989</v>
      </c>
      <c r="O20" s="64">
        <f t="shared" si="4"/>
        <v>643</v>
      </c>
      <c r="P20" s="26">
        <f t="shared" si="5"/>
        <v>582</v>
      </c>
      <c r="Q20" s="27">
        <f t="shared" si="6"/>
        <v>1225</v>
      </c>
      <c r="R20" s="25">
        <f t="shared" si="7"/>
        <v>590</v>
      </c>
      <c r="S20" s="25"/>
      <c r="T20" s="25">
        <f t="shared" si="8"/>
        <v>590</v>
      </c>
      <c r="U20" s="24">
        <f t="shared" si="9"/>
        <v>186</v>
      </c>
      <c r="V20" s="25">
        <f t="shared" si="10"/>
        <v>837</v>
      </c>
      <c r="W20" s="25">
        <f t="shared" si="11"/>
        <v>1023</v>
      </c>
    </row>
    <row r="21" spans="2:23" ht="12" customHeight="1" x14ac:dyDescent="0.25">
      <c r="B21" s="9" t="s">
        <v>10</v>
      </c>
      <c r="C21" s="6" t="s">
        <v>66</v>
      </c>
      <c r="D21" s="32">
        <f t="shared" si="2"/>
        <v>0.68749999999999989</v>
      </c>
      <c r="E21" s="32" t="s">
        <v>1</v>
      </c>
      <c r="F21" s="32">
        <f t="shared" si="0"/>
        <v>0.69791666666666652</v>
      </c>
      <c r="G21" s="63">
        <f>(Kpt.Mvt_Catri!G21*1)+(Kpt.Mvt_Catri!H21*2)+(Kpt.Mvt_Catri!I21*2)</f>
        <v>675</v>
      </c>
      <c r="H21" s="15">
        <f>(Kpt.Mvt_Catri!K21*1)+(Kpt.Mvt_Catri!L21*2)+(Kpt.Mvt_Catri!M21*2)</f>
        <v>390</v>
      </c>
      <c r="I21" s="16">
        <f>(Kpt.Mvt_Catri!S21*1)+(Kpt.Mvt_Catri!T21*2)+(Kpt.Mvt_Catri!U21*2)</f>
        <v>173</v>
      </c>
      <c r="J21" s="15">
        <f>(Kpt.Mvt_Catri!W21*1)+(Kpt.Mvt_Catri!X21*2)+(Kpt.Mvt_Catri!Y21*2)</f>
        <v>265</v>
      </c>
      <c r="L21" s="32">
        <f t="shared" si="12"/>
        <v>0.68749999999999989</v>
      </c>
      <c r="M21" s="32" t="s">
        <v>1</v>
      </c>
      <c r="N21" s="37">
        <f t="shared" si="1"/>
        <v>0.69791666666666652</v>
      </c>
      <c r="O21" s="63">
        <f t="shared" si="4"/>
        <v>675</v>
      </c>
      <c r="P21" s="17">
        <f t="shared" si="5"/>
        <v>655</v>
      </c>
      <c r="Q21" s="18">
        <f t="shared" si="6"/>
        <v>1330</v>
      </c>
      <c r="R21" s="16">
        <f t="shared" si="7"/>
        <v>563</v>
      </c>
      <c r="S21" s="16"/>
      <c r="T21" s="16">
        <f t="shared" si="8"/>
        <v>563</v>
      </c>
      <c r="U21" s="15">
        <f t="shared" si="9"/>
        <v>265</v>
      </c>
      <c r="V21" s="16">
        <f t="shared" si="10"/>
        <v>848</v>
      </c>
      <c r="W21" s="16">
        <f t="shared" si="11"/>
        <v>1113</v>
      </c>
    </row>
    <row r="22" spans="2:23" ht="12" customHeight="1" x14ac:dyDescent="0.25">
      <c r="B22" s="8"/>
      <c r="C22" s="6" t="s">
        <v>66</v>
      </c>
      <c r="D22" s="33">
        <f t="shared" si="2"/>
        <v>0.69791666666666652</v>
      </c>
      <c r="E22" s="33" t="s">
        <v>1</v>
      </c>
      <c r="F22" s="33">
        <f t="shared" si="0"/>
        <v>0.70833333333333315</v>
      </c>
      <c r="G22" s="64">
        <f>(Kpt.Mvt_Catri!G22*1)+(Kpt.Mvt_Catri!H22*2)+(Kpt.Mvt_Catri!I22*2)</f>
        <v>718</v>
      </c>
      <c r="H22" s="24">
        <f>(Kpt.Mvt_Catri!K22*1)+(Kpt.Mvt_Catri!L22*2)+(Kpt.Mvt_Catri!M22*2)</f>
        <v>444</v>
      </c>
      <c r="I22" s="25">
        <f>(Kpt.Mvt_Catri!S22*1)+(Kpt.Mvt_Catri!T22*2)+(Kpt.Mvt_Catri!U22*2)</f>
        <v>174</v>
      </c>
      <c r="J22" s="24">
        <f>(Kpt.Mvt_Catri!W22*1)+(Kpt.Mvt_Catri!X22*2)+(Kpt.Mvt_Catri!Y22*2)</f>
        <v>266</v>
      </c>
      <c r="L22" s="33">
        <f t="shared" si="12"/>
        <v>0.69791666666666652</v>
      </c>
      <c r="M22" s="33" t="s">
        <v>1</v>
      </c>
      <c r="N22" s="38">
        <f t="shared" si="1"/>
        <v>0.70833333333333315</v>
      </c>
      <c r="O22" s="64">
        <f t="shared" si="4"/>
        <v>718</v>
      </c>
      <c r="P22" s="26">
        <f t="shared" si="5"/>
        <v>710</v>
      </c>
      <c r="Q22" s="27">
        <f t="shared" si="6"/>
        <v>1428</v>
      </c>
      <c r="R22" s="25">
        <f t="shared" si="7"/>
        <v>618</v>
      </c>
      <c r="S22" s="25"/>
      <c r="T22" s="25">
        <f t="shared" si="8"/>
        <v>618</v>
      </c>
      <c r="U22" s="24">
        <f t="shared" si="9"/>
        <v>266</v>
      </c>
      <c r="V22" s="25">
        <f t="shared" si="10"/>
        <v>892</v>
      </c>
      <c r="W22" s="25">
        <f t="shared" si="11"/>
        <v>1158</v>
      </c>
    </row>
    <row r="23" spans="2:23" ht="12" customHeight="1" x14ac:dyDescent="0.25">
      <c r="B23" s="8"/>
      <c r="C23" s="6" t="s">
        <v>66</v>
      </c>
      <c r="D23" s="32">
        <f t="shared" si="2"/>
        <v>0.70833333333333315</v>
      </c>
      <c r="E23" s="32" t="s">
        <v>1</v>
      </c>
      <c r="F23" s="32">
        <f t="shared" si="0"/>
        <v>0.71874999999999978</v>
      </c>
      <c r="G23" s="63">
        <f>(Kpt.Mvt_Catri!G23*1)+(Kpt.Mvt_Catri!H23*2)+(Kpt.Mvt_Catri!I23*2)</f>
        <v>700</v>
      </c>
      <c r="H23" s="15">
        <f>(Kpt.Mvt_Catri!K23*1)+(Kpt.Mvt_Catri!L23*2)+(Kpt.Mvt_Catri!M23*2)</f>
        <v>454</v>
      </c>
      <c r="I23" s="16">
        <f>(Kpt.Mvt_Catri!S23*1)+(Kpt.Mvt_Catri!T23*2)+(Kpt.Mvt_Catri!U23*2)</f>
        <v>175</v>
      </c>
      <c r="J23" s="15">
        <f>(Kpt.Mvt_Catri!W23*1)+(Kpt.Mvt_Catri!X23*2)+(Kpt.Mvt_Catri!Y23*2)</f>
        <v>290</v>
      </c>
      <c r="L23" s="32">
        <f t="shared" si="12"/>
        <v>0.70833333333333315</v>
      </c>
      <c r="M23" s="32" t="s">
        <v>1</v>
      </c>
      <c r="N23" s="37">
        <f t="shared" si="1"/>
        <v>0.71874999999999978</v>
      </c>
      <c r="O23" s="63">
        <f t="shared" si="4"/>
        <v>700</v>
      </c>
      <c r="P23" s="17">
        <f t="shared" si="5"/>
        <v>744</v>
      </c>
      <c r="Q23" s="18">
        <f t="shared" si="6"/>
        <v>1444</v>
      </c>
      <c r="R23" s="16">
        <f t="shared" si="7"/>
        <v>629</v>
      </c>
      <c r="S23" s="16"/>
      <c r="T23" s="16">
        <f t="shared" si="8"/>
        <v>629</v>
      </c>
      <c r="U23" s="15">
        <f t="shared" si="9"/>
        <v>290</v>
      </c>
      <c r="V23" s="16">
        <f t="shared" si="10"/>
        <v>875</v>
      </c>
      <c r="W23" s="16">
        <f t="shared" si="11"/>
        <v>1165</v>
      </c>
    </row>
    <row r="24" spans="2:23" ht="12" customHeight="1" x14ac:dyDescent="0.25">
      <c r="B24" s="8"/>
      <c r="C24" s="6" t="s">
        <v>66</v>
      </c>
      <c r="D24" s="33">
        <f t="shared" si="2"/>
        <v>0.71874999999999978</v>
      </c>
      <c r="E24" s="33" t="s">
        <v>1</v>
      </c>
      <c r="F24" s="33">
        <f t="shared" si="0"/>
        <v>0.72916666666666641</v>
      </c>
      <c r="G24" s="64">
        <f>(Kpt.Mvt_Catri!G24*1)+(Kpt.Mvt_Catri!H24*2)+(Kpt.Mvt_Catri!I24*2)</f>
        <v>743</v>
      </c>
      <c r="H24" s="24">
        <f>(Kpt.Mvt_Catri!K24*1)+(Kpt.Mvt_Catri!L24*2)+(Kpt.Mvt_Catri!M24*2)</f>
        <v>456</v>
      </c>
      <c r="I24" s="25">
        <f>(Kpt.Mvt_Catri!S24*1)+(Kpt.Mvt_Catri!T24*2)+(Kpt.Mvt_Catri!U24*2)</f>
        <v>185</v>
      </c>
      <c r="J24" s="24">
        <f>(Kpt.Mvt_Catri!W24*1)+(Kpt.Mvt_Catri!X24*2)+(Kpt.Mvt_Catri!Y24*2)</f>
        <v>255</v>
      </c>
      <c r="L24" s="33">
        <f t="shared" si="12"/>
        <v>0.71874999999999978</v>
      </c>
      <c r="M24" s="33" t="s">
        <v>1</v>
      </c>
      <c r="N24" s="38">
        <f t="shared" si="1"/>
        <v>0.72916666666666641</v>
      </c>
      <c r="O24" s="64">
        <f t="shared" si="4"/>
        <v>743</v>
      </c>
      <c r="P24" s="26">
        <f t="shared" si="5"/>
        <v>711</v>
      </c>
      <c r="Q24" s="27">
        <f t="shared" si="6"/>
        <v>1454</v>
      </c>
      <c r="R24" s="25">
        <f t="shared" si="7"/>
        <v>641</v>
      </c>
      <c r="S24" s="25"/>
      <c r="T24" s="25">
        <f t="shared" si="8"/>
        <v>641</v>
      </c>
      <c r="U24" s="24">
        <f t="shared" si="9"/>
        <v>255</v>
      </c>
      <c r="V24" s="25">
        <f t="shared" si="10"/>
        <v>928</v>
      </c>
      <c r="W24" s="25">
        <f t="shared" si="11"/>
        <v>1183</v>
      </c>
    </row>
    <row r="25" spans="2:23" ht="12" customHeight="1" x14ac:dyDescent="0.25">
      <c r="B25" s="8"/>
      <c r="C25" s="6" t="s">
        <v>66</v>
      </c>
      <c r="D25" s="32">
        <f t="shared" si="2"/>
        <v>0.72916666666666641</v>
      </c>
      <c r="E25" s="32" t="s">
        <v>1</v>
      </c>
      <c r="F25" s="32">
        <f t="shared" si="0"/>
        <v>0.73958333333333304</v>
      </c>
      <c r="G25" s="63">
        <f>(Kpt.Mvt_Catri!G25*1)+(Kpt.Mvt_Catri!H25*2)+(Kpt.Mvt_Catri!I25*2)</f>
        <v>754</v>
      </c>
      <c r="H25" s="15">
        <f>(Kpt.Mvt_Catri!K25*1)+(Kpt.Mvt_Catri!L25*2)+(Kpt.Mvt_Catri!M25*2)</f>
        <v>462</v>
      </c>
      <c r="I25" s="16">
        <f>(Kpt.Mvt_Catri!S25*1)+(Kpt.Mvt_Catri!T25*2)+(Kpt.Mvt_Catri!U25*2)</f>
        <v>187</v>
      </c>
      <c r="J25" s="15">
        <f>(Kpt.Mvt_Catri!W25*1)+(Kpt.Mvt_Catri!X25*2)+(Kpt.Mvt_Catri!Y25*2)</f>
        <v>205</v>
      </c>
      <c r="L25" s="32">
        <f t="shared" si="12"/>
        <v>0.72916666666666641</v>
      </c>
      <c r="M25" s="32" t="s">
        <v>1</v>
      </c>
      <c r="N25" s="37">
        <f t="shared" si="1"/>
        <v>0.73958333333333304</v>
      </c>
      <c r="O25" s="63">
        <f t="shared" si="4"/>
        <v>754</v>
      </c>
      <c r="P25" s="17">
        <f t="shared" si="5"/>
        <v>667</v>
      </c>
      <c r="Q25" s="18">
        <f t="shared" si="6"/>
        <v>1421</v>
      </c>
      <c r="R25" s="16">
        <f t="shared" si="7"/>
        <v>649</v>
      </c>
      <c r="S25" s="16"/>
      <c r="T25" s="16">
        <f t="shared" si="8"/>
        <v>649</v>
      </c>
      <c r="U25" s="15">
        <f t="shared" si="9"/>
        <v>205</v>
      </c>
      <c r="V25" s="16">
        <f t="shared" si="10"/>
        <v>941</v>
      </c>
      <c r="W25" s="16">
        <f t="shared" si="11"/>
        <v>1146</v>
      </c>
    </row>
    <row r="26" spans="2:23" ht="12" customHeight="1" x14ac:dyDescent="0.25">
      <c r="B26" s="8"/>
      <c r="C26" s="6" t="s">
        <v>66</v>
      </c>
      <c r="D26" s="34">
        <f t="shared" si="2"/>
        <v>0.73958333333333304</v>
      </c>
      <c r="E26" s="34" t="s">
        <v>1</v>
      </c>
      <c r="F26" s="34">
        <f t="shared" si="0"/>
        <v>0.74999999999999967</v>
      </c>
      <c r="G26" s="65">
        <f>(Kpt.Mvt_Catri!G26*1)+(Kpt.Mvt_Catri!H26*2)+(Kpt.Mvt_Catri!I26*2)</f>
        <v>702</v>
      </c>
      <c r="H26" s="28">
        <f>(Kpt.Mvt_Catri!K26*1)+(Kpt.Mvt_Catri!L26*2)+(Kpt.Mvt_Catri!M26*2)</f>
        <v>528</v>
      </c>
      <c r="I26" s="29">
        <f>(Kpt.Mvt_Catri!S26*1)+(Kpt.Mvt_Catri!T26*2)+(Kpt.Mvt_Catri!U26*2)</f>
        <v>194</v>
      </c>
      <c r="J26" s="28">
        <f>(Kpt.Mvt_Catri!W26*1)+(Kpt.Mvt_Catri!X26*2)+(Kpt.Mvt_Catri!Y26*2)</f>
        <v>194</v>
      </c>
      <c r="L26" s="34">
        <f t="shared" si="12"/>
        <v>0.73958333333333304</v>
      </c>
      <c r="M26" s="34" t="s">
        <v>1</v>
      </c>
      <c r="N26" s="40">
        <f t="shared" si="1"/>
        <v>0.74999999999999967</v>
      </c>
      <c r="O26" s="65">
        <f t="shared" si="4"/>
        <v>702</v>
      </c>
      <c r="P26" s="30">
        <f t="shared" si="5"/>
        <v>722</v>
      </c>
      <c r="Q26" s="31">
        <f t="shared" si="6"/>
        <v>1424</v>
      </c>
      <c r="R26" s="29">
        <f t="shared" si="7"/>
        <v>722</v>
      </c>
      <c r="S26" s="29"/>
      <c r="T26" s="29">
        <f t="shared" si="8"/>
        <v>722</v>
      </c>
      <c r="U26" s="28">
        <f t="shared" si="9"/>
        <v>194</v>
      </c>
      <c r="V26" s="29">
        <f t="shared" si="10"/>
        <v>896</v>
      </c>
      <c r="W26" s="29">
        <f t="shared" si="11"/>
        <v>1090</v>
      </c>
    </row>
    <row r="27" spans="2:23" ht="12" customHeight="1" x14ac:dyDescent="0.25">
      <c r="B27" s="8"/>
      <c r="C27" s="6" t="s">
        <v>66</v>
      </c>
      <c r="D27" s="43" t="s">
        <v>15</v>
      </c>
      <c r="E27" s="43"/>
      <c r="F27" s="43"/>
      <c r="G27" s="51"/>
      <c r="H27" s="51"/>
      <c r="I27" s="52"/>
      <c r="J27" s="51"/>
      <c r="L27" s="43" t="s">
        <v>15</v>
      </c>
      <c r="M27" s="43"/>
      <c r="N27" s="43"/>
      <c r="O27" s="51"/>
      <c r="P27" s="52"/>
      <c r="Q27" s="66"/>
      <c r="R27" s="52"/>
      <c r="S27" s="52"/>
      <c r="T27" s="52"/>
      <c r="U27" s="51"/>
      <c r="V27" s="52"/>
      <c r="W27" s="52"/>
    </row>
    <row r="28" spans="2:23" ht="12" customHeight="1" x14ac:dyDescent="0.25">
      <c r="B28" s="8"/>
      <c r="C28" s="6" t="s">
        <v>66</v>
      </c>
      <c r="D28" s="32">
        <f>D11</f>
        <v>0.29166666666666669</v>
      </c>
      <c r="E28" s="32" t="s">
        <v>1</v>
      </c>
      <c r="F28" s="32">
        <f t="shared" ref="F28:F31" si="13">D28+60/1440</f>
        <v>0.33333333333333337</v>
      </c>
      <c r="G28" s="63">
        <f>(Kpt.Mvt_Catri!G28*1)+(Kpt.Mvt_Catri!H28*2)+(Kpt.Mvt_Catri!I28*2)</f>
        <v>1897</v>
      </c>
      <c r="H28" s="15">
        <f>(Kpt.Mvt_Catri!K28*1)+(Kpt.Mvt_Catri!L28*2)+(Kpt.Mvt_Catri!M28*2)</f>
        <v>2192</v>
      </c>
      <c r="I28" s="16">
        <f>(Kpt.Mvt_Catri!S28*1)+(Kpt.Mvt_Catri!T28*2)+(Kpt.Mvt_Catri!U28*2)</f>
        <v>737</v>
      </c>
      <c r="J28" s="15">
        <f>(Kpt.Mvt_Catri!W28*1)+(Kpt.Mvt_Catri!X28*2)+(Kpt.Mvt_Catri!Y28*2)</f>
        <v>1099</v>
      </c>
      <c r="L28" s="32">
        <f>L11</f>
        <v>0.29166666666666669</v>
      </c>
      <c r="M28" s="32" t="s">
        <v>1</v>
      </c>
      <c r="N28" s="37">
        <f t="shared" ref="N28:N31" si="14">L28+60/1440</f>
        <v>0.33333333333333337</v>
      </c>
      <c r="O28" s="63">
        <f t="shared" si="4"/>
        <v>1897</v>
      </c>
      <c r="P28" s="17">
        <f t="shared" si="5"/>
        <v>3291</v>
      </c>
      <c r="Q28" s="18">
        <f t="shared" si="6"/>
        <v>5188</v>
      </c>
      <c r="R28" s="16">
        <f t="shared" si="7"/>
        <v>2929</v>
      </c>
      <c r="S28" s="16"/>
      <c r="T28" s="16">
        <f t="shared" si="8"/>
        <v>2929</v>
      </c>
      <c r="U28" s="15">
        <f t="shared" si="9"/>
        <v>1099</v>
      </c>
      <c r="V28" s="16">
        <f t="shared" si="10"/>
        <v>2634</v>
      </c>
      <c r="W28" s="16">
        <f t="shared" si="11"/>
        <v>3733</v>
      </c>
    </row>
    <row r="29" spans="2:23" ht="12" customHeight="1" x14ac:dyDescent="0.25">
      <c r="B29" s="8"/>
      <c r="C29" s="6" t="s">
        <v>66</v>
      </c>
      <c r="D29" s="33">
        <f>D15</f>
        <v>0.33333333333333343</v>
      </c>
      <c r="E29" s="33" t="s">
        <v>1</v>
      </c>
      <c r="F29" s="33">
        <f t="shared" si="13"/>
        <v>0.37500000000000011</v>
      </c>
      <c r="G29" s="64">
        <f>(Kpt.Mvt_Catri!G29*1)+(Kpt.Mvt_Catri!H29*2)+(Kpt.Mvt_Catri!I29*2)</f>
        <v>1705</v>
      </c>
      <c r="H29" s="24">
        <f>(Kpt.Mvt_Catri!K29*1)+(Kpt.Mvt_Catri!L29*2)+(Kpt.Mvt_Catri!M29*2)</f>
        <v>2230</v>
      </c>
      <c r="I29" s="25">
        <f>(Kpt.Mvt_Catri!S29*1)+(Kpt.Mvt_Catri!T29*2)+(Kpt.Mvt_Catri!U29*2)</f>
        <v>705</v>
      </c>
      <c r="J29" s="24">
        <f>(Kpt.Mvt_Catri!W29*1)+(Kpt.Mvt_Catri!X29*2)+(Kpt.Mvt_Catri!Y29*2)</f>
        <v>917</v>
      </c>
      <c r="L29" s="33">
        <f>L15</f>
        <v>0.33333333333333343</v>
      </c>
      <c r="M29" s="33" t="s">
        <v>1</v>
      </c>
      <c r="N29" s="38">
        <f t="shared" si="14"/>
        <v>0.37500000000000011</v>
      </c>
      <c r="O29" s="64">
        <f t="shared" si="4"/>
        <v>1705</v>
      </c>
      <c r="P29" s="26">
        <f t="shared" si="5"/>
        <v>3147</v>
      </c>
      <c r="Q29" s="27">
        <f t="shared" si="6"/>
        <v>4852</v>
      </c>
      <c r="R29" s="25">
        <f t="shared" si="7"/>
        <v>2935</v>
      </c>
      <c r="S29" s="25"/>
      <c r="T29" s="25">
        <f t="shared" si="8"/>
        <v>2935</v>
      </c>
      <c r="U29" s="24">
        <f t="shared" si="9"/>
        <v>917</v>
      </c>
      <c r="V29" s="25">
        <f t="shared" si="10"/>
        <v>2410</v>
      </c>
      <c r="W29" s="25">
        <f t="shared" si="11"/>
        <v>3327</v>
      </c>
    </row>
    <row r="30" spans="2:23" ht="12" customHeight="1" x14ac:dyDescent="0.25">
      <c r="C30" s="6" t="s">
        <v>66</v>
      </c>
      <c r="D30" s="32">
        <f>D19</f>
        <v>0.66666666666666663</v>
      </c>
      <c r="E30" s="32" t="s">
        <v>1</v>
      </c>
      <c r="F30" s="32">
        <f t="shared" si="13"/>
        <v>0.70833333333333326</v>
      </c>
      <c r="G30" s="63">
        <f>(Kpt.Mvt_Catri!G30*1)+(Kpt.Mvt_Catri!H30*2)+(Kpt.Mvt_Catri!I30*2)</f>
        <v>2625</v>
      </c>
      <c r="H30" s="15">
        <f>(Kpt.Mvt_Catri!K30*1)+(Kpt.Mvt_Catri!L30*2)+(Kpt.Mvt_Catri!M30*2)</f>
        <v>1586</v>
      </c>
      <c r="I30" s="16">
        <f>(Kpt.Mvt_Catri!S30*1)+(Kpt.Mvt_Catri!T30*2)+(Kpt.Mvt_Catri!U30*2)</f>
        <v>703</v>
      </c>
      <c r="J30" s="15">
        <f>(Kpt.Mvt_Catri!W30*1)+(Kpt.Mvt_Catri!X30*2)+(Kpt.Mvt_Catri!Y30*2)</f>
        <v>914</v>
      </c>
      <c r="L30" s="32">
        <f>L19</f>
        <v>0.66666666666666663</v>
      </c>
      <c r="M30" s="32" t="s">
        <v>1</v>
      </c>
      <c r="N30" s="37">
        <f t="shared" si="14"/>
        <v>0.70833333333333326</v>
      </c>
      <c r="O30" s="63">
        <f t="shared" si="4"/>
        <v>2625</v>
      </c>
      <c r="P30" s="17">
        <f t="shared" si="5"/>
        <v>2500</v>
      </c>
      <c r="Q30" s="18">
        <f t="shared" si="6"/>
        <v>5125</v>
      </c>
      <c r="R30" s="16">
        <f t="shared" si="7"/>
        <v>2289</v>
      </c>
      <c r="S30" s="16"/>
      <c r="T30" s="16">
        <f t="shared" si="8"/>
        <v>2289</v>
      </c>
      <c r="U30" s="15">
        <f t="shared" si="9"/>
        <v>914</v>
      </c>
      <c r="V30" s="16">
        <f t="shared" si="10"/>
        <v>3328</v>
      </c>
      <c r="W30" s="16">
        <f t="shared" si="11"/>
        <v>4242</v>
      </c>
    </row>
    <row r="31" spans="2:23" ht="12" customHeight="1" x14ac:dyDescent="0.25">
      <c r="C31" s="6" t="s">
        <v>66</v>
      </c>
      <c r="D31" s="34">
        <f>D23</f>
        <v>0.70833333333333315</v>
      </c>
      <c r="E31" s="34" t="s">
        <v>1</v>
      </c>
      <c r="F31" s="34">
        <f t="shared" si="13"/>
        <v>0.74999999999999978</v>
      </c>
      <c r="G31" s="65">
        <f>(Kpt.Mvt_Catri!G31*1)+(Kpt.Mvt_Catri!H31*2)+(Kpt.Mvt_Catri!I31*2)</f>
        <v>2899</v>
      </c>
      <c r="H31" s="28">
        <f>(Kpt.Mvt_Catri!K31*1)+(Kpt.Mvt_Catri!L31*2)+(Kpt.Mvt_Catri!M31*2)</f>
        <v>1900</v>
      </c>
      <c r="I31" s="29">
        <f>(Kpt.Mvt_Catri!S31*1)+(Kpt.Mvt_Catri!T31*2)+(Kpt.Mvt_Catri!U31*2)</f>
        <v>741</v>
      </c>
      <c r="J31" s="28">
        <f>(Kpt.Mvt_Catri!W31*1)+(Kpt.Mvt_Catri!X31*2)+(Kpt.Mvt_Catri!Y31*2)</f>
        <v>944</v>
      </c>
      <c r="L31" s="34">
        <f>L23</f>
        <v>0.70833333333333315</v>
      </c>
      <c r="M31" s="34" t="s">
        <v>1</v>
      </c>
      <c r="N31" s="40">
        <f t="shared" si="14"/>
        <v>0.74999999999999978</v>
      </c>
      <c r="O31" s="65">
        <f t="shared" si="4"/>
        <v>2899</v>
      </c>
      <c r="P31" s="30">
        <f t="shared" si="5"/>
        <v>2844</v>
      </c>
      <c r="Q31" s="31">
        <f t="shared" si="6"/>
        <v>5743</v>
      </c>
      <c r="R31" s="29">
        <f t="shared" si="7"/>
        <v>2641</v>
      </c>
      <c r="S31" s="29"/>
      <c r="T31" s="29">
        <f t="shared" si="8"/>
        <v>2641</v>
      </c>
      <c r="U31" s="28">
        <f t="shared" si="9"/>
        <v>944</v>
      </c>
      <c r="V31" s="29">
        <f t="shared" si="10"/>
        <v>3640</v>
      </c>
      <c r="W31" s="29">
        <f t="shared" si="11"/>
        <v>4584</v>
      </c>
    </row>
    <row r="32" spans="2:23" ht="12" customHeight="1" x14ac:dyDescent="0.25">
      <c r="C32" s="6" t="s">
        <v>66</v>
      </c>
      <c r="D32" s="43" t="s">
        <v>16</v>
      </c>
      <c r="E32" s="43"/>
      <c r="F32" s="43"/>
      <c r="G32" s="51"/>
      <c r="H32" s="51"/>
      <c r="I32" s="52"/>
      <c r="J32" s="51"/>
      <c r="L32" s="43" t="s">
        <v>16</v>
      </c>
      <c r="M32" s="43"/>
      <c r="N32" s="43"/>
      <c r="O32" s="51"/>
      <c r="P32" s="52"/>
      <c r="Q32" s="66"/>
      <c r="R32" s="52"/>
      <c r="S32" s="52"/>
      <c r="T32" s="52"/>
      <c r="U32" s="51"/>
      <c r="V32" s="52"/>
      <c r="W32" s="52"/>
    </row>
    <row r="33" spans="2:23" ht="12" customHeight="1" x14ac:dyDescent="0.25">
      <c r="C33" s="6" t="s">
        <v>66</v>
      </c>
      <c r="D33" s="32">
        <f>D11</f>
        <v>0.29166666666666669</v>
      </c>
      <c r="E33" s="32" t="s">
        <v>1</v>
      </c>
      <c r="F33" s="32">
        <f>F18</f>
        <v>0.37500000000000017</v>
      </c>
      <c r="G33" s="63">
        <f>(Kpt.Mvt_Catri!G33*1)+(Kpt.Mvt_Catri!H33*2)+(Kpt.Mvt_Catri!I33*2)</f>
        <v>3602</v>
      </c>
      <c r="H33" s="15">
        <f>(Kpt.Mvt_Catri!K33*1)+(Kpt.Mvt_Catri!L33*2)+(Kpt.Mvt_Catri!M33*2)</f>
        <v>4422</v>
      </c>
      <c r="I33" s="16">
        <f>(Kpt.Mvt_Catri!S33*1)+(Kpt.Mvt_Catri!T33*2)+(Kpt.Mvt_Catri!U33*2)</f>
        <v>1442</v>
      </c>
      <c r="J33" s="15">
        <f>(Kpt.Mvt_Catri!W33*1)+(Kpt.Mvt_Catri!X33*2)+(Kpt.Mvt_Catri!Y33*2)</f>
        <v>2016</v>
      </c>
      <c r="L33" s="32">
        <f>L11</f>
        <v>0.29166666666666669</v>
      </c>
      <c r="M33" s="32" t="s">
        <v>1</v>
      </c>
      <c r="N33" s="37">
        <f>N18</f>
        <v>0.37500000000000017</v>
      </c>
      <c r="O33" s="63">
        <f t="shared" si="4"/>
        <v>3602</v>
      </c>
      <c r="P33" s="17">
        <f t="shared" si="5"/>
        <v>6438</v>
      </c>
      <c r="Q33" s="18">
        <f t="shared" si="6"/>
        <v>10040</v>
      </c>
      <c r="R33" s="16">
        <f t="shared" si="7"/>
        <v>5864</v>
      </c>
      <c r="S33" s="16"/>
      <c r="T33" s="16">
        <f t="shared" si="8"/>
        <v>5864</v>
      </c>
      <c r="U33" s="15">
        <f t="shared" si="9"/>
        <v>2016</v>
      </c>
      <c r="V33" s="16">
        <f t="shared" si="10"/>
        <v>5044</v>
      </c>
      <c r="W33" s="16">
        <f t="shared" si="11"/>
        <v>7060</v>
      </c>
    </row>
    <row r="34" spans="2:23" ht="12" customHeight="1" x14ac:dyDescent="0.25">
      <c r="C34" s="6" t="s">
        <v>66</v>
      </c>
      <c r="D34" s="33">
        <f>D19</f>
        <v>0.66666666666666663</v>
      </c>
      <c r="E34" s="33" t="s">
        <v>1</v>
      </c>
      <c r="F34" s="33">
        <f>F26</f>
        <v>0.74999999999999967</v>
      </c>
      <c r="G34" s="64">
        <f>(Kpt.Mvt_Catri!G34*1)+(Kpt.Mvt_Catri!H34*2)+(Kpt.Mvt_Catri!I34*2)</f>
        <v>5524</v>
      </c>
      <c r="H34" s="24">
        <f>(Kpt.Mvt_Catri!K34*1)+(Kpt.Mvt_Catri!L34*2)+(Kpt.Mvt_Catri!M34*2)</f>
        <v>3486</v>
      </c>
      <c r="I34" s="25">
        <f>(Kpt.Mvt_Catri!S34*1)+(Kpt.Mvt_Catri!T34*2)+(Kpt.Mvt_Catri!U34*2)</f>
        <v>1444</v>
      </c>
      <c r="J34" s="24">
        <f>(Kpt.Mvt_Catri!W34*1)+(Kpt.Mvt_Catri!X34*2)+(Kpt.Mvt_Catri!Y34*2)</f>
        <v>1858</v>
      </c>
      <c r="L34" s="33">
        <f>L19</f>
        <v>0.66666666666666663</v>
      </c>
      <c r="M34" s="33" t="s">
        <v>1</v>
      </c>
      <c r="N34" s="38">
        <f>N26</f>
        <v>0.74999999999999967</v>
      </c>
      <c r="O34" s="64">
        <f t="shared" si="4"/>
        <v>5524</v>
      </c>
      <c r="P34" s="26">
        <f t="shared" si="5"/>
        <v>5344</v>
      </c>
      <c r="Q34" s="27">
        <f t="shared" si="6"/>
        <v>10868</v>
      </c>
      <c r="R34" s="25">
        <f t="shared" si="7"/>
        <v>4930</v>
      </c>
      <c r="S34" s="25"/>
      <c r="T34" s="25">
        <f t="shared" si="8"/>
        <v>4930</v>
      </c>
      <c r="U34" s="24">
        <f t="shared" si="9"/>
        <v>1858</v>
      </c>
      <c r="V34" s="25">
        <f t="shared" si="10"/>
        <v>6968</v>
      </c>
      <c r="W34" s="25">
        <f t="shared" si="11"/>
        <v>8826</v>
      </c>
    </row>
    <row r="35" spans="2:23" ht="12" customHeight="1" x14ac:dyDescent="0.25">
      <c r="C35" s="6" t="s">
        <v>66</v>
      </c>
      <c r="D35" s="43" t="s">
        <v>17</v>
      </c>
      <c r="E35" s="43"/>
      <c r="F35" s="43"/>
      <c r="G35" s="51"/>
      <c r="H35" s="51"/>
      <c r="I35" s="52"/>
      <c r="J35" s="51"/>
      <c r="L35" s="43" t="s">
        <v>17</v>
      </c>
      <c r="M35" s="43"/>
      <c r="N35" s="43"/>
      <c r="O35" s="51"/>
      <c r="P35" s="52"/>
      <c r="Q35" s="66"/>
      <c r="R35" s="52"/>
      <c r="S35" s="52"/>
      <c r="T35" s="52"/>
      <c r="U35" s="51"/>
      <c r="V35" s="52"/>
      <c r="W35" s="52"/>
    </row>
    <row r="36" spans="2:23" ht="12" customHeight="1" x14ac:dyDescent="0.25">
      <c r="C36" s="6" t="s">
        <v>66</v>
      </c>
      <c r="D36" s="32">
        <f>INFO!$B$28</f>
        <v>0.3125</v>
      </c>
      <c r="E36" s="32" t="s">
        <v>1</v>
      </c>
      <c r="F36" s="32">
        <f>D36+60/1440</f>
        <v>0.35416666666666669</v>
      </c>
      <c r="G36" s="63">
        <f ca="1">(Kpt.Mvt_Catri!G36*1)+(Kpt.Mvt_Catri!H36*2)+(Kpt.Mvt_Catri!I36*2)</f>
        <v>2087</v>
      </c>
      <c r="H36" s="15">
        <f ca="1">(Kpt.Mvt_Catri!K36*1)+(Kpt.Mvt_Catri!L36*2)+(Kpt.Mvt_Catri!M36*2)</f>
        <v>2431</v>
      </c>
      <c r="I36" s="16">
        <f ca="1">(Kpt.Mvt_Catri!S36*1)+(Kpt.Mvt_Catri!T36*2)+(Kpt.Mvt_Catri!U36*2)</f>
        <v>715</v>
      </c>
      <c r="J36" s="15">
        <f ca="1">(Kpt.Mvt_Catri!W36*1)+(Kpt.Mvt_Catri!X36*2)+(Kpt.Mvt_Catri!Y36*2)</f>
        <v>1272</v>
      </c>
      <c r="L36" s="32">
        <f>INFO!$B$28</f>
        <v>0.3125</v>
      </c>
      <c r="M36" s="32" t="s">
        <v>1</v>
      </c>
      <c r="N36" s="37">
        <f>L36+60/1440</f>
        <v>0.35416666666666669</v>
      </c>
      <c r="O36" s="63">
        <f t="shared" ca="1" si="4"/>
        <v>2087</v>
      </c>
      <c r="P36" s="17">
        <f t="shared" ca="1" si="5"/>
        <v>3703</v>
      </c>
      <c r="Q36" s="18">
        <f t="shared" ca="1" si="6"/>
        <v>5790</v>
      </c>
      <c r="R36" s="16">
        <f t="shared" ca="1" si="7"/>
        <v>3146</v>
      </c>
      <c r="S36" s="16"/>
      <c r="T36" s="16">
        <f t="shared" ca="1" si="8"/>
        <v>3146</v>
      </c>
      <c r="U36" s="15">
        <f t="shared" ca="1" si="9"/>
        <v>1272</v>
      </c>
      <c r="V36" s="16">
        <f t="shared" ca="1" si="10"/>
        <v>2802</v>
      </c>
      <c r="W36" s="16">
        <f t="shared" ca="1" si="11"/>
        <v>4074</v>
      </c>
    </row>
    <row r="37" spans="2:23" ht="12" customHeight="1" x14ac:dyDescent="0.25">
      <c r="C37" s="6" t="s">
        <v>66</v>
      </c>
      <c r="D37" s="34">
        <f>INFO!$B$29</f>
        <v>0.69791666666666663</v>
      </c>
      <c r="E37" s="34" t="s">
        <v>1</v>
      </c>
      <c r="F37" s="34">
        <f>D37+60/1440</f>
        <v>0.73958333333333326</v>
      </c>
      <c r="G37" s="65">
        <f ca="1">(Kpt.Mvt_Catri!G37*1)+(Kpt.Mvt_Catri!H37*2)+(Kpt.Mvt_Catri!I37*2)</f>
        <v>2915</v>
      </c>
      <c r="H37" s="28">
        <f ca="1">(Kpt.Mvt_Catri!K37*1)+(Kpt.Mvt_Catri!L37*2)+(Kpt.Mvt_Catri!M37*2)</f>
        <v>1816</v>
      </c>
      <c r="I37" s="29">
        <f ca="1">(Kpt.Mvt_Catri!S37*1)+(Kpt.Mvt_Catri!T37*2)+(Kpt.Mvt_Catri!U37*2)</f>
        <v>721</v>
      </c>
      <c r="J37" s="28">
        <f ca="1">(Kpt.Mvt_Catri!W37*1)+(Kpt.Mvt_Catri!X37*2)+(Kpt.Mvt_Catri!Y37*2)</f>
        <v>1016</v>
      </c>
      <c r="L37" s="34">
        <f>INFO!$B$29</f>
        <v>0.69791666666666663</v>
      </c>
      <c r="M37" s="34" t="s">
        <v>1</v>
      </c>
      <c r="N37" s="40">
        <f>L37+60/1440</f>
        <v>0.73958333333333326</v>
      </c>
      <c r="O37" s="65">
        <f t="shared" ca="1" si="4"/>
        <v>2915</v>
      </c>
      <c r="P37" s="30">
        <f t="shared" ca="1" si="5"/>
        <v>2832</v>
      </c>
      <c r="Q37" s="31">
        <f t="shared" ca="1" si="6"/>
        <v>5747</v>
      </c>
      <c r="R37" s="29">
        <f t="shared" ca="1" si="7"/>
        <v>2537</v>
      </c>
      <c r="S37" s="29"/>
      <c r="T37" s="29">
        <f t="shared" ca="1" si="8"/>
        <v>2537</v>
      </c>
      <c r="U37" s="28">
        <f t="shared" ca="1" si="9"/>
        <v>1016</v>
      </c>
      <c r="V37" s="29">
        <f t="shared" ca="1" si="10"/>
        <v>3636</v>
      </c>
      <c r="W37" s="29">
        <f t="shared" ca="1" si="11"/>
        <v>4652</v>
      </c>
    </row>
    <row r="38" spans="2:23" ht="12" customHeight="1" x14ac:dyDescent="0.25">
      <c r="B38" s="9" t="s">
        <v>37</v>
      </c>
      <c r="C38" s="6" t="s">
        <v>66</v>
      </c>
    </row>
    <row r="39" spans="2:23" ht="12" customHeight="1" x14ac:dyDescent="0.25">
      <c r="B39" s="5" t="s">
        <v>119</v>
      </c>
      <c r="C39" s="6" t="s">
        <v>66</v>
      </c>
    </row>
    <row r="40" spans="2:23" ht="12" customHeight="1" x14ac:dyDescent="0.25">
      <c r="B40" s="5" t="s">
        <v>92</v>
      </c>
      <c r="C40" s="6" t="s">
        <v>66</v>
      </c>
    </row>
    <row r="41" spans="2:23" ht="12" customHeight="1" x14ac:dyDescent="0.25">
      <c r="B41" s="5" t="s">
        <v>69</v>
      </c>
      <c r="C41" s="6" t="s">
        <v>66</v>
      </c>
    </row>
    <row r="42" spans="2:23" ht="12" customHeight="1" x14ac:dyDescent="0.25">
      <c r="B42" s="5" t="s">
        <v>93</v>
      </c>
      <c r="C42" s="6" t="s">
        <v>66</v>
      </c>
    </row>
    <row r="43" spans="2:23" ht="12" customHeight="1" x14ac:dyDescent="0.25">
      <c r="B43" s="5" t="s">
        <v>120</v>
      </c>
      <c r="C43" s="6" t="s">
        <v>66</v>
      </c>
    </row>
    <row r="44" spans="2:23" ht="12" customHeight="1" x14ac:dyDescent="0.25">
      <c r="B44" s="5" t="s">
        <v>70</v>
      </c>
      <c r="C44" s="6" t="s">
        <v>66</v>
      </c>
    </row>
    <row r="45" spans="2:23" ht="12" customHeight="1" x14ac:dyDescent="0.25">
      <c r="B45" s="5" t="s">
        <v>121</v>
      </c>
      <c r="C45" s="6" t="s">
        <v>66</v>
      </c>
    </row>
    <row r="46" spans="2:23" ht="12" customHeight="1" x14ac:dyDescent="0.25">
      <c r="B46" s="5" t="s">
        <v>94</v>
      </c>
      <c r="C46" s="6" t="s">
        <v>66</v>
      </c>
    </row>
    <row r="47" spans="2:23" ht="12" customHeight="1" x14ac:dyDescent="0.25">
      <c r="B47" s="5" t="s">
        <v>71</v>
      </c>
      <c r="C47" s="6" t="s">
        <v>66</v>
      </c>
    </row>
    <row r="48" spans="2:23" ht="12" customHeight="1" x14ac:dyDescent="0.25">
      <c r="C48" s="6" t="s">
        <v>66</v>
      </c>
    </row>
    <row r="49" spans="2:3" ht="12" customHeight="1" x14ac:dyDescent="0.25">
      <c r="B49" s="9" t="s">
        <v>98</v>
      </c>
      <c r="C49" s="6" t="s">
        <v>66</v>
      </c>
    </row>
    <row r="50" spans="2:3" ht="12" customHeight="1" x14ac:dyDescent="0.25">
      <c r="B50" s="5" t="s">
        <v>107</v>
      </c>
      <c r="C50" s="6" t="s">
        <v>66</v>
      </c>
    </row>
    <row r="51" spans="2:3" ht="12" customHeight="1" x14ac:dyDescent="0.25">
      <c r="C51" s="6" t="s">
        <v>66</v>
      </c>
    </row>
    <row r="52" spans="2:3" ht="12" customHeight="1" x14ac:dyDescent="0.25">
      <c r="C52" s="6" t="s">
        <v>66</v>
      </c>
    </row>
    <row r="53" spans="2:3" ht="12" customHeight="1" x14ac:dyDescent="0.25">
      <c r="B53" s="1"/>
      <c r="C53" s="6" t="s">
        <v>66</v>
      </c>
    </row>
    <row r="54" spans="2:3" ht="12" customHeight="1" x14ac:dyDescent="0.2">
      <c r="B54" s="1"/>
    </row>
    <row r="55" spans="2:3" ht="12" customHeight="1" x14ac:dyDescent="0.2">
      <c r="B55" s="1"/>
    </row>
    <row r="56" spans="2:3" ht="12" customHeight="1" x14ac:dyDescent="0.2">
      <c r="B56" s="1"/>
    </row>
  </sheetData>
  <mergeCells count="2">
    <mergeCell ref="L6:W7"/>
    <mergeCell ref="D6:J7"/>
  </mergeCells>
  <pageMargins left="0.39370078740157483" right="0.39370078740157483" top="0.59055118110236227" bottom="0.59055118110236227" header="0.31496062992125984" footer="0.39370078740157483"/>
  <pageSetup paperSize="9" scale="75" firstPageNumber="8" orientation="landscape" r:id="rId1"/>
  <headerFooter>
    <oddHeader>&amp;A</oddHeader>
    <oddFooter>&amp;L&amp;"Core Sans NR 45 Regular,Standaard"&amp;12&amp;K03+000&amp;P&amp;R&amp;"Core Sans NR 45 Regular,Vet"&amp;16&amp;K03+000DUFEC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3">
    <pageSetUpPr autoPageBreaks="0"/>
  </sheetPr>
  <dimension ref="A1:Z62"/>
  <sheetViews>
    <sheetView showGridLines="0" showZeros="0" zoomScaleNormal="100" zoomScaleSheetLayoutView="100" workbookViewId="0"/>
  </sheetViews>
  <sheetFormatPr defaultColWidth="8.83203125" defaultRowHeight="12" customHeight="1" x14ac:dyDescent="0.2"/>
  <cols>
    <col min="1" max="1" width="2.83203125" style="5" customWidth="1"/>
    <col min="2" max="2" width="42.83203125" style="5" customWidth="1"/>
    <col min="3" max="3" width="2.83203125" style="5" customWidth="1"/>
    <col min="4" max="4" width="5.83203125" style="1" customWidth="1"/>
    <col min="5" max="5" width="1" style="1" customWidth="1"/>
    <col min="6" max="6" width="5.83203125" style="1" customWidth="1"/>
    <col min="7" max="8" width="9.33203125" style="1" customWidth="1"/>
    <col min="9" max="9" width="9.33203125" style="2" customWidth="1"/>
    <col min="10" max="10" width="9.33203125" style="22" customWidth="1"/>
    <col min="11" max="12" width="9.33203125" style="1" customWidth="1"/>
    <col min="13" max="13" width="9.33203125" style="2" customWidth="1"/>
    <col min="14" max="14" width="9.33203125" style="22" customWidth="1"/>
    <col min="15" max="15" width="16.83203125" style="1" customWidth="1"/>
    <col min="16" max="16" width="5.83203125" style="1" customWidth="1"/>
    <col min="17" max="17" width="1" style="1" customWidth="1"/>
    <col min="18" max="18" width="5.83203125" style="1" customWidth="1"/>
    <col min="19" max="20" width="9.33203125" style="1" customWidth="1"/>
    <col min="21" max="21" width="9.33203125" style="2" customWidth="1"/>
    <col min="22" max="22" width="9.33203125" style="22" customWidth="1"/>
    <col min="23" max="24" width="9.33203125" style="1" customWidth="1"/>
    <col min="25" max="25" width="9.33203125" style="2" customWidth="1"/>
    <col min="26" max="26" width="9.33203125" style="22" customWidth="1"/>
    <col min="27" max="27" width="16.83203125" style="1" customWidth="1"/>
    <col min="28" max="16384" width="8.83203125" style="1"/>
  </cols>
  <sheetData>
    <row r="1" spans="2:26" ht="12" customHeight="1" x14ac:dyDescent="0.2">
      <c r="D1" s="5"/>
      <c r="E1" s="5"/>
      <c r="F1" s="5"/>
      <c r="G1" s="5"/>
      <c r="H1" s="5"/>
      <c r="I1" s="5"/>
      <c r="J1" s="11"/>
      <c r="K1" s="5"/>
      <c r="L1" s="5"/>
      <c r="M1" s="5"/>
      <c r="N1" s="11"/>
      <c r="P1" s="5"/>
      <c r="Q1" s="5"/>
      <c r="R1" s="5"/>
      <c r="S1" s="5"/>
      <c r="T1" s="5"/>
      <c r="U1" s="5"/>
      <c r="V1" s="11"/>
      <c r="W1" s="5"/>
      <c r="X1" s="5"/>
      <c r="Y1" s="5"/>
      <c r="Z1" s="11"/>
    </row>
    <row r="2" spans="2:26" ht="24" customHeight="1" x14ac:dyDescent="0.25">
      <c r="B2" s="13" t="s">
        <v>5</v>
      </c>
      <c r="C2" s="6" t="s">
        <v>66</v>
      </c>
      <c r="D2" s="13" t="str">
        <f>UPPER(B8)</f>
        <v>A19 / R8 KNOOPPUNT KORTRIJK-WEST</v>
      </c>
      <c r="E2" s="13"/>
      <c r="F2" s="13"/>
      <c r="G2" s="13"/>
      <c r="H2" s="13"/>
      <c r="I2" s="13"/>
      <c r="J2" s="19"/>
      <c r="K2" s="13"/>
      <c r="L2" s="13"/>
      <c r="M2" s="13"/>
      <c r="N2" s="19"/>
      <c r="P2" s="13" t="str">
        <f>D2</f>
        <v>A19 / R8 KNOOPPUNT KORTRIJK-WEST</v>
      </c>
      <c r="Q2" s="13"/>
      <c r="R2" s="13"/>
      <c r="S2" s="13"/>
      <c r="T2" s="13"/>
      <c r="U2" s="13"/>
      <c r="V2" s="19"/>
      <c r="W2" s="13"/>
      <c r="X2" s="13"/>
      <c r="Y2" s="13"/>
      <c r="Z2" s="19"/>
    </row>
    <row r="3" spans="2:26" ht="24" customHeight="1" x14ac:dyDescent="0.25">
      <c r="B3" s="12" t="s">
        <v>6</v>
      </c>
      <c r="C3" s="6" t="s">
        <v>66</v>
      </c>
      <c r="D3" s="12" t="s">
        <v>118</v>
      </c>
      <c r="E3" s="12"/>
      <c r="F3" s="12"/>
      <c r="G3" s="12"/>
      <c r="H3" s="12"/>
      <c r="I3" s="12"/>
      <c r="J3" s="20"/>
      <c r="K3" s="12"/>
      <c r="L3" s="12"/>
      <c r="M3" s="12"/>
      <c r="N3" s="20"/>
      <c r="P3" s="12" t="str">
        <f>D3</f>
        <v>Kruispunt R8 / Verbindingsboog A19</v>
      </c>
      <c r="Q3" s="12"/>
      <c r="R3" s="12"/>
      <c r="S3" s="12"/>
      <c r="T3" s="12"/>
      <c r="U3" s="12"/>
      <c r="V3" s="20"/>
      <c r="W3" s="12"/>
      <c r="X3" s="12"/>
      <c r="Y3" s="12"/>
      <c r="Z3" s="20"/>
    </row>
    <row r="4" spans="2:26" ht="12" customHeight="1" x14ac:dyDescent="0.25">
      <c r="B4" s="7"/>
      <c r="C4" s="6" t="s">
        <v>66</v>
      </c>
      <c r="D4" s="7"/>
      <c r="E4" s="7"/>
      <c r="F4" s="7"/>
      <c r="G4" s="7"/>
      <c r="H4" s="7"/>
      <c r="I4" s="7"/>
      <c r="J4" s="21"/>
      <c r="K4" s="7"/>
      <c r="L4" s="7"/>
      <c r="M4" s="7"/>
      <c r="N4" s="21"/>
      <c r="P4" s="7"/>
      <c r="Q4" s="7"/>
      <c r="R4" s="7"/>
      <c r="S4" s="7"/>
      <c r="T4" s="7"/>
      <c r="U4" s="7"/>
      <c r="V4" s="21"/>
      <c r="W4" s="7"/>
      <c r="X4" s="7"/>
      <c r="Y4" s="7"/>
      <c r="Z4" s="21"/>
    </row>
    <row r="5" spans="2:26" ht="12" customHeight="1" x14ac:dyDescent="0.25">
      <c r="B5" s="7"/>
      <c r="C5" s="6" t="s">
        <v>66</v>
      </c>
      <c r="D5" s="5"/>
      <c r="E5" s="5"/>
      <c r="F5" s="5"/>
      <c r="G5" s="5"/>
      <c r="H5" s="5"/>
      <c r="I5" s="5"/>
      <c r="J5" s="11"/>
      <c r="K5" s="5"/>
      <c r="L5" s="5"/>
      <c r="M5" s="5"/>
      <c r="N5" s="11"/>
      <c r="P5" s="5"/>
      <c r="Q5" s="5"/>
      <c r="R5" s="5"/>
      <c r="S5" s="5"/>
      <c r="T5" s="5"/>
      <c r="U5" s="5"/>
      <c r="V5" s="11"/>
      <c r="W5" s="5"/>
      <c r="X5" s="5"/>
      <c r="Y5" s="5"/>
      <c r="Z5" s="11"/>
    </row>
    <row r="6" spans="2:26" ht="12" customHeight="1" x14ac:dyDescent="0.25">
      <c r="B6" s="8"/>
      <c r="C6" s="6" t="s">
        <v>66</v>
      </c>
      <c r="D6" s="179" t="s">
        <v>23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P6" s="179" t="s">
        <v>23</v>
      </c>
      <c r="Q6" s="179"/>
      <c r="R6" s="179"/>
      <c r="S6" s="179"/>
      <c r="T6" s="179"/>
      <c r="U6" s="179"/>
      <c r="V6" s="179"/>
      <c r="W6" s="179"/>
      <c r="X6" s="179"/>
      <c r="Y6" s="179"/>
      <c r="Z6" s="179"/>
    </row>
    <row r="7" spans="2:26" ht="12" customHeight="1" x14ac:dyDescent="0.25">
      <c r="B7" s="9" t="s">
        <v>7</v>
      </c>
      <c r="C7" s="6" t="s">
        <v>66</v>
      </c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</row>
    <row r="8" spans="2:26" ht="12" customHeight="1" x14ac:dyDescent="0.25">
      <c r="B8" s="8" t="str">
        <f>INFO!$B$4</f>
        <v>A19 / R8 Knooppunt Kortrijk-West</v>
      </c>
      <c r="C8" s="6" t="s">
        <v>66</v>
      </c>
      <c r="D8" s="14"/>
      <c r="E8" s="14"/>
      <c r="F8" s="35"/>
      <c r="G8" s="49" t="s">
        <v>19</v>
      </c>
      <c r="H8" s="23"/>
      <c r="I8" s="23"/>
      <c r="J8" s="39"/>
      <c r="K8" s="23" t="s">
        <v>20</v>
      </c>
      <c r="L8" s="23"/>
      <c r="M8" s="23"/>
      <c r="N8" s="23"/>
      <c r="P8" s="14"/>
      <c r="Q8" s="14"/>
      <c r="R8" s="35"/>
      <c r="S8" s="23" t="s">
        <v>21</v>
      </c>
      <c r="T8" s="23"/>
      <c r="U8" s="23"/>
      <c r="V8" s="39"/>
      <c r="W8" s="23" t="s">
        <v>22</v>
      </c>
      <c r="X8" s="23"/>
      <c r="Y8" s="23"/>
      <c r="Z8" s="23"/>
    </row>
    <row r="9" spans="2:26" ht="12" customHeight="1" x14ac:dyDescent="0.25">
      <c r="C9" s="6" t="s">
        <v>66</v>
      </c>
      <c r="D9" s="14"/>
      <c r="E9" s="14"/>
      <c r="F9" s="36"/>
      <c r="G9" s="10" t="s">
        <v>95</v>
      </c>
      <c r="H9" s="4" t="s">
        <v>96</v>
      </c>
      <c r="I9" s="4" t="s">
        <v>97</v>
      </c>
      <c r="J9" s="3" t="s">
        <v>0</v>
      </c>
      <c r="K9" s="4" t="s">
        <v>95</v>
      </c>
      <c r="L9" s="4" t="s">
        <v>96</v>
      </c>
      <c r="M9" s="4" t="s">
        <v>97</v>
      </c>
      <c r="N9" s="4" t="s">
        <v>0</v>
      </c>
      <c r="P9" s="14"/>
      <c r="Q9" s="14"/>
      <c r="R9" s="36"/>
      <c r="S9" s="10" t="s">
        <v>95</v>
      </c>
      <c r="T9" s="4" t="s">
        <v>96</v>
      </c>
      <c r="U9" s="4" t="s">
        <v>97</v>
      </c>
      <c r="V9" s="3" t="s">
        <v>0</v>
      </c>
      <c r="W9" s="4" t="s">
        <v>95</v>
      </c>
      <c r="X9" s="4" t="s">
        <v>96</v>
      </c>
      <c r="Y9" s="4" t="s">
        <v>97</v>
      </c>
      <c r="Z9" s="4" t="s">
        <v>0</v>
      </c>
    </row>
    <row r="10" spans="2:26" ht="12" customHeight="1" x14ac:dyDescent="0.25">
      <c r="B10" s="8" t="str">
        <f>D3</f>
        <v>Kruispunt R8 / Verbindingsboog A19</v>
      </c>
      <c r="C10" s="6" t="s">
        <v>66</v>
      </c>
      <c r="D10" s="43" t="s">
        <v>4</v>
      </c>
      <c r="E10" s="43"/>
      <c r="F10" s="43"/>
      <c r="G10" s="44"/>
      <c r="H10" s="41"/>
      <c r="I10" s="41"/>
      <c r="J10" s="42"/>
      <c r="K10" s="41"/>
      <c r="L10" s="41"/>
      <c r="M10" s="41"/>
      <c r="N10" s="41"/>
      <c r="P10" s="43" t="s">
        <v>4</v>
      </c>
      <c r="Q10" s="43"/>
      <c r="R10" s="43"/>
      <c r="S10" s="44"/>
      <c r="T10" s="41"/>
      <c r="U10" s="41"/>
      <c r="V10" s="42"/>
      <c r="W10" s="41"/>
      <c r="X10" s="41"/>
      <c r="Y10" s="41"/>
      <c r="Z10" s="41"/>
    </row>
    <row r="11" spans="2:26" ht="12" customHeight="1" x14ac:dyDescent="0.25">
      <c r="B11" s="8" t="str">
        <f>INFO!$C$21</f>
        <v>Z = R8 komende van Complex Bissegem</v>
      </c>
      <c r="C11" s="6" t="s">
        <v>66</v>
      </c>
      <c r="D11" s="32">
        <v>0.29166666666666669</v>
      </c>
      <c r="E11" s="32" t="s">
        <v>1</v>
      </c>
      <c r="F11" s="37">
        <f t="shared" ref="F11:F26" si="0">D11+15/1440</f>
        <v>0.30208333333333337</v>
      </c>
      <c r="G11" s="45">
        <v>263</v>
      </c>
      <c r="H11" s="16">
        <v>24</v>
      </c>
      <c r="I11" s="16">
        <v>13</v>
      </c>
      <c r="J11" s="18">
        <v>300</v>
      </c>
      <c r="K11" s="46">
        <v>416</v>
      </c>
      <c r="L11" s="16">
        <v>15</v>
      </c>
      <c r="M11" s="16">
        <v>19</v>
      </c>
      <c r="N11" s="16">
        <v>450</v>
      </c>
      <c r="P11" s="32">
        <v>0.29166666666666669</v>
      </c>
      <c r="Q11" s="32" t="s">
        <v>1</v>
      </c>
      <c r="R11" s="37">
        <f t="shared" ref="R11:R26" si="1">P11+15/1440</f>
        <v>0.30208333333333337</v>
      </c>
      <c r="S11" s="46">
        <v>156</v>
      </c>
      <c r="T11" s="16">
        <v>9</v>
      </c>
      <c r="U11" s="16">
        <v>4</v>
      </c>
      <c r="V11" s="18">
        <v>169</v>
      </c>
      <c r="W11" s="46">
        <v>156</v>
      </c>
      <c r="X11" s="16">
        <v>1</v>
      </c>
      <c r="Y11" s="16">
        <v>1</v>
      </c>
      <c r="Z11" s="16">
        <v>158</v>
      </c>
    </row>
    <row r="12" spans="2:26" ht="12" customHeight="1" x14ac:dyDescent="0.25">
      <c r="B12" s="8" t="str">
        <f>INFO!$C$22</f>
        <v>W = Verbindingsboog komende van A19</v>
      </c>
      <c r="C12" s="6" t="s">
        <v>66</v>
      </c>
      <c r="D12" s="33">
        <v>0.30208333333333331</v>
      </c>
      <c r="E12" s="33" t="s">
        <v>1</v>
      </c>
      <c r="F12" s="38">
        <f t="shared" si="0"/>
        <v>0.3125</v>
      </c>
      <c r="G12" s="47">
        <v>358</v>
      </c>
      <c r="H12" s="25">
        <v>15</v>
      </c>
      <c r="I12" s="25">
        <v>11</v>
      </c>
      <c r="J12" s="27">
        <v>384</v>
      </c>
      <c r="K12" s="48">
        <v>459</v>
      </c>
      <c r="L12" s="25">
        <v>10</v>
      </c>
      <c r="M12" s="25">
        <v>20</v>
      </c>
      <c r="N12" s="25">
        <v>489</v>
      </c>
      <c r="P12" s="33">
        <v>0.30208333333333331</v>
      </c>
      <c r="Q12" s="33" t="s">
        <v>1</v>
      </c>
      <c r="R12" s="38">
        <f t="shared" si="1"/>
        <v>0.3125</v>
      </c>
      <c r="S12" s="48">
        <v>193</v>
      </c>
      <c r="T12" s="25">
        <v>5</v>
      </c>
      <c r="U12" s="25">
        <v>4</v>
      </c>
      <c r="V12" s="27">
        <v>202</v>
      </c>
      <c r="W12" s="48">
        <v>208</v>
      </c>
      <c r="X12" s="25">
        <v>17</v>
      </c>
      <c r="Y12" s="25">
        <v>4</v>
      </c>
      <c r="Z12" s="25">
        <v>229</v>
      </c>
    </row>
    <row r="13" spans="2:26" ht="12" customHeight="1" x14ac:dyDescent="0.25">
      <c r="B13" s="8" t="str">
        <f>INFO!$C$23</f>
        <v>N = R8 komende van Complex Gullegem</v>
      </c>
      <c r="C13" s="6" t="s">
        <v>66</v>
      </c>
      <c r="D13" s="32">
        <v>0.3125</v>
      </c>
      <c r="E13" s="32" t="s">
        <v>1</v>
      </c>
      <c r="F13" s="37">
        <f t="shared" si="0"/>
        <v>0.32291666666666669</v>
      </c>
      <c r="G13" s="45">
        <v>512</v>
      </c>
      <c r="H13" s="16">
        <v>18</v>
      </c>
      <c r="I13" s="16">
        <v>11</v>
      </c>
      <c r="J13" s="18">
        <v>541</v>
      </c>
      <c r="K13" s="46">
        <v>507</v>
      </c>
      <c r="L13" s="16">
        <v>11</v>
      </c>
      <c r="M13" s="16">
        <v>15</v>
      </c>
      <c r="N13" s="16">
        <v>533</v>
      </c>
      <c r="P13" s="32">
        <v>0.3125</v>
      </c>
      <c r="Q13" s="32" t="s">
        <v>1</v>
      </c>
      <c r="R13" s="37">
        <f t="shared" si="1"/>
        <v>0.32291666666666669</v>
      </c>
      <c r="S13" s="46">
        <v>166</v>
      </c>
      <c r="T13" s="16">
        <v>3</v>
      </c>
      <c r="U13" s="16">
        <v>4</v>
      </c>
      <c r="V13" s="18">
        <v>173</v>
      </c>
      <c r="W13" s="46">
        <v>285</v>
      </c>
      <c r="X13" s="16">
        <v>7</v>
      </c>
      <c r="Y13" s="16">
        <v>2</v>
      </c>
      <c r="Z13" s="16">
        <v>294</v>
      </c>
    </row>
    <row r="14" spans="2:26" ht="12" customHeight="1" x14ac:dyDescent="0.25">
      <c r="C14" s="6" t="s">
        <v>66</v>
      </c>
      <c r="D14" s="33">
        <v>0.32291666666666669</v>
      </c>
      <c r="E14" s="33" t="s">
        <v>1</v>
      </c>
      <c r="F14" s="38">
        <f t="shared" si="0"/>
        <v>0.33333333333333337</v>
      </c>
      <c r="G14" s="47">
        <v>530</v>
      </c>
      <c r="H14" s="25">
        <v>14</v>
      </c>
      <c r="I14" s="25">
        <v>11</v>
      </c>
      <c r="J14" s="27">
        <v>555</v>
      </c>
      <c r="K14" s="48">
        <v>564</v>
      </c>
      <c r="L14" s="25">
        <v>12</v>
      </c>
      <c r="M14" s="25">
        <v>21</v>
      </c>
      <c r="N14" s="25">
        <v>597</v>
      </c>
      <c r="P14" s="33">
        <v>0.32291666666666669</v>
      </c>
      <c r="Q14" s="33" t="s">
        <v>1</v>
      </c>
      <c r="R14" s="38">
        <f t="shared" si="1"/>
        <v>0.33333333333333337</v>
      </c>
      <c r="S14" s="48">
        <v>144</v>
      </c>
      <c r="T14" s="25">
        <v>4</v>
      </c>
      <c r="U14" s="25">
        <v>6</v>
      </c>
      <c r="V14" s="27">
        <v>154</v>
      </c>
      <c r="W14" s="48">
        <v>364</v>
      </c>
      <c r="X14" s="25">
        <v>8</v>
      </c>
      <c r="Y14" s="25">
        <v>3</v>
      </c>
      <c r="Z14" s="25">
        <v>375</v>
      </c>
    </row>
    <row r="15" spans="2:26" ht="12" customHeight="1" x14ac:dyDescent="0.25">
      <c r="B15" s="9" t="s">
        <v>2</v>
      </c>
      <c r="C15" s="6" t="s">
        <v>66</v>
      </c>
      <c r="D15" s="32">
        <v>0.33333333333333331</v>
      </c>
      <c r="E15" s="32" t="s">
        <v>1</v>
      </c>
      <c r="F15" s="37">
        <f t="shared" si="0"/>
        <v>0.34375</v>
      </c>
      <c r="G15" s="45">
        <v>416</v>
      </c>
      <c r="H15" s="16">
        <v>14</v>
      </c>
      <c r="I15" s="16">
        <v>7</v>
      </c>
      <c r="J15" s="18">
        <v>437</v>
      </c>
      <c r="K15" s="46">
        <v>598</v>
      </c>
      <c r="L15" s="16">
        <v>22</v>
      </c>
      <c r="M15" s="16">
        <v>17</v>
      </c>
      <c r="N15" s="16">
        <v>637</v>
      </c>
      <c r="P15" s="32">
        <v>0.33333333333333331</v>
      </c>
      <c r="Q15" s="32" t="s">
        <v>1</v>
      </c>
      <c r="R15" s="37">
        <f t="shared" si="1"/>
        <v>0.34375</v>
      </c>
      <c r="S15" s="46">
        <v>161</v>
      </c>
      <c r="T15" s="16">
        <v>7</v>
      </c>
      <c r="U15" s="16">
        <v>0</v>
      </c>
      <c r="V15" s="18">
        <v>168</v>
      </c>
      <c r="W15" s="46">
        <v>314</v>
      </c>
      <c r="X15" s="16">
        <v>9</v>
      </c>
      <c r="Y15" s="16">
        <v>1</v>
      </c>
      <c r="Z15" s="16">
        <v>324</v>
      </c>
    </row>
    <row r="16" spans="2:26" ht="12" customHeight="1" x14ac:dyDescent="0.25">
      <c r="B16" s="8" t="str">
        <f>"Meetdag: "&amp;INFO!$B$11</f>
        <v>Meetdag: Donderdag 3 oktober 2019</v>
      </c>
      <c r="C16" s="6" t="s">
        <v>66</v>
      </c>
      <c r="D16" s="33">
        <v>0.34375</v>
      </c>
      <c r="E16" s="33" t="s">
        <v>1</v>
      </c>
      <c r="F16" s="38">
        <f t="shared" si="0"/>
        <v>0.35416666666666669</v>
      </c>
      <c r="G16" s="47">
        <v>429</v>
      </c>
      <c r="H16" s="25">
        <v>12</v>
      </c>
      <c r="I16" s="25">
        <v>13</v>
      </c>
      <c r="J16" s="27">
        <v>454</v>
      </c>
      <c r="K16" s="48">
        <v>476</v>
      </c>
      <c r="L16" s="25">
        <v>24</v>
      </c>
      <c r="M16" s="25">
        <v>21</v>
      </c>
      <c r="N16" s="25">
        <v>521</v>
      </c>
      <c r="P16" s="33">
        <v>0.34375</v>
      </c>
      <c r="Q16" s="33" t="s">
        <v>1</v>
      </c>
      <c r="R16" s="38">
        <f t="shared" si="1"/>
        <v>0.35416666666666669</v>
      </c>
      <c r="S16" s="48">
        <v>168</v>
      </c>
      <c r="T16" s="25">
        <v>3</v>
      </c>
      <c r="U16" s="25">
        <v>11</v>
      </c>
      <c r="V16" s="27">
        <v>182</v>
      </c>
      <c r="W16" s="48">
        <v>231</v>
      </c>
      <c r="X16" s="25">
        <v>5</v>
      </c>
      <c r="Y16" s="25">
        <v>4</v>
      </c>
      <c r="Z16" s="25">
        <v>240</v>
      </c>
    </row>
    <row r="17" spans="2:26" ht="12" customHeight="1" x14ac:dyDescent="0.25">
      <c r="B17" s="8" t="str">
        <f>"Methodiek: "&amp;INFO!$B$13</f>
        <v>Methodiek: Video + auto. beeldverwerking / ANPR</v>
      </c>
      <c r="C17" s="6" t="s">
        <v>66</v>
      </c>
      <c r="D17" s="32">
        <v>0.35416666666666669</v>
      </c>
      <c r="E17" s="32" t="s">
        <v>1</v>
      </c>
      <c r="F17" s="37">
        <f t="shared" si="0"/>
        <v>0.36458333333333337</v>
      </c>
      <c r="G17" s="45">
        <v>339</v>
      </c>
      <c r="H17" s="16">
        <v>24</v>
      </c>
      <c r="I17" s="16">
        <v>14</v>
      </c>
      <c r="J17" s="18">
        <v>377</v>
      </c>
      <c r="K17" s="46">
        <v>405</v>
      </c>
      <c r="L17" s="16">
        <v>21</v>
      </c>
      <c r="M17" s="16">
        <v>27</v>
      </c>
      <c r="N17" s="16">
        <v>453</v>
      </c>
      <c r="P17" s="32">
        <v>0.35416666666666669</v>
      </c>
      <c r="Q17" s="32" t="s">
        <v>1</v>
      </c>
      <c r="R17" s="37">
        <f t="shared" si="1"/>
        <v>0.36458333333333337</v>
      </c>
      <c r="S17" s="46">
        <v>153</v>
      </c>
      <c r="T17" s="16">
        <v>4</v>
      </c>
      <c r="U17" s="16">
        <v>5</v>
      </c>
      <c r="V17" s="18">
        <v>162</v>
      </c>
      <c r="W17" s="46">
        <v>185</v>
      </c>
      <c r="X17" s="16">
        <v>7</v>
      </c>
      <c r="Y17" s="16">
        <v>1</v>
      </c>
      <c r="Z17" s="16">
        <v>193</v>
      </c>
    </row>
    <row r="18" spans="2:26" ht="12" customHeight="1" x14ac:dyDescent="0.25">
      <c r="B18" s="8" t="str">
        <f>"In opdracht van: "&amp;INFO!$B$12</f>
        <v>In opdracht van: Agentschap Wegen en Verkeer</v>
      </c>
      <c r="C18" s="6" t="s">
        <v>66</v>
      </c>
      <c r="D18" s="34">
        <v>0.36458333333333331</v>
      </c>
      <c r="E18" s="34" t="s">
        <v>1</v>
      </c>
      <c r="F18" s="40">
        <f t="shared" si="0"/>
        <v>0.375</v>
      </c>
      <c r="G18" s="53">
        <v>303</v>
      </c>
      <c r="H18" s="29">
        <v>13</v>
      </c>
      <c r="I18" s="29">
        <v>12</v>
      </c>
      <c r="J18" s="31">
        <v>328</v>
      </c>
      <c r="K18" s="50">
        <v>387</v>
      </c>
      <c r="L18" s="29">
        <v>23</v>
      </c>
      <c r="M18" s="29">
        <v>27</v>
      </c>
      <c r="N18" s="29">
        <v>437</v>
      </c>
      <c r="P18" s="34">
        <v>0.36458333333333331</v>
      </c>
      <c r="Q18" s="34" t="s">
        <v>1</v>
      </c>
      <c r="R18" s="40">
        <f t="shared" si="1"/>
        <v>0.375</v>
      </c>
      <c r="S18" s="50">
        <v>133</v>
      </c>
      <c r="T18" s="29">
        <v>6</v>
      </c>
      <c r="U18" s="29">
        <v>9</v>
      </c>
      <c r="V18" s="31">
        <v>148</v>
      </c>
      <c r="W18" s="50">
        <v>117</v>
      </c>
      <c r="X18" s="29">
        <v>3</v>
      </c>
      <c r="Y18" s="29">
        <v>5</v>
      </c>
      <c r="Z18" s="29">
        <v>125</v>
      </c>
    </row>
    <row r="19" spans="2:26" ht="12" customHeight="1" x14ac:dyDescent="0.25">
      <c r="B19" s="8" t="s">
        <v>3</v>
      </c>
      <c r="C19" s="6" t="s">
        <v>66</v>
      </c>
      <c r="D19" s="32">
        <v>0.66666666666666663</v>
      </c>
      <c r="E19" s="32" t="s">
        <v>1</v>
      </c>
      <c r="F19" s="37">
        <f t="shared" si="0"/>
        <v>0.67708333333333326</v>
      </c>
      <c r="G19" s="45">
        <v>509</v>
      </c>
      <c r="H19" s="16">
        <v>22</v>
      </c>
      <c r="I19" s="16">
        <v>18</v>
      </c>
      <c r="J19" s="18">
        <v>549</v>
      </c>
      <c r="K19" s="46">
        <v>296</v>
      </c>
      <c r="L19" s="16">
        <v>14</v>
      </c>
      <c r="M19" s="16">
        <v>16</v>
      </c>
      <c r="N19" s="16">
        <v>326</v>
      </c>
      <c r="P19" s="32">
        <v>0.66666666666666663</v>
      </c>
      <c r="Q19" s="32" t="s">
        <v>1</v>
      </c>
      <c r="R19" s="37">
        <f t="shared" si="1"/>
        <v>0.67708333333333326</v>
      </c>
      <c r="S19" s="46">
        <v>128</v>
      </c>
      <c r="T19" s="16">
        <v>9</v>
      </c>
      <c r="U19" s="16">
        <v>8</v>
      </c>
      <c r="V19" s="18">
        <v>145</v>
      </c>
      <c r="W19" s="46">
        <v>163</v>
      </c>
      <c r="X19" s="16">
        <v>7</v>
      </c>
      <c r="Y19" s="16">
        <v>10</v>
      </c>
      <c r="Z19" s="16">
        <v>180</v>
      </c>
    </row>
    <row r="20" spans="2:26" ht="12" customHeight="1" x14ac:dyDescent="0.25">
      <c r="B20" s="8"/>
      <c r="C20" s="6" t="s">
        <v>66</v>
      </c>
      <c r="D20" s="33">
        <v>0.67708333333333337</v>
      </c>
      <c r="E20" s="33" t="s">
        <v>1</v>
      </c>
      <c r="F20" s="38">
        <f t="shared" si="0"/>
        <v>0.6875</v>
      </c>
      <c r="G20" s="47">
        <v>585</v>
      </c>
      <c r="H20" s="25">
        <v>19</v>
      </c>
      <c r="I20" s="25">
        <v>10</v>
      </c>
      <c r="J20" s="27">
        <v>614</v>
      </c>
      <c r="K20" s="48">
        <v>328</v>
      </c>
      <c r="L20" s="25">
        <v>15</v>
      </c>
      <c r="M20" s="25">
        <v>19</v>
      </c>
      <c r="N20" s="25">
        <v>362</v>
      </c>
      <c r="P20" s="33">
        <v>0.67708333333333337</v>
      </c>
      <c r="Q20" s="33" t="s">
        <v>1</v>
      </c>
      <c r="R20" s="38">
        <f t="shared" si="1"/>
        <v>0.6875</v>
      </c>
      <c r="S20" s="48">
        <v>160</v>
      </c>
      <c r="T20" s="25">
        <v>10</v>
      </c>
      <c r="U20" s="25">
        <v>7</v>
      </c>
      <c r="V20" s="27">
        <v>177</v>
      </c>
      <c r="W20" s="48">
        <v>162</v>
      </c>
      <c r="X20" s="25">
        <v>8</v>
      </c>
      <c r="Y20" s="25">
        <v>4</v>
      </c>
      <c r="Z20" s="25">
        <v>174</v>
      </c>
    </row>
    <row r="21" spans="2:26" ht="12" customHeight="1" x14ac:dyDescent="0.25">
      <c r="B21" s="9" t="s">
        <v>10</v>
      </c>
      <c r="C21" s="6" t="s">
        <v>66</v>
      </c>
      <c r="D21" s="32">
        <v>0.6875</v>
      </c>
      <c r="E21" s="32" t="s">
        <v>1</v>
      </c>
      <c r="F21" s="37">
        <f t="shared" si="0"/>
        <v>0.69791666666666663</v>
      </c>
      <c r="G21" s="45">
        <v>601</v>
      </c>
      <c r="H21" s="16">
        <v>25</v>
      </c>
      <c r="I21" s="16">
        <v>12</v>
      </c>
      <c r="J21" s="18">
        <v>638</v>
      </c>
      <c r="K21" s="46">
        <v>340</v>
      </c>
      <c r="L21" s="16">
        <v>17</v>
      </c>
      <c r="M21" s="16">
        <v>8</v>
      </c>
      <c r="N21" s="16">
        <v>365</v>
      </c>
      <c r="P21" s="32">
        <v>0.6875</v>
      </c>
      <c r="Q21" s="32" t="s">
        <v>1</v>
      </c>
      <c r="R21" s="37">
        <f t="shared" si="1"/>
        <v>0.69791666666666663</v>
      </c>
      <c r="S21" s="46">
        <v>151</v>
      </c>
      <c r="T21" s="16">
        <v>4</v>
      </c>
      <c r="U21" s="16">
        <v>7</v>
      </c>
      <c r="V21" s="18">
        <v>162</v>
      </c>
      <c r="W21" s="46">
        <v>231</v>
      </c>
      <c r="X21" s="16">
        <v>9</v>
      </c>
      <c r="Y21" s="16">
        <v>8</v>
      </c>
      <c r="Z21" s="16">
        <v>248</v>
      </c>
    </row>
    <row r="22" spans="2:26" ht="12" customHeight="1" x14ac:dyDescent="0.25">
      <c r="B22" s="8"/>
      <c r="C22" s="6" t="s">
        <v>66</v>
      </c>
      <c r="D22" s="33">
        <v>0.69791666666666663</v>
      </c>
      <c r="E22" s="33" t="s">
        <v>1</v>
      </c>
      <c r="F22" s="38">
        <f t="shared" si="0"/>
        <v>0.70833333333333326</v>
      </c>
      <c r="G22" s="47">
        <v>660</v>
      </c>
      <c r="H22" s="25">
        <v>22</v>
      </c>
      <c r="I22" s="25">
        <v>7</v>
      </c>
      <c r="J22" s="27">
        <v>689</v>
      </c>
      <c r="K22" s="48">
        <v>378</v>
      </c>
      <c r="L22" s="25">
        <v>17</v>
      </c>
      <c r="M22" s="25">
        <v>16</v>
      </c>
      <c r="N22" s="25">
        <v>411</v>
      </c>
      <c r="P22" s="33">
        <v>0.69791666666666663</v>
      </c>
      <c r="Q22" s="33" t="s">
        <v>1</v>
      </c>
      <c r="R22" s="38">
        <f t="shared" si="1"/>
        <v>0.70833333333333326</v>
      </c>
      <c r="S22" s="48">
        <v>166</v>
      </c>
      <c r="T22" s="25">
        <v>1</v>
      </c>
      <c r="U22" s="25">
        <v>3</v>
      </c>
      <c r="V22" s="27">
        <v>170</v>
      </c>
      <c r="W22" s="48">
        <v>254</v>
      </c>
      <c r="X22" s="25">
        <v>3</v>
      </c>
      <c r="Y22" s="25">
        <v>3</v>
      </c>
      <c r="Z22" s="25">
        <v>260</v>
      </c>
    </row>
    <row r="23" spans="2:26" ht="12" customHeight="1" x14ac:dyDescent="0.25">
      <c r="B23" s="8"/>
      <c r="C23" s="6" t="s">
        <v>66</v>
      </c>
      <c r="D23" s="32">
        <v>0.70833333333333337</v>
      </c>
      <c r="E23" s="32" t="s">
        <v>1</v>
      </c>
      <c r="F23" s="37">
        <f t="shared" si="0"/>
        <v>0.71875</v>
      </c>
      <c r="G23" s="45">
        <v>654</v>
      </c>
      <c r="H23" s="16">
        <v>12</v>
      </c>
      <c r="I23" s="16">
        <v>11</v>
      </c>
      <c r="J23" s="18">
        <v>677</v>
      </c>
      <c r="K23" s="46">
        <v>394</v>
      </c>
      <c r="L23" s="16">
        <v>11</v>
      </c>
      <c r="M23" s="16">
        <v>19</v>
      </c>
      <c r="N23" s="16">
        <v>424</v>
      </c>
      <c r="P23" s="32">
        <v>0.70833333333333337</v>
      </c>
      <c r="Q23" s="32" t="s">
        <v>1</v>
      </c>
      <c r="R23" s="37">
        <f t="shared" si="1"/>
        <v>0.71875</v>
      </c>
      <c r="S23" s="46">
        <v>155</v>
      </c>
      <c r="T23" s="16">
        <v>4</v>
      </c>
      <c r="U23" s="16">
        <v>6</v>
      </c>
      <c r="V23" s="18">
        <v>165</v>
      </c>
      <c r="W23" s="46">
        <v>266</v>
      </c>
      <c r="X23" s="16">
        <v>7</v>
      </c>
      <c r="Y23" s="16">
        <v>5</v>
      </c>
      <c r="Z23" s="16">
        <v>278</v>
      </c>
    </row>
    <row r="24" spans="2:26" ht="12" customHeight="1" x14ac:dyDescent="0.25">
      <c r="B24" s="8"/>
      <c r="C24" s="6" t="s">
        <v>66</v>
      </c>
      <c r="D24" s="33">
        <v>0.71875</v>
      </c>
      <c r="E24" s="33" t="s">
        <v>1</v>
      </c>
      <c r="F24" s="38">
        <f t="shared" si="0"/>
        <v>0.72916666666666663</v>
      </c>
      <c r="G24" s="47">
        <v>683</v>
      </c>
      <c r="H24" s="25">
        <v>19</v>
      </c>
      <c r="I24" s="25">
        <v>11</v>
      </c>
      <c r="J24" s="27">
        <v>713</v>
      </c>
      <c r="K24" s="48">
        <v>412</v>
      </c>
      <c r="L24" s="25">
        <v>11</v>
      </c>
      <c r="M24" s="25">
        <v>11</v>
      </c>
      <c r="N24" s="25">
        <v>434</v>
      </c>
      <c r="P24" s="33">
        <v>0.71875</v>
      </c>
      <c r="Q24" s="33" t="s">
        <v>1</v>
      </c>
      <c r="R24" s="38">
        <f t="shared" si="1"/>
        <v>0.72916666666666663</v>
      </c>
      <c r="S24" s="48">
        <v>165</v>
      </c>
      <c r="T24" s="25">
        <v>6</v>
      </c>
      <c r="U24" s="25">
        <v>4</v>
      </c>
      <c r="V24" s="27">
        <v>175</v>
      </c>
      <c r="W24" s="48">
        <v>239</v>
      </c>
      <c r="X24" s="25">
        <v>5</v>
      </c>
      <c r="Y24" s="25">
        <v>3</v>
      </c>
      <c r="Z24" s="25">
        <v>247</v>
      </c>
    </row>
    <row r="25" spans="2:26" ht="12" customHeight="1" x14ac:dyDescent="0.25">
      <c r="B25" s="8"/>
      <c r="C25" s="6" t="s">
        <v>66</v>
      </c>
      <c r="D25" s="32">
        <v>0.72916666666666663</v>
      </c>
      <c r="E25" s="32" t="s">
        <v>1</v>
      </c>
      <c r="F25" s="37">
        <f t="shared" si="0"/>
        <v>0.73958333333333326</v>
      </c>
      <c r="G25" s="45">
        <v>708</v>
      </c>
      <c r="H25" s="16">
        <v>19</v>
      </c>
      <c r="I25" s="16">
        <v>4</v>
      </c>
      <c r="J25" s="18">
        <v>731</v>
      </c>
      <c r="K25" s="46">
        <v>404</v>
      </c>
      <c r="L25" s="16">
        <v>15</v>
      </c>
      <c r="M25" s="16">
        <v>14</v>
      </c>
      <c r="N25" s="16">
        <v>433</v>
      </c>
      <c r="P25" s="32">
        <v>0.72916666666666663</v>
      </c>
      <c r="Q25" s="32" t="s">
        <v>1</v>
      </c>
      <c r="R25" s="37">
        <f t="shared" si="1"/>
        <v>0.73958333333333326</v>
      </c>
      <c r="S25" s="46">
        <v>171</v>
      </c>
      <c r="T25" s="16">
        <v>0</v>
      </c>
      <c r="U25" s="16">
        <v>8</v>
      </c>
      <c r="V25" s="18">
        <v>179</v>
      </c>
      <c r="W25" s="46">
        <v>193</v>
      </c>
      <c r="X25" s="16">
        <v>3</v>
      </c>
      <c r="Y25" s="16">
        <v>3</v>
      </c>
      <c r="Z25" s="16">
        <v>199</v>
      </c>
    </row>
    <row r="26" spans="2:26" ht="12" customHeight="1" x14ac:dyDescent="0.25">
      <c r="B26" s="8"/>
      <c r="C26" s="6" t="s">
        <v>66</v>
      </c>
      <c r="D26" s="33">
        <v>0.73958333333333337</v>
      </c>
      <c r="E26" s="33" t="s">
        <v>1</v>
      </c>
      <c r="F26" s="38">
        <f t="shared" si="0"/>
        <v>0.75</v>
      </c>
      <c r="G26" s="47">
        <v>642</v>
      </c>
      <c r="H26" s="25">
        <v>19</v>
      </c>
      <c r="I26" s="25">
        <v>11</v>
      </c>
      <c r="J26" s="27">
        <v>672</v>
      </c>
      <c r="K26" s="48">
        <v>478</v>
      </c>
      <c r="L26" s="25">
        <v>7</v>
      </c>
      <c r="M26" s="25">
        <v>18</v>
      </c>
      <c r="N26" s="25">
        <v>503</v>
      </c>
      <c r="P26" s="33">
        <v>0.73958333333333337</v>
      </c>
      <c r="Q26" s="33" t="s">
        <v>1</v>
      </c>
      <c r="R26" s="38">
        <f t="shared" si="1"/>
        <v>0.75</v>
      </c>
      <c r="S26" s="48">
        <v>184</v>
      </c>
      <c r="T26" s="25">
        <v>2</v>
      </c>
      <c r="U26" s="25">
        <v>3</v>
      </c>
      <c r="V26" s="27">
        <v>189</v>
      </c>
      <c r="W26" s="48">
        <v>188</v>
      </c>
      <c r="X26" s="25">
        <v>3</v>
      </c>
      <c r="Y26" s="25">
        <v>0</v>
      </c>
      <c r="Z26" s="25">
        <v>191</v>
      </c>
    </row>
    <row r="27" spans="2:26" ht="12" customHeight="1" x14ac:dyDescent="0.25">
      <c r="B27" s="8"/>
      <c r="C27" s="6" t="s">
        <v>66</v>
      </c>
      <c r="D27" s="43" t="s">
        <v>15</v>
      </c>
      <c r="E27" s="43"/>
      <c r="F27" s="43"/>
      <c r="G27" s="51"/>
      <c r="H27" s="52"/>
      <c r="I27" s="52"/>
      <c r="J27" s="66"/>
      <c r="K27" s="52"/>
      <c r="L27" s="52"/>
      <c r="M27" s="52"/>
      <c r="N27" s="52"/>
      <c r="P27" s="43" t="s">
        <v>15</v>
      </c>
      <c r="Q27" s="43"/>
      <c r="R27" s="43"/>
      <c r="S27" s="51"/>
      <c r="T27" s="52"/>
      <c r="U27" s="52"/>
      <c r="V27" s="66"/>
      <c r="W27" s="52"/>
      <c r="X27" s="52"/>
      <c r="Y27" s="52"/>
      <c r="Z27" s="52"/>
    </row>
    <row r="28" spans="2:26" ht="12" customHeight="1" x14ac:dyDescent="0.25">
      <c r="B28" s="8"/>
      <c r="C28" s="6" t="s">
        <v>66</v>
      </c>
      <c r="D28" s="32">
        <f>D11</f>
        <v>0.29166666666666669</v>
      </c>
      <c r="E28" s="32" t="s">
        <v>1</v>
      </c>
      <c r="F28" s="37">
        <f t="shared" ref="F28:F31" si="2">D28+60/1440</f>
        <v>0.33333333333333337</v>
      </c>
      <c r="G28" s="45">
        <f t="shared" ref="G28:N28" si="3">SUM(G11:G14)</f>
        <v>1663</v>
      </c>
      <c r="H28" s="16">
        <f t="shared" si="3"/>
        <v>71</v>
      </c>
      <c r="I28" s="16">
        <f t="shared" si="3"/>
        <v>46</v>
      </c>
      <c r="J28" s="18">
        <f t="shared" si="3"/>
        <v>1780</v>
      </c>
      <c r="K28" s="46">
        <f t="shared" si="3"/>
        <v>1946</v>
      </c>
      <c r="L28" s="16">
        <f t="shared" si="3"/>
        <v>48</v>
      </c>
      <c r="M28" s="16">
        <f t="shared" si="3"/>
        <v>75</v>
      </c>
      <c r="N28" s="16">
        <f t="shared" si="3"/>
        <v>2069</v>
      </c>
      <c r="P28" s="32">
        <f>P11</f>
        <v>0.29166666666666669</v>
      </c>
      <c r="Q28" s="32" t="s">
        <v>1</v>
      </c>
      <c r="R28" s="37">
        <f t="shared" ref="R28:R31" si="4">P28+60/1440</f>
        <v>0.33333333333333337</v>
      </c>
      <c r="S28" s="46">
        <f>SUM(S11:S14)</f>
        <v>659</v>
      </c>
      <c r="T28" s="16">
        <f t="shared" ref="T28:Z28" si="5">SUM(T11:T14)</f>
        <v>21</v>
      </c>
      <c r="U28" s="16">
        <f t="shared" si="5"/>
        <v>18</v>
      </c>
      <c r="V28" s="18">
        <f t="shared" si="5"/>
        <v>698</v>
      </c>
      <c r="W28" s="46">
        <f t="shared" si="5"/>
        <v>1013</v>
      </c>
      <c r="X28" s="16">
        <f t="shared" si="5"/>
        <v>33</v>
      </c>
      <c r="Y28" s="16">
        <f t="shared" si="5"/>
        <v>10</v>
      </c>
      <c r="Z28" s="16">
        <f t="shared" si="5"/>
        <v>1056</v>
      </c>
    </row>
    <row r="29" spans="2:26" ht="12" customHeight="1" x14ac:dyDescent="0.25">
      <c r="B29" s="8"/>
      <c r="C29" s="6" t="s">
        <v>66</v>
      </c>
      <c r="D29" s="33">
        <f>D15</f>
        <v>0.33333333333333331</v>
      </c>
      <c r="E29" s="33" t="s">
        <v>1</v>
      </c>
      <c r="F29" s="38">
        <f t="shared" si="2"/>
        <v>0.375</v>
      </c>
      <c r="G29" s="47">
        <f t="shared" ref="G29:N29" si="6">SUM(G15:G18)</f>
        <v>1487</v>
      </c>
      <c r="H29" s="25">
        <f t="shared" si="6"/>
        <v>63</v>
      </c>
      <c r="I29" s="25">
        <f t="shared" si="6"/>
        <v>46</v>
      </c>
      <c r="J29" s="27">
        <f t="shared" si="6"/>
        <v>1596</v>
      </c>
      <c r="K29" s="48">
        <f t="shared" si="6"/>
        <v>1866</v>
      </c>
      <c r="L29" s="25">
        <f t="shared" si="6"/>
        <v>90</v>
      </c>
      <c r="M29" s="25">
        <f t="shared" si="6"/>
        <v>92</v>
      </c>
      <c r="N29" s="25">
        <f t="shared" si="6"/>
        <v>2048</v>
      </c>
      <c r="P29" s="33">
        <f>P15</f>
        <v>0.33333333333333331</v>
      </c>
      <c r="Q29" s="33" t="s">
        <v>1</v>
      </c>
      <c r="R29" s="38">
        <f t="shared" si="4"/>
        <v>0.375</v>
      </c>
      <c r="S29" s="48">
        <f>SUM(S15:S18)</f>
        <v>615</v>
      </c>
      <c r="T29" s="25">
        <f t="shared" ref="T29:Z29" si="7">SUM(T15:T18)</f>
        <v>20</v>
      </c>
      <c r="U29" s="25">
        <f t="shared" si="7"/>
        <v>25</v>
      </c>
      <c r="V29" s="27">
        <f t="shared" si="7"/>
        <v>660</v>
      </c>
      <c r="W29" s="48">
        <f t="shared" si="7"/>
        <v>847</v>
      </c>
      <c r="X29" s="25">
        <f t="shared" si="7"/>
        <v>24</v>
      </c>
      <c r="Y29" s="25">
        <f t="shared" si="7"/>
        <v>11</v>
      </c>
      <c r="Z29" s="25">
        <f t="shared" si="7"/>
        <v>882</v>
      </c>
    </row>
    <row r="30" spans="2:26" ht="12" customHeight="1" x14ac:dyDescent="0.25">
      <c r="C30" s="6" t="s">
        <v>66</v>
      </c>
      <c r="D30" s="32">
        <f>D19</f>
        <v>0.66666666666666663</v>
      </c>
      <c r="E30" s="32" t="s">
        <v>1</v>
      </c>
      <c r="F30" s="37">
        <f t="shared" si="2"/>
        <v>0.70833333333333326</v>
      </c>
      <c r="G30" s="45">
        <f t="shared" ref="G30:N30" si="8">SUM(G19:G22)</f>
        <v>2355</v>
      </c>
      <c r="H30" s="16">
        <f t="shared" si="8"/>
        <v>88</v>
      </c>
      <c r="I30" s="16">
        <f t="shared" si="8"/>
        <v>47</v>
      </c>
      <c r="J30" s="18">
        <f t="shared" si="8"/>
        <v>2490</v>
      </c>
      <c r="K30" s="46">
        <f t="shared" si="8"/>
        <v>1342</v>
      </c>
      <c r="L30" s="16">
        <f t="shared" si="8"/>
        <v>63</v>
      </c>
      <c r="M30" s="16">
        <f t="shared" si="8"/>
        <v>59</v>
      </c>
      <c r="N30" s="16">
        <f t="shared" si="8"/>
        <v>1464</v>
      </c>
      <c r="P30" s="32">
        <f>P19</f>
        <v>0.66666666666666663</v>
      </c>
      <c r="Q30" s="32" t="s">
        <v>1</v>
      </c>
      <c r="R30" s="37">
        <f t="shared" si="4"/>
        <v>0.70833333333333326</v>
      </c>
      <c r="S30" s="46">
        <f>SUM(S19:S22)</f>
        <v>605</v>
      </c>
      <c r="T30" s="16">
        <f t="shared" ref="T30:Z30" si="9">SUM(T19:T22)</f>
        <v>24</v>
      </c>
      <c r="U30" s="16">
        <f t="shared" si="9"/>
        <v>25</v>
      </c>
      <c r="V30" s="18">
        <f t="shared" si="9"/>
        <v>654</v>
      </c>
      <c r="W30" s="46">
        <f t="shared" si="9"/>
        <v>810</v>
      </c>
      <c r="X30" s="16">
        <f t="shared" si="9"/>
        <v>27</v>
      </c>
      <c r="Y30" s="16">
        <f t="shared" si="9"/>
        <v>25</v>
      </c>
      <c r="Z30" s="16">
        <f t="shared" si="9"/>
        <v>862</v>
      </c>
    </row>
    <row r="31" spans="2:26" ht="12" customHeight="1" x14ac:dyDescent="0.25">
      <c r="C31" s="6" t="s">
        <v>66</v>
      </c>
      <c r="D31" s="34">
        <f>D23</f>
        <v>0.70833333333333337</v>
      </c>
      <c r="E31" s="34" t="s">
        <v>1</v>
      </c>
      <c r="F31" s="40">
        <f t="shared" si="2"/>
        <v>0.75</v>
      </c>
      <c r="G31" s="53">
        <f t="shared" ref="G31:N31" si="10">SUM(G23:G26)</f>
        <v>2687</v>
      </c>
      <c r="H31" s="29">
        <f t="shared" si="10"/>
        <v>69</v>
      </c>
      <c r="I31" s="29">
        <f t="shared" si="10"/>
        <v>37</v>
      </c>
      <c r="J31" s="31">
        <f t="shared" si="10"/>
        <v>2793</v>
      </c>
      <c r="K31" s="50">
        <f t="shared" si="10"/>
        <v>1688</v>
      </c>
      <c r="L31" s="29">
        <f t="shared" si="10"/>
        <v>44</v>
      </c>
      <c r="M31" s="29">
        <f t="shared" si="10"/>
        <v>62</v>
      </c>
      <c r="N31" s="29">
        <f t="shared" si="10"/>
        <v>1794</v>
      </c>
      <c r="P31" s="34">
        <f>P23</f>
        <v>0.70833333333333337</v>
      </c>
      <c r="Q31" s="34" t="s">
        <v>1</v>
      </c>
      <c r="R31" s="40">
        <f t="shared" si="4"/>
        <v>0.75</v>
      </c>
      <c r="S31" s="50">
        <f>SUM(S23:S26)</f>
        <v>675</v>
      </c>
      <c r="T31" s="29">
        <f t="shared" ref="T31:Z31" si="11">SUM(T23:T26)</f>
        <v>12</v>
      </c>
      <c r="U31" s="29">
        <f t="shared" si="11"/>
        <v>21</v>
      </c>
      <c r="V31" s="31">
        <f t="shared" si="11"/>
        <v>708</v>
      </c>
      <c r="W31" s="50">
        <f t="shared" si="11"/>
        <v>886</v>
      </c>
      <c r="X31" s="29">
        <f t="shared" si="11"/>
        <v>18</v>
      </c>
      <c r="Y31" s="29">
        <f t="shared" si="11"/>
        <v>11</v>
      </c>
      <c r="Z31" s="29">
        <f t="shared" si="11"/>
        <v>915</v>
      </c>
    </row>
    <row r="32" spans="2:26" ht="12" customHeight="1" x14ac:dyDescent="0.25">
      <c r="C32" s="6" t="s">
        <v>66</v>
      </c>
      <c r="D32" s="43" t="s">
        <v>16</v>
      </c>
      <c r="E32" s="43"/>
      <c r="F32" s="43"/>
      <c r="G32" s="51"/>
      <c r="H32" s="52"/>
      <c r="I32" s="52"/>
      <c r="J32" s="66"/>
      <c r="K32" s="52"/>
      <c r="L32" s="52"/>
      <c r="M32" s="52"/>
      <c r="N32" s="52"/>
      <c r="P32" s="43" t="s">
        <v>16</v>
      </c>
      <c r="Q32" s="43"/>
      <c r="R32" s="43"/>
      <c r="S32" s="51"/>
      <c r="T32" s="52"/>
      <c r="U32" s="52"/>
      <c r="V32" s="66"/>
      <c r="W32" s="52"/>
      <c r="X32" s="52"/>
      <c r="Y32" s="52"/>
      <c r="Z32" s="52"/>
    </row>
    <row r="33" spans="2:26" ht="12" customHeight="1" x14ac:dyDescent="0.25">
      <c r="C33" s="6" t="s">
        <v>66</v>
      </c>
      <c r="D33" s="32">
        <f>D11</f>
        <v>0.29166666666666669</v>
      </c>
      <c r="E33" s="32" t="s">
        <v>1</v>
      </c>
      <c r="F33" s="37">
        <f>F18</f>
        <v>0.375</v>
      </c>
      <c r="G33" s="45">
        <f t="shared" ref="G33:N33" si="12">SUM(G11:G18)</f>
        <v>3150</v>
      </c>
      <c r="H33" s="16">
        <f t="shared" si="12"/>
        <v>134</v>
      </c>
      <c r="I33" s="16">
        <f t="shared" si="12"/>
        <v>92</v>
      </c>
      <c r="J33" s="18">
        <f t="shared" si="12"/>
        <v>3376</v>
      </c>
      <c r="K33" s="46">
        <f t="shared" si="12"/>
        <v>3812</v>
      </c>
      <c r="L33" s="16">
        <f t="shared" si="12"/>
        <v>138</v>
      </c>
      <c r="M33" s="16">
        <f t="shared" si="12"/>
        <v>167</v>
      </c>
      <c r="N33" s="16">
        <f t="shared" si="12"/>
        <v>4117</v>
      </c>
      <c r="P33" s="32">
        <f>P11</f>
        <v>0.29166666666666669</v>
      </c>
      <c r="Q33" s="32" t="s">
        <v>1</v>
      </c>
      <c r="R33" s="37">
        <f>R18</f>
        <v>0.375</v>
      </c>
      <c r="S33" s="46">
        <f>SUM(S11:S18)</f>
        <v>1274</v>
      </c>
      <c r="T33" s="16">
        <f t="shared" ref="T33:Z33" si="13">SUM(T11:T18)</f>
        <v>41</v>
      </c>
      <c r="U33" s="16">
        <f t="shared" si="13"/>
        <v>43</v>
      </c>
      <c r="V33" s="18">
        <f t="shared" si="13"/>
        <v>1358</v>
      </c>
      <c r="W33" s="46">
        <f t="shared" si="13"/>
        <v>1860</v>
      </c>
      <c r="X33" s="16">
        <f t="shared" si="13"/>
        <v>57</v>
      </c>
      <c r="Y33" s="16">
        <f t="shared" si="13"/>
        <v>21</v>
      </c>
      <c r="Z33" s="16">
        <f t="shared" si="13"/>
        <v>1938</v>
      </c>
    </row>
    <row r="34" spans="2:26" ht="12" customHeight="1" x14ac:dyDescent="0.25">
      <c r="C34" s="6" t="s">
        <v>66</v>
      </c>
      <c r="D34" s="33">
        <f>D19</f>
        <v>0.66666666666666663</v>
      </c>
      <c r="E34" s="33" t="s">
        <v>1</v>
      </c>
      <c r="F34" s="38">
        <f>F26</f>
        <v>0.75</v>
      </c>
      <c r="G34" s="47">
        <f t="shared" ref="G34:N34" si="14">SUM(G19:G26)</f>
        <v>5042</v>
      </c>
      <c r="H34" s="25">
        <f t="shared" si="14"/>
        <v>157</v>
      </c>
      <c r="I34" s="25">
        <f t="shared" si="14"/>
        <v>84</v>
      </c>
      <c r="J34" s="27">
        <f t="shared" si="14"/>
        <v>5283</v>
      </c>
      <c r="K34" s="48">
        <f t="shared" si="14"/>
        <v>3030</v>
      </c>
      <c r="L34" s="25">
        <f t="shared" si="14"/>
        <v>107</v>
      </c>
      <c r="M34" s="25">
        <f t="shared" si="14"/>
        <v>121</v>
      </c>
      <c r="N34" s="25">
        <f t="shared" si="14"/>
        <v>3258</v>
      </c>
      <c r="P34" s="33">
        <f>P19</f>
        <v>0.66666666666666663</v>
      </c>
      <c r="Q34" s="33" t="s">
        <v>1</v>
      </c>
      <c r="R34" s="38">
        <f>R26</f>
        <v>0.75</v>
      </c>
      <c r="S34" s="48">
        <f>SUM(S19:S26)</f>
        <v>1280</v>
      </c>
      <c r="T34" s="25">
        <f t="shared" ref="T34:Z34" si="15">SUM(T19:T26)</f>
        <v>36</v>
      </c>
      <c r="U34" s="25">
        <f t="shared" si="15"/>
        <v>46</v>
      </c>
      <c r="V34" s="27">
        <f t="shared" si="15"/>
        <v>1362</v>
      </c>
      <c r="W34" s="48">
        <f t="shared" si="15"/>
        <v>1696</v>
      </c>
      <c r="X34" s="25">
        <f t="shared" si="15"/>
        <v>45</v>
      </c>
      <c r="Y34" s="25">
        <f t="shared" si="15"/>
        <v>36</v>
      </c>
      <c r="Z34" s="25">
        <f t="shared" si="15"/>
        <v>1777</v>
      </c>
    </row>
    <row r="35" spans="2:26" ht="12" customHeight="1" x14ac:dyDescent="0.25">
      <c r="C35" s="6" t="s">
        <v>66</v>
      </c>
      <c r="D35" s="43" t="s">
        <v>17</v>
      </c>
      <c r="E35" s="43"/>
      <c r="F35" s="43"/>
      <c r="G35" s="51"/>
      <c r="H35" s="52"/>
      <c r="I35" s="52"/>
      <c r="J35" s="66"/>
      <c r="K35" s="52"/>
      <c r="L35" s="52"/>
      <c r="M35" s="52"/>
      <c r="N35" s="52"/>
      <c r="P35" s="43" t="s">
        <v>17</v>
      </c>
      <c r="Q35" s="43"/>
      <c r="R35" s="43"/>
      <c r="S35" s="51"/>
      <c r="T35" s="52"/>
      <c r="U35" s="52"/>
      <c r="V35" s="66"/>
      <c r="W35" s="52"/>
      <c r="X35" s="52"/>
      <c r="Y35" s="52"/>
      <c r="Z35" s="52"/>
    </row>
    <row r="36" spans="2:26" ht="12" customHeight="1" x14ac:dyDescent="0.25">
      <c r="C36" s="6" t="s">
        <v>66</v>
      </c>
      <c r="D36" s="32">
        <f>INFO!$B$28</f>
        <v>0.3125</v>
      </c>
      <c r="E36" s="32" t="s">
        <v>1</v>
      </c>
      <c r="F36" s="37">
        <f>D36+60/1440</f>
        <v>0.35416666666666669</v>
      </c>
      <c r="G36" s="45">
        <f ca="1">SUM(OFFSET($D$10,MATCH($D36,$D$11:$D$26,0),COLUMN(G36)-COLUMN($D$10)):OFFSET($D$10,MATCH($D36,$D$11:$D$26,0)+3,COLUMN(G36)-COLUMN($D$10)))</f>
        <v>1887</v>
      </c>
      <c r="H36" s="16">
        <f ca="1">SUM(OFFSET($D$10,MATCH($D36,$D$11:$D$26,0),COLUMN(H36)-COLUMN($D$10)):OFFSET($D$10,MATCH($D36,$D$11:$D$26,0)+3,COLUMN(H36)-COLUMN($D$10)))</f>
        <v>58</v>
      </c>
      <c r="I36" s="16">
        <f ca="1">SUM(OFFSET($D$10,MATCH($D36,$D$11:$D$26,0),COLUMN(I36)-COLUMN($D$10)):OFFSET($D$10,MATCH($D36,$D$11:$D$26,0)+3,COLUMN(I36)-COLUMN($D$10)))</f>
        <v>42</v>
      </c>
      <c r="J36" s="18">
        <f ca="1">SUM(OFFSET($D$10,MATCH($D36,$D$11:$D$26,0),COLUMN(J36)-COLUMN($D$10)):OFFSET($D$10,MATCH($D36,$D$11:$D$26,0)+3,COLUMN(J36)-COLUMN($D$10)))</f>
        <v>1987</v>
      </c>
      <c r="K36" s="46">
        <f ca="1">SUM(OFFSET($D$10,MATCH($D36,$D$11:$D$26,0),COLUMN(K36)-COLUMN($D$10)):OFFSET($D$10,MATCH($D36,$D$11:$D$26,0)+3,COLUMN(K36)-COLUMN($D$10)))</f>
        <v>2145</v>
      </c>
      <c r="L36" s="16">
        <f ca="1">SUM(OFFSET($D$10,MATCH($D36,$D$11:$D$26,0),COLUMN(L36)-COLUMN($D$10)):OFFSET($D$10,MATCH($D36,$D$11:$D$26,0)+3,COLUMN(L36)-COLUMN($D$10)))</f>
        <v>69</v>
      </c>
      <c r="M36" s="16">
        <f ca="1">SUM(OFFSET($D$10,MATCH($D36,$D$11:$D$26,0),COLUMN(M36)-COLUMN($D$10)):OFFSET($D$10,MATCH($D36,$D$11:$D$26,0)+3,COLUMN(M36)-COLUMN($D$10)))</f>
        <v>74</v>
      </c>
      <c r="N36" s="16">
        <f ca="1">SUM(OFFSET($D$10,MATCH($D36,$D$11:$D$26,0),COLUMN(N36)-COLUMN($D$10)):OFFSET($D$10,MATCH($D36,$D$11:$D$26,0)+3,COLUMN(N36)-COLUMN($D$10)))</f>
        <v>2288</v>
      </c>
      <c r="P36" s="32">
        <f>INFO!$B$28</f>
        <v>0.3125</v>
      </c>
      <c r="Q36" s="32" t="s">
        <v>1</v>
      </c>
      <c r="R36" s="37">
        <f>P36+60/1440</f>
        <v>0.35416666666666669</v>
      </c>
      <c r="S36" s="46">
        <f ca="1">SUM(OFFSET($P$10,MATCH($P36,$P$11:$P$26,0),COLUMN(S36)-COLUMN($P$10)):OFFSET($P$10,MATCH($P36,$P$11:$P$26,0)+3,COLUMN(S36)-COLUMN($P$10)))</f>
        <v>639</v>
      </c>
      <c r="T36" s="16">
        <f ca="1">SUM(OFFSET($P$10,MATCH($P36,$P$11:$P$26,0),COLUMN(T36)-COLUMN($P$10)):OFFSET($P$10,MATCH($P36,$P$11:$P$26,0)+3,COLUMN(T36)-COLUMN($P$10)))</f>
        <v>17</v>
      </c>
      <c r="U36" s="16">
        <f ca="1">SUM(OFFSET($P$10,MATCH($P36,$P$11:$P$26,0),COLUMN(U36)-COLUMN($P$10)):OFFSET($P$10,MATCH($P36,$P$11:$P$26,0)+3,COLUMN(U36)-COLUMN($P$10)))</f>
        <v>21</v>
      </c>
      <c r="V36" s="18">
        <f ca="1">SUM(OFFSET($P$10,MATCH($P36,$P$11:$P$26,0),COLUMN(V36)-COLUMN($P$10)):OFFSET($P$10,MATCH($P36,$P$11:$P$26,0)+3,COLUMN(V36)-COLUMN($P$10)))</f>
        <v>677</v>
      </c>
      <c r="W36" s="46">
        <f ca="1">SUM(OFFSET($P$10,MATCH($P36,$P$11:$P$26,0),COLUMN(W36)-COLUMN($P$10)):OFFSET($P$10,MATCH($P36,$P$11:$P$26,0)+3,COLUMN(W36)-COLUMN($P$10)))</f>
        <v>1194</v>
      </c>
      <c r="X36" s="16">
        <f ca="1">SUM(OFFSET($P$10,MATCH($P36,$P$11:$P$26,0),COLUMN(X36)-COLUMN($P$10)):OFFSET($P$10,MATCH($P36,$P$11:$P$26,0)+3,COLUMN(X36)-COLUMN($P$10)))</f>
        <v>29</v>
      </c>
      <c r="Y36" s="16">
        <f ca="1">SUM(OFFSET($P$10,MATCH($P36,$P$11:$P$26,0),COLUMN(Y36)-COLUMN($P$10)):OFFSET($P$10,MATCH($P36,$P$11:$P$26,0)+3,COLUMN(Y36)-COLUMN($P$10)))</f>
        <v>10</v>
      </c>
      <c r="Z36" s="16">
        <f ca="1">SUM(OFFSET($P$10,MATCH($P36,$P$11:$P$26,0),COLUMN(Z36)-COLUMN($P$10)):OFFSET($P$10,MATCH($P36,$P$11:$P$26,0)+3,COLUMN(Z36)-COLUMN($P$10)))</f>
        <v>1233</v>
      </c>
    </row>
    <row r="37" spans="2:26" ht="12" customHeight="1" x14ac:dyDescent="0.25">
      <c r="C37" s="6" t="s">
        <v>66</v>
      </c>
      <c r="D37" s="34">
        <f>INFO!$B$29</f>
        <v>0.69791666666666663</v>
      </c>
      <c r="E37" s="34" t="s">
        <v>1</v>
      </c>
      <c r="F37" s="40">
        <f>D37+60/1440</f>
        <v>0.73958333333333326</v>
      </c>
      <c r="G37" s="53">
        <f ca="1">SUM(OFFSET($D$10,MATCH($D37,$D$11:$D$26,0),COLUMN(G37)-COLUMN($D$10)):OFFSET($D$10,MATCH($D37,$D$11:$D$26,0)+3,COLUMN(G37)-COLUMN($D$10)))</f>
        <v>2705</v>
      </c>
      <c r="H37" s="29">
        <f ca="1">SUM(OFFSET($D$10,MATCH($D37,$D$11:$D$26,0),COLUMN(H37)-COLUMN($D$10)):OFFSET($D$10,MATCH($D37,$D$11:$D$26,0)+3,COLUMN(H37)-COLUMN($D$10)))</f>
        <v>72</v>
      </c>
      <c r="I37" s="29">
        <f ca="1">SUM(OFFSET($D$10,MATCH($D37,$D$11:$D$26,0),COLUMN(I37)-COLUMN($D$10)):OFFSET($D$10,MATCH($D37,$D$11:$D$26,0)+3,COLUMN(I37)-COLUMN($D$10)))</f>
        <v>33</v>
      </c>
      <c r="J37" s="31">
        <f ca="1">SUM(OFFSET($D$10,MATCH($D37,$D$11:$D$26,0),COLUMN(J37)-COLUMN($D$10)):OFFSET($D$10,MATCH($D37,$D$11:$D$26,0)+3,COLUMN(J37)-COLUMN($D$10)))</f>
        <v>2810</v>
      </c>
      <c r="K37" s="50">
        <f ca="1">SUM(OFFSET($D$10,MATCH($D37,$D$11:$D$26,0),COLUMN(K37)-COLUMN($D$10)):OFFSET($D$10,MATCH($D37,$D$11:$D$26,0)+3,COLUMN(K37)-COLUMN($D$10)))</f>
        <v>1588</v>
      </c>
      <c r="L37" s="29">
        <f ca="1">SUM(OFFSET($D$10,MATCH($D37,$D$11:$D$26,0),COLUMN(L37)-COLUMN($D$10)):OFFSET($D$10,MATCH($D37,$D$11:$D$26,0)+3,COLUMN(L37)-COLUMN($D$10)))</f>
        <v>54</v>
      </c>
      <c r="M37" s="29">
        <f ca="1">SUM(OFFSET($D$10,MATCH($D37,$D$11:$D$26,0),COLUMN(M37)-COLUMN($D$10)):OFFSET($D$10,MATCH($D37,$D$11:$D$26,0)+3,COLUMN(M37)-COLUMN($D$10)))</f>
        <v>60</v>
      </c>
      <c r="N37" s="29">
        <f ca="1">SUM(OFFSET($D$10,MATCH($D37,$D$11:$D$26,0),COLUMN(N37)-COLUMN($D$10)):OFFSET($D$10,MATCH($D37,$D$11:$D$26,0)+3,COLUMN(N37)-COLUMN($D$10)))</f>
        <v>1702</v>
      </c>
      <c r="P37" s="34">
        <f>INFO!$B$29</f>
        <v>0.69791666666666663</v>
      </c>
      <c r="Q37" s="34" t="s">
        <v>1</v>
      </c>
      <c r="R37" s="40">
        <f>P37+60/1440</f>
        <v>0.73958333333333326</v>
      </c>
      <c r="S37" s="50">
        <f ca="1">SUM(OFFSET($P$10,MATCH($P37,$P$11:$P$26,0),COLUMN(S37)-COLUMN($P$10)):OFFSET($P$10,MATCH($P37,$P$11:$P$26,0)+3,COLUMN(S37)-COLUMN($P$10)))</f>
        <v>657</v>
      </c>
      <c r="T37" s="29">
        <f ca="1">SUM(OFFSET($P$10,MATCH($P37,$P$11:$P$26,0),COLUMN(T37)-COLUMN($P$10)):OFFSET($P$10,MATCH($P37,$P$11:$P$26,0)+3,COLUMN(T37)-COLUMN($P$10)))</f>
        <v>11</v>
      </c>
      <c r="U37" s="29">
        <f ca="1">SUM(OFFSET($P$10,MATCH($P37,$P$11:$P$26,0),COLUMN(U37)-COLUMN($P$10)):OFFSET($P$10,MATCH($P37,$P$11:$P$26,0)+3,COLUMN(U37)-COLUMN($P$10)))</f>
        <v>21</v>
      </c>
      <c r="V37" s="31">
        <f ca="1">SUM(OFFSET($P$10,MATCH($P37,$P$11:$P$26,0),COLUMN(V37)-COLUMN($P$10)):OFFSET($P$10,MATCH($P37,$P$11:$P$26,0)+3,COLUMN(V37)-COLUMN($P$10)))</f>
        <v>689</v>
      </c>
      <c r="W37" s="50">
        <f ca="1">SUM(OFFSET($P$10,MATCH($P37,$P$11:$P$26,0),COLUMN(W37)-COLUMN($P$10)):OFFSET($P$10,MATCH($P37,$P$11:$P$26,0)+3,COLUMN(W37)-COLUMN($P$10)))</f>
        <v>952</v>
      </c>
      <c r="X37" s="29">
        <f ca="1">SUM(OFFSET($P$10,MATCH($P37,$P$11:$P$26,0),COLUMN(X37)-COLUMN($P$10)):OFFSET($P$10,MATCH($P37,$P$11:$P$26,0)+3,COLUMN(X37)-COLUMN($P$10)))</f>
        <v>18</v>
      </c>
      <c r="Y37" s="29">
        <f ca="1">SUM(OFFSET($P$10,MATCH($P37,$P$11:$P$26,0),COLUMN(Y37)-COLUMN($P$10)):OFFSET($P$10,MATCH($P37,$P$11:$P$26,0)+3,COLUMN(Y37)-COLUMN($P$10)))</f>
        <v>14</v>
      </c>
      <c r="Z37" s="29">
        <f ca="1">SUM(OFFSET($P$10,MATCH($P37,$P$11:$P$26,0),COLUMN(Z37)-COLUMN($P$10)):OFFSET($P$10,MATCH($P37,$P$11:$P$26,0)+3,COLUMN(Z37)-COLUMN($P$10)))</f>
        <v>984</v>
      </c>
    </row>
    <row r="38" spans="2:26" ht="12" customHeight="1" x14ac:dyDescent="0.25">
      <c r="B38" s="9" t="s">
        <v>37</v>
      </c>
      <c r="C38" s="6" t="s">
        <v>66</v>
      </c>
    </row>
    <row r="39" spans="2:26" ht="12" customHeight="1" x14ac:dyDescent="0.25">
      <c r="B39" s="5" t="s">
        <v>99</v>
      </c>
      <c r="C39" s="6" t="s">
        <v>66</v>
      </c>
    </row>
    <row r="40" spans="2:26" ht="12" customHeight="1" x14ac:dyDescent="0.25">
      <c r="B40" s="5" t="s">
        <v>100</v>
      </c>
      <c r="C40" s="6" t="s">
        <v>66</v>
      </c>
    </row>
    <row r="41" spans="2:26" ht="12" customHeight="1" x14ac:dyDescent="0.25">
      <c r="B41" s="5" t="s">
        <v>101</v>
      </c>
      <c r="C41" s="6" t="s">
        <v>66</v>
      </c>
    </row>
    <row r="42" spans="2:26" ht="12" customHeight="1" x14ac:dyDescent="0.25">
      <c r="B42" s="5" t="s">
        <v>102</v>
      </c>
      <c r="C42" s="6" t="s">
        <v>66</v>
      </c>
    </row>
    <row r="43" spans="2:26" ht="12" customHeight="1" x14ac:dyDescent="0.25">
      <c r="C43" s="6" t="s">
        <v>66</v>
      </c>
    </row>
    <row r="44" spans="2:26" ht="12" customHeight="1" x14ac:dyDescent="0.25">
      <c r="C44" s="6" t="s">
        <v>66</v>
      </c>
    </row>
    <row r="45" spans="2:26" ht="12" customHeight="1" x14ac:dyDescent="0.25">
      <c r="C45" s="6" t="s">
        <v>66</v>
      </c>
    </row>
    <row r="46" spans="2:26" ht="12" customHeight="1" x14ac:dyDescent="0.25">
      <c r="C46" s="6" t="s">
        <v>66</v>
      </c>
    </row>
    <row r="47" spans="2:26" ht="12" customHeight="1" x14ac:dyDescent="0.25">
      <c r="C47" s="6" t="s">
        <v>66</v>
      </c>
    </row>
    <row r="48" spans="2:26" ht="12" customHeight="1" x14ac:dyDescent="0.25">
      <c r="B48" s="1"/>
      <c r="C48" s="6" t="s">
        <v>66</v>
      </c>
    </row>
    <row r="49" spans="2:3" ht="12" customHeight="1" x14ac:dyDescent="0.25">
      <c r="B49" s="1"/>
      <c r="C49" s="6" t="s">
        <v>66</v>
      </c>
    </row>
    <row r="50" spans="2:3" ht="12" customHeight="1" x14ac:dyDescent="0.25">
      <c r="B50" s="1"/>
      <c r="C50" s="6" t="s">
        <v>66</v>
      </c>
    </row>
    <row r="51" spans="2:3" ht="12" customHeight="1" x14ac:dyDescent="0.25">
      <c r="B51" s="1"/>
      <c r="C51" s="6" t="s">
        <v>66</v>
      </c>
    </row>
    <row r="52" spans="2:3" ht="12" customHeight="1" x14ac:dyDescent="0.25">
      <c r="B52" s="1"/>
      <c r="C52" s="6" t="s">
        <v>66</v>
      </c>
    </row>
    <row r="53" spans="2:3" ht="12" customHeight="1" x14ac:dyDescent="0.25">
      <c r="B53" s="1"/>
      <c r="C53" s="6" t="s">
        <v>66</v>
      </c>
    </row>
    <row r="54" spans="2:3" ht="12" customHeight="1" x14ac:dyDescent="0.2">
      <c r="B54" s="1"/>
    </row>
    <row r="55" spans="2:3" ht="12" customHeight="1" x14ac:dyDescent="0.2">
      <c r="B55" s="1"/>
    </row>
    <row r="56" spans="2:3" ht="12" customHeight="1" x14ac:dyDescent="0.2">
      <c r="B56" s="1"/>
    </row>
    <row r="57" spans="2:3" ht="12" customHeight="1" x14ac:dyDescent="0.2">
      <c r="B57" s="1"/>
    </row>
    <row r="58" spans="2:3" ht="12" customHeight="1" x14ac:dyDescent="0.2">
      <c r="B58" s="1"/>
    </row>
    <row r="59" spans="2:3" ht="12" customHeight="1" x14ac:dyDescent="0.2">
      <c r="B59" s="1"/>
    </row>
    <row r="60" spans="2:3" ht="12" customHeight="1" x14ac:dyDescent="0.2">
      <c r="B60" s="1"/>
    </row>
    <row r="61" spans="2:3" ht="12" customHeight="1" x14ac:dyDescent="0.2">
      <c r="B61" s="1"/>
    </row>
    <row r="62" spans="2:3" ht="12" customHeight="1" x14ac:dyDescent="0.2">
      <c r="B62" s="1"/>
    </row>
  </sheetData>
  <mergeCells count="2">
    <mergeCell ref="D6:N7"/>
    <mergeCell ref="P6:Z7"/>
  </mergeCells>
  <pageMargins left="0.39370078740157483" right="0.39370078740157483" top="0.59055118110236227" bottom="0.59055118110236227" header="0.31496062992125984" footer="0.39370078740157483"/>
  <pageSetup paperSize="9" scale="75" firstPageNumber="8" orientation="landscape" r:id="rId1"/>
  <headerFooter>
    <oddHeader>&amp;A</oddHeader>
    <oddFooter>&amp;L&amp;"Core Sans NR 45 Regular,Standaard"&amp;12&amp;K03+000&amp;P&amp;R&amp;"Core Sans NR 45 Regular,Vet"&amp;16&amp;K03+000DUFEC</oddFooter>
  </headerFooter>
  <colBreaks count="1" manualBreakCount="1">
    <brk id="15" min="1" max="60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autoPageBreaks="0"/>
  </sheetPr>
  <dimension ref="A1:AX71"/>
  <sheetViews>
    <sheetView showGridLines="0" showZeros="0" tabSelected="1" zoomScaleNormal="100" zoomScaleSheetLayoutView="100" workbookViewId="0"/>
  </sheetViews>
  <sheetFormatPr defaultColWidth="8.83203125" defaultRowHeight="12" customHeight="1" x14ac:dyDescent="0.2"/>
  <cols>
    <col min="1" max="1" width="2.83203125" style="5" customWidth="1"/>
    <col min="2" max="2" width="42.83203125" style="5" customWidth="1"/>
    <col min="3" max="3" width="2.83203125" style="5" customWidth="1"/>
    <col min="4" max="4" width="5.83203125" style="1" customWidth="1"/>
    <col min="5" max="5" width="1" style="1" customWidth="1"/>
    <col min="6" max="6" width="5.83203125" style="1" customWidth="1"/>
    <col min="7" max="8" width="9.33203125" style="1" customWidth="1"/>
    <col min="9" max="9" width="9.33203125" style="2" customWidth="1"/>
    <col min="10" max="10" width="9.33203125" style="22" customWidth="1"/>
    <col min="11" max="12" width="9.33203125" style="1" customWidth="1"/>
    <col min="13" max="13" width="9.33203125" style="2" customWidth="1"/>
    <col min="14" max="14" width="9.33203125" style="22" customWidth="1"/>
    <col min="15" max="16" width="9.33203125" style="1" customWidth="1"/>
    <col min="17" max="17" width="9.33203125" style="2" customWidth="1"/>
    <col min="18" max="18" width="9.33203125" style="22" customWidth="1"/>
    <col min="19" max="19" width="16.83203125" style="1" customWidth="1"/>
    <col min="20" max="20" width="5.83203125" style="1" customWidth="1"/>
    <col min="21" max="21" width="1" style="1" customWidth="1"/>
    <col min="22" max="22" width="5.83203125" style="1" customWidth="1"/>
    <col min="23" max="24" width="9.33203125" style="1" customWidth="1"/>
    <col min="25" max="25" width="9.33203125" style="2" customWidth="1"/>
    <col min="26" max="26" width="9.33203125" style="22" customWidth="1"/>
    <col min="27" max="28" width="9.33203125" style="1" customWidth="1"/>
    <col min="29" max="29" width="9.33203125" style="2" customWidth="1"/>
    <col min="30" max="30" width="9.33203125" style="22" customWidth="1"/>
    <col min="31" max="32" width="9.33203125" style="1" customWidth="1"/>
    <col min="33" max="33" width="9.33203125" style="2" customWidth="1"/>
    <col min="34" max="34" width="9.33203125" style="22" customWidth="1"/>
    <col min="35" max="35" width="16.83203125" style="1" customWidth="1"/>
    <col min="36" max="36" width="5.83203125" style="1" customWidth="1"/>
    <col min="37" max="37" width="1" style="1" customWidth="1"/>
    <col min="38" max="38" width="5.83203125" style="1" customWidth="1"/>
    <col min="39" max="40" width="9.33203125" style="1" customWidth="1"/>
    <col min="41" max="41" width="9.33203125" style="2" customWidth="1"/>
    <col min="42" max="42" width="9.33203125" style="22" customWidth="1"/>
    <col min="43" max="44" width="9.33203125" style="1" customWidth="1"/>
    <col min="45" max="45" width="9.33203125" style="2" customWidth="1"/>
    <col min="46" max="46" width="9.33203125" style="22" customWidth="1"/>
    <col min="47" max="48" width="9.33203125" style="1" customWidth="1"/>
    <col min="49" max="49" width="9.33203125" style="2" customWidth="1"/>
    <col min="50" max="50" width="9.33203125" style="22" customWidth="1"/>
    <col min="51" max="51" width="16.83203125" style="1" customWidth="1"/>
    <col min="52" max="16384" width="8.83203125" style="1"/>
  </cols>
  <sheetData>
    <row r="1" spans="2:50" ht="12" customHeight="1" x14ac:dyDescent="0.2">
      <c r="D1" s="5"/>
      <c r="E1" s="5"/>
      <c r="F1" s="5"/>
      <c r="G1" s="5"/>
      <c r="H1" s="5"/>
      <c r="I1" s="5"/>
      <c r="J1" s="11"/>
      <c r="K1" s="5"/>
      <c r="L1" s="5"/>
      <c r="M1" s="5"/>
      <c r="N1" s="11"/>
      <c r="O1" s="5"/>
      <c r="P1" s="5"/>
      <c r="Q1" s="5"/>
      <c r="R1" s="11"/>
      <c r="T1" s="5"/>
      <c r="U1" s="5"/>
      <c r="V1" s="5"/>
      <c r="W1" s="5"/>
      <c r="X1" s="5"/>
      <c r="Y1" s="5"/>
      <c r="Z1" s="11"/>
      <c r="AA1" s="5"/>
      <c r="AB1" s="5"/>
      <c r="AC1" s="5"/>
      <c r="AD1" s="11"/>
      <c r="AE1" s="5"/>
      <c r="AF1" s="5"/>
      <c r="AG1" s="5"/>
      <c r="AH1" s="11"/>
      <c r="AJ1" s="5"/>
      <c r="AK1" s="5"/>
      <c r="AL1" s="5"/>
      <c r="AM1" s="5"/>
      <c r="AN1" s="5"/>
      <c r="AO1" s="5"/>
      <c r="AP1" s="11"/>
      <c r="AQ1" s="5"/>
      <c r="AR1" s="5"/>
      <c r="AS1" s="5"/>
      <c r="AT1" s="11"/>
      <c r="AU1" s="5"/>
      <c r="AV1" s="5"/>
      <c r="AW1" s="5"/>
      <c r="AX1" s="11"/>
    </row>
    <row r="2" spans="2:50" ht="24" customHeight="1" x14ac:dyDescent="0.25">
      <c r="B2" s="13" t="s">
        <v>5</v>
      </c>
      <c r="C2" s="6" t="s">
        <v>66</v>
      </c>
      <c r="D2" s="13" t="str">
        <f>UPPER(B8)</f>
        <v>A19 / R8 KNOOPPUNT KORTRIJK-WEST</v>
      </c>
      <c r="E2" s="13"/>
      <c r="F2" s="13"/>
      <c r="G2" s="13"/>
      <c r="H2" s="13"/>
      <c r="I2" s="13"/>
      <c r="J2" s="19"/>
      <c r="K2" s="13"/>
      <c r="L2" s="13"/>
      <c r="M2" s="13"/>
      <c r="N2" s="19"/>
      <c r="O2" s="13"/>
      <c r="P2" s="13"/>
      <c r="Q2" s="13"/>
      <c r="R2" s="19"/>
      <c r="T2" s="13" t="str">
        <f>D2</f>
        <v>A19 / R8 KNOOPPUNT KORTRIJK-WEST</v>
      </c>
      <c r="U2" s="13"/>
      <c r="V2" s="13"/>
      <c r="W2" s="13"/>
      <c r="X2" s="13"/>
      <c r="Y2" s="13"/>
      <c r="Z2" s="19"/>
      <c r="AA2" s="13"/>
      <c r="AB2" s="13"/>
      <c r="AC2" s="13"/>
      <c r="AD2" s="19"/>
      <c r="AE2" s="13"/>
      <c r="AF2" s="13"/>
      <c r="AG2" s="13"/>
      <c r="AH2" s="19"/>
      <c r="AJ2" s="13" t="str">
        <f>T2</f>
        <v>A19 / R8 KNOOPPUNT KORTRIJK-WEST</v>
      </c>
      <c r="AK2" s="13"/>
      <c r="AL2" s="13"/>
      <c r="AM2" s="13"/>
      <c r="AN2" s="13"/>
      <c r="AO2" s="13"/>
      <c r="AP2" s="19"/>
      <c r="AQ2" s="13"/>
      <c r="AR2" s="13"/>
      <c r="AS2" s="13"/>
      <c r="AT2" s="19"/>
      <c r="AU2" s="13"/>
      <c r="AV2" s="13"/>
      <c r="AW2" s="13"/>
      <c r="AX2" s="19"/>
    </row>
    <row r="3" spans="2:50" ht="24" customHeight="1" x14ac:dyDescent="0.25">
      <c r="B3" s="12" t="s">
        <v>6</v>
      </c>
      <c r="C3" s="6" t="s">
        <v>66</v>
      </c>
      <c r="D3" s="12" t="s">
        <v>118</v>
      </c>
      <c r="E3" s="12"/>
      <c r="F3" s="12"/>
      <c r="G3" s="12"/>
      <c r="H3" s="12"/>
      <c r="I3" s="12"/>
      <c r="J3" s="20"/>
      <c r="K3" s="12"/>
      <c r="L3" s="12"/>
      <c r="M3" s="12"/>
      <c r="N3" s="20"/>
      <c r="O3" s="12"/>
      <c r="P3" s="12"/>
      <c r="Q3" s="12"/>
      <c r="R3" s="20"/>
      <c r="T3" s="12" t="str">
        <f>D3</f>
        <v>Kruispunt R8 / Verbindingsboog A19</v>
      </c>
      <c r="U3" s="12"/>
      <c r="V3" s="12"/>
      <c r="W3" s="12"/>
      <c r="X3" s="12"/>
      <c r="Y3" s="12"/>
      <c r="Z3" s="20"/>
      <c r="AA3" s="12"/>
      <c r="AB3" s="12"/>
      <c r="AC3" s="12"/>
      <c r="AD3" s="20"/>
      <c r="AE3" s="12"/>
      <c r="AF3" s="12"/>
      <c r="AG3" s="12"/>
      <c r="AH3" s="20"/>
      <c r="AJ3" s="12" t="str">
        <f>T3</f>
        <v>Kruispunt R8 / Verbindingsboog A19</v>
      </c>
      <c r="AK3" s="12"/>
      <c r="AL3" s="12"/>
      <c r="AM3" s="12"/>
      <c r="AN3" s="12"/>
      <c r="AO3" s="12"/>
      <c r="AP3" s="20"/>
      <c r="AQ3" s="12"/>
      <c r="AR3" s="12"/>
      <c r="AS3" s="12"/>
      <c r="AT3" s="20"/>
      <c r="AU3" s="12"/>
      <c r="AV3" s="12"/>
      <c r="AW3" s="12"/>
      <c r="AX3" s="20"/>
    </row>
    <row r="4" spans="2:50" ht="12" customHeight="1" x14ac:dyDescent="0.25">
      <c r="B4" s="7"/>
      <c r="C4" s="6" t="s">
        <v>66</v>
      </c>
      <c r="D4" s="7"/>
      <c r="E4" s="7"/>
      <c r="F4" s="7"/>
      <c r="G4" s="7"/>
      <c r="H4" s="7"/>
      <c r="I4" s="7"/>
      <c r="J4" s="21"/>
      <c r="K4" s="7"/>
      <c r="L4" s="7"/>
      <c r="M4" s="7"/>
      <c r="N4" s="21"/>
      <c r="O4" s="7"/>
      <c r="P4" s="7"/>
      <c r="Q4" s="7"/>
      <c r="R4" s="21"/>
      <c r="T4" s="7"/>
      <c r="U4" s="7"/>
      <c r="V4" s="7"/>
      <c r="W4" s="7"/>
      <c r="X4" s="7"/>
      <c r="Y4" s="7"/>
      <c r="Z4" s="21"/>
      <c r="AA4" s="7"/>
      <c r="AB4" s="7"/>
      <c r="AC4" s="7"/>
      <c r="AD4" s="21"/>
      <c r="AE4" s="7"/>
      <c r="AF4" s="7"/>
      <c r="AG4" s="7"/>
      <c r="AH4" s="21"/>
      <c r="AJ4" s="7"/>
      <c r="AK4" s="7"/>
      <c r="AL4" s="7"/>
      <c r="AM4" s="7"/>
      <c r="AN4" s="7"/>
      <c r="AO4" s="7"/>
      <c r="AP4" s="21"/>
      <c r="AQ4" s="7"/>
      <c r="AR4" s="7"/>
      <c r="AS4" s="7"/>
      <c r="AT4" s="21"/>
      <c r="AU4" s="7"/>
      <c r="AV4" s="7"/>
      <c r="AW4" s="7"/>
      <c r="AX4" s="21"/>
    </row>
    <row r="5" spans="2:50" ht="12" customHeight="1" x14ac:dyDescent="0.25">
      <c r="B5" s="7"/>
      <c r="C5" s="6" t="s">
        <v>66</v>
      </c>
      <c r="D5" s="5"/>
      <c r="E5" s="5"/>
      <c r="F5" s="5"/>
      <c r="G5" s="5"/>
      <c r="H5" s="5"/>
      <c r="I5" s="5"/>
      <c r="J5" s="11"/>
      <c r="K5" s="5"/>
      <c r="L5" s="5"/>
      <c r="M5" s="5"/>
      <c r="N5" s="11"/>
      <c r="O5" s="5"/>
      <c r="P5" s="5"/>
      <c r="Q5" s="5"/>
      <c r="R5" s="11"/>
      <c r="T5" s="5"/>
      <c r="U5" s="5"/>
      <c r="V5" s="5"/>
      <c r="W5" s="5"/>
      <c r="X5" s="5"/>
      <c r="Y5" s="5"/>
      <c r="Z5" s="11"/>
      <c r="AA5" s="5"/>
      <c r="AB5" s="5"/>
      <c r="AC5" s="5"/>
      <c r="AD5" s="11"/>
      <c r="AE5" s="5"/>
      <c r="AF5" s="5"/>
      <c r="AG5" s="5"/>
      <c r="AH5" s="11"/>
      <c r="AJ5" s="5"/>
      <c r="AK5" s="5"/>
      <c r="AL5" s="5"/>
      <c r="AM5" s="5"/>
      <c r="AN5" s="5"/>
      <c r="AO5" s="5"/>
      <c r="AP5" s="11"/>
      <c r="AQ5" s="5"/>
      <c r="AR5" s="5"/>
      <c r="AS5" s="5"/>
      <c r="AT5" s="11"/>
      <c r="AU5" s="5"/>
      <c r="AV5" s="5"/>
      <c r="AW5" s="5"/>
      <c r="AX5" s="11"/>
    </row>
    <row r="6" spans="2:50" ht="12" customHeight="1" x14ac:dyDescent="0.25">
      <c r="B6" s="8"/>
      <c r="C6" s="6" t="s">
        <v>66</v>
      </c>
      <c r="D6" s="179" t="s">
        <v>24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T6" s="179" t="s">
        <v>24</v>
      </c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J6" s="179" t="s">
        <v>24</v>
      </c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</row>
    <row r="7" spans="2:50" ht="12" customHeight="1" x14ac:dyDescent="0.25">
      <c r="B7" s="9" t="s">
        <v>7</v>
      </c>
      <c r="C7" s="6" t="s">
        <v>66</v>
      </c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</row>
    <row r="8" spans="2:50" ht="12" customHeight="1" x14ac:dyDescent="0.25">
      <c r="B8" s="8" t="str">
        <f>INFO!$B$4</f>
        <v>A19 / R8 Knooppunt Kortrijk-West</v>
      </c>
      <c r="C8" s="6" t="s">
        <v>66</v>
      </c>
      <c r="D8" s="14"/>
      <c r="E8" s="14"/>
      <c r="F8" s="35"/>
      <c r="G8" s="23" t="s">
        <v>75</v>
      </c>
      <c r="H8" s="23"/>
      <c r="I8" s="23"/>
      <c r="J8" s="23"/>
      <c r="K8" s="49" t="s">
        <v>76</v>
      </c>
      <c r="L8" s="23"/>
      <c r="M8" s="23"/>
      <c r="N8" s="39"/>
      <c r="O8" s="23" t="s">
        <v>77</v>
      </c>
      <c r="P8" s="23"/>
      <c r="Q8" s="23"/>
      <c r="R8" s="23"/>
      <c r="T8" s="14"/>
      <c r="U8" s="14"/>
      <c r="V8" s="35"/>
      <c r="W8" s="23" t="s">
        <v>78</v>
      </c>
      <c r="X8" s="23"/>
      <c r="Y8" s="23"/>
      <c r="Z8" s="23"/>
      <c r="AA8" s="49" t="s">
        <v>79</v>
      </c>
      <c r="AB8" s="23"/>
      <c r="AC8" s="23"/>
      <c r="AD8" s="39"/>
      <c r="AE8" s="23" t="s">
        <v>80</v>
      </c>
      <c r="AF8" s="23"/>
      <c r="AG8" s="23"/>
      <c r="AH8" s="23"/>
      <c r="AJ8" s="14"/>
      <c r="AK8" s="14"/>
      <c r="AL8" s="35"/>
      <c r="AM8" s="23" t="s">
        <v>81</v>
      </c>
      <c r="AN8" s="23"/>
      <c r="AO8" s="23"/>
      <c r="AP8" s="23"/>
      <c r="AQ8" s="49" t="s">
        <v>82</v>
      </c>
      <c r="AR8" s="23"/>
      <c r="AS8" s="23"/>
      <c r="AT8" s="39"/>
      <c r="AU8" s="23" t="s">
        <v>83</v>
      </c>
      <c r="AV8" s="23"/>
      <c r="AW8" s="23"/>
      <c r="AX8" s="23"/>
    </row>
    <row r="9" spans="2:50" ht="12" customHeight="1" x14ac:dyDescent="0.25">
      <c r="C9" s="6" t="s">
        <v>66</v>
      </c>
      <c r="D9" s="14"/>
      <c r="E9" s="14"/>
      <c r="F9" s="36"/>
      <c r="G9" s="4" t="s">
        <v>95</v>
      </c>
      <c r="H9" s="4" t="s">
        <v>96</v>
      </c>
      <c r="I9" s="4" t="s">
        <v>97</v>
      </c>
      <c r="J9" s="4" t="s">
        <v>0</v>
      </c>
      <c r="K9" s="10" t="s">
        <v>95</v>
      </c>
      <c r="L9" s="4" t="s">
        <v>96</v>
      </c>
      <c r="M9" s="4" t="s">
        <v>97</v>
      </c>
      <c r="N9" s="3" t="s">
        <v>0</v>
      </c>
      <c r="O9" s="4" t="s">
        <v>95</v>
      </c>
      <c r="P9" s="4" t="s">
        <v>96</v>
      </c>
      <c r="Q9" s="4" t="s">
        <v>97</v>
      </c>
      <c r="R9" s="4" t="s">
        <v>0</v>
      </c>
      <c r="T9" s="14"/>
      <c r="U9" s="14"/>
      <c r="V9" s="36"/>
      <c r="W9" s="4" t="s">
        <v>95</v>
      </c>
      <c r="X9" s="4" t="s">
        <v>96</v>
      </c>
      <c r="Y9" s="4" t="s">
        <v>97</v>
      </c>
      <c r="Z9" s="4" t="s">
        <v>0</v>
      </c>
      <c r="AA9" s="10" t="s">
        <v>95</v>
      </c>
      <c r="AB9" s="4" t="s">
        <v>96</v>
      </c>
      <c r="AC9" s="4" t="s">
        <v>97</v>
      </c>
      <c r="AD9" s="3" t="s">
        <v>0</v>
      </c>
      <c r="AE9" s="4" t="s">
        <v>95</v>
      </c>
      <c r="AF9" s="4" t="s">
        <v>96</v>
      </c>
      <c r="AG9" s="4" t="s">
        <v>97</v>
      </c>
      <c r="AH9" s="4" t="s">
        <v>0</v>
      </c>
      <c r="AJ9" s="14"/>
      <c r="AK9" s="14"/>
      <c r="AL9" s="36"/>
      <c r="AM9" s="4" t="s">
        <v>95</v>
      </c>
      <c r="AN9" s="4" t="s">
        <v>96</v>
      </c>
      <c r="AO9" s="4" t="s">
        <v>97</v>
      </c>
      <c r="AP9" s="4" t="s">
        <v>0</v>
      </c>
      <c r="AQ9" s="10" t="s">
        <v>95</v>
      </c>
      <c r="AR9" s="4" t="s">
        <v>96</v>
      </c>
      <c r="AS9" s="4" t="s">
        <v>97</v>
      </c>
      <c r="AT9" s="3" t="s">
        <v>0</v>
      </c>
      <c r="AU9" s="4" t="s">
        <v>95</v>
      </c>
      <c r="AV9" s="4" t="s">
        <v>96</v>
      </c>
      <c r="AW9" s="4" t="s">
        <v>97</v>
      </c>
      <c r="AX9" s="4" t="s">
        <v>0</v>
      </c>
    </row>
    <row r="10" spans="2:50" ht="12" customHeight="1" x14ac:dyDescent="0.25">
      <c r="B10" s="8" t="str">
        <f>D3</f>
        <v>Kruispunt R8 / Verbindingsboog A19</v>
      </c>
      <c r="C10" s="6" t="s">
        <v>66</v>
      </c>
      <c r="D10" s="43" t="s">
        <v>4</v>
      </c>
      <c r="E10" s="43"/>
      <c r="F10" s="43"/>
      <c r="G10" s="44"/>
      <c r="H10" s="41"/>
      <c r="I10" s="41"/>
      <c r="J10" s="41"/>
      <c r="K10" s="44"/>
      <c r="L10" s="41"/>
      <c r="M10" s="41"/>
      <c r="N10" s="42"/>
      <c r="O10" s="41"/>
      <c r="P10" s="41"/>
      <c r="Q10" s="41"/>
      <c r="R10" s="41"/>
      <c r="T10" s="43" t="s">
        <v>4</v>
      </c>
      <c r="U10" s="43"/>
      <c r="V10" s="43"/>
      <c r="W10" s="44"/>
      <c r="X10" s="41"/>
      <c r="Y10" s="41"/>
      <c r="Z10" s="41"/>
      <c r="AA10" s="44"/>
      <c r="AB10" s="41"/>
      <c r="AC10" s="41"/>
      <c r="AD10" s="42"/>
      <c r="AE10" s="41"/>
      <c r="AF10" s="41"/>
      <c r="AG10" s="41"/>
      <c r="AH10" s="41"/>
      <c r="AJ10" s="43" t="s">
        <v>4</v>
      </c>
      <c r="AK10" s="43"/>
      <c r="AL10" s="43"/>
      <c r="AM10" s="44"/>
      <c r="AN10" s="41"/>
      <c r="AO10" s="41"/>
      <c r="AP10" s="41"/>
      <c r="AQ10" s="44"/>
      <c r="AR10" s="41"/>
      <c r="AS10" s="41"/>
      <c r="AT10" s="42"/>
      <c r="AU10" s="41"/>
      <c r="AV10" s="41"/>
      <c r="AW10" s="41"/>
      <c r="AX10" s="41"/>
    </row>
    <row r="11" spans="2:50" ht="12" customHeight="1" x14ac:dyDescent="0.25">
      <c r="B11" s="8" t="str">
        <f>INFO!$C$21</f>
        <v>Z = R8 komende van Complex Bissegem</v>
      </c>
      <c r="C11" s="6" t="s">
        <v>66</v>
      </c>
      <c r="D11" s="32">
        <v>0.29166666666666669</v>
      </c>
      <c r="E11" s="32" t="s">
        <v>1</v>
      </c>
      <c r="F11" s="37">
        <f t="shared" ref="F11:F26" si="0">D11+15/1440</f>
        <v>0.30208333333333337</v>
      </c>
      <c r="G11" s="46">
        <f>SUM(Kpt.Mvt_Catri!G11)</f>
        <v>263</v>
      </c>
      <c r="H11" s="16">
        <f>SUM(Kpt.Mvt_Catri!H11)</f>
        <v>24</v>
      </c>
      <c r="I11" s="16">
        <f>SUM(Kpt.Mvt_Catri!I11)</f>
        <v>13</v>
      </c>
      <c r="J11" s="16">
        <f>SUM(Kpt.Mvt_Catri!J11)</f>
        <v>300</v>
      </c>
      <c r="K11" s="45">
        <f>SUM(Kpt.Mvt_Catri!K11,Kpt.Mvt_Catri!W11)</f>
        <v>572</v>
      </c>
      <c r="L11" s="16">
        <f>SUM(Kpt.Mvt_Catri!L11,Kpt.Mvt_Catri!X11)</f>
        <v>16</v>
      </c>
      <c r="M11" s="16">
        <f>SUM(Kpt.Mvt_Catri!M11,Kpt.Mvt_Catri!Y11)</f>
        <v>20</v>
      </c>
      <c r="N11" s="18">
        <f>SUM(Kpt.Mvt_Catri!N11,Kpt.Mvt_Catri!Z11)</f>
        <v>608</v>
      </c>
      <c r="O11" s="46">
        <f t="shared" ref="O11:O26" si="1">SUM(G11,K11)</f>
        <v>835</v>
      </c>
      <c r="P11" s="16">
        <f t="shared" ref="P11:P26" si="2">SUM(H11,L11)</f>
        <v>40</v>
      </c>
      <c r="Q11" s="16">
        <f t="shared" ref="Q11:Q26" si="3">SUM(I11,M11)</f>
        <v>33</v>
      </c>
      <c r="R11" s="16">
        <f t="shared" ref="R11:R26" si="4">SUM(J11,N11)</f>
        <v>908</v>
      </c>
      <c r="T11" s="32">
        <v>0.29166666666666669</v>
      </c>
      <c r="U11" s="32" t="s">
        <v>1</v>
      </c>
      <c r="V11" s="37">
        <f t="shared" ref="V11:V26" si="5">T11+15/1440</f>
        <v>0.30208333333333337</v>
      </c>
      <c r="W11" s="46">
        <f>SUM(Kpt.Mvt_Catri!K11,Kpt.Mvt_Catri!S11)</f>
        <v>572</v>
      </c>
      <c r="X11" s="16">
        <f>SUM(Kpt.Mvt_Catri!L11,Kpt.Mvt_Catri!T11)</f>
        <v>24</v>
      </c>
      <c r="Y11" s="16">
        <f>SUM(Kpt.Mvt_Catri!M11,Kpt.Mvt_Catri!U11)</f>
        <v>23</v>
      </c>
      <c r="Z11" s="16">
        <f>SUM(Kpt.Mvt_Catri!N11,Kpt.Mvt_Catri!V11)</f>
        <v>619</v>
      </c>
      <c r="AA11" s="45"/>
      <c r="AB11" s="16"/>
      <c r="AC11" s="16"/>
      <c r="AD11" s="18"/>
      <c r="AE11" s="46">
        <f t="shared" ref="AE11:AE26" si="6">SUM(W11,AA11)</f>
        <v>572</v>
      </c>
      <c r="AF11" s="16">
        <f t="shared" ref="AF11:AF26" si="7">SUM(X11,AB11)</f>
        <v>24</v>
      </c>
      <c r="AG11" s="16">
        <f t="shared" ref="AG11:AG26" si="8">SUM(Y11,AC11)</f>
        <v>23</v>
      </c>
      <c r="AH11" s="16">
        <f t="shared" ref="AH11:AH26" si="9">SUM(Z11,AD11)</f>
        <v>619</v>
      </c>
      <c r="AJ11" s="32">
        <v>0.29166666666666669</v>
      </c>
      <c r="AK11" s="32" t="s">
        <v>1</v>
      </c>
      <c r="AL11" s="37">
        <f t="shared" ref="AL11:AL26" si="10">AJ11+15/1440</f>
        <v>0.30208333333333337</v>
      </c>
      <c r="AM11" s="46">
        <f>SUM(Kpt.Mvt_Catri!W11)</f>
        <v>156</v>
      </c>
      <c r="AN11" s="16">
        <f>SUM(Kpt.Mvt_Catri!X11)</f>
        <v>1</v>
      </c>
      <c r="AO11" s="16">
        <f>SUM(Kpt.Mvt_Catri!Y11)</f>
        <v>1</v>
      </c>
      <c r="AP11" s="16">
        <f>SUM(Kpt.Mvt_Catri!Z11)</f>
        <v>158</v>
      </c>
      <c r="AQ11" s="45">
        <f>SUM(Kpt.Mvt_Catri!G11,Kpt.Mvt_Catri!S11)</f>
        <v>419</v>
      </c>
      <c r="AR11" s="16">
        <f>SUM(Kpt.Mvt_Catri!H11,Kpt.Mvt_Catri!T11)</f>
        <v>33</v>
      </c>
      <c r="AS11" s="16">
        <f>SUM(Kpt.Mvt_Catri!I11,Kpt.Mvt_Catri!U11)</f>
        <v>17</v>
      </c>
      <c r="AT11" s="18">
        <f>SUM(Kpt.Mvt_Catri!J11,Kpt.Mvt_Catri!V11)</f>
        <v>469</v>
      </c>
      <c r="AU11" s="46">
        <f t="shared" ref="AU11:AU26" si="11">SUM(AM11,AQ11)</f>
        <v>575</v>
      </c>
      <c r="AV11" s="16">
        <f t="shared" ref="AV11:AV26" si="12">SUM(AN11,AR11)</f>
        <v>34</v>
      </c>
      <c r="AW11" s="16">
        <f t="shared" ref="AW11:AW26" si="13">SUM(AO11,AS11)</f>
        <v>18</v>
      </c>
      <c r="AX11" s="16">
        <f t="shared" ref="AX11:AX26" si="14">SUM(AP11,AT11)</f>
        <v>627</v>
      </c>
    </row>
    <row r="12" spans="2:50" ht="12" customHeight="1" x14ac:dyDescent="0.25">
      <c r="B12" s="8" t="str">
        <f>INFO!$C$22</f>
        <v>W = Verbindingsboog komende van A19</v>
      </c>
      <c r="C12" s="6" t="s">
        <v>66</v>
      </c>
      <c r="D12" s="33">
        <f t="shared" ref="D12:D18" si="15">F11</f>
        <v>0.30208333333333337</v>
      </c>
      <c r="E12" s="33" t="s">
        <v>1</v>
      </c>
      <c r="F12" s="38">
        <f t="shared" si="0"/>
        <v>0.31250000000000006</v>
      </c>
      <c r="G12" s="48">
        <f>SUM(Kpt.Mvt_Catri!G12)</f>
        <v>358</v>
      </c>
      <c r="H12" s="25">
        <f>SUM(Kpt.Mvt_Catri!H12)</f>
        <v>15</v>
      </c>
      <c r="I12" s="25">
        <f>SUM(Kpt.Mvt_Catri!I12)</f>
        <v>11</v>
      </c>
      <c r="J12" s="25">
        <f>SUM(Kpt.Mvt_Catri!J12)</f>
        <v>384</v>
      </c>
      <c r="K12" s="47">
        <f>SUM(Kpt.Mvt_Catri!K12,Kpt.Mvt_Catri!W12)</f>
        <v>667</v>
      </c>
      <c r="L12" s="25">
        <f>SUM(Kpt.Mvt_Catri!L12,Kpt.Mvt_Catri!X12)</f>
        <v>27</v>
      </c>
      <c r="M12" s="25">
        <f>SUM(Kpt.Mvt_Catri!M12,Kpt.Mvt_Catri!Y12)</f>
        <v>24</v>
      </c>
      <c r="N12" s="27">
        <f>SUM(Kpt.Mvt_Catri!N12,Kpt.Mvt_Catri!Z12)</f>
        <v>718</v>
      </c>
      <c r="O12" s="48">
        <f t="shared" si="1"/>
        <v>1025</v>
      </c>
      <c r="P12" s="25">
        <f t="shared" si="2"/>
        <v>42</v>
      </c>
      <c r="Q12" s="25">
        <f t="shared" si="3"/>
        <v>35</v>
      </c>
      <c r="R12" s="25">
        <f t="shared" si="4"/>
        <v>1102</v>
      </c>
      <c r="T12" s="33">
        <f t="shared" ref="T12:T18" si="16">V11</f>
        <v>0.30208333333333337</v>
      </c>
      <c r="U12" s="33" t="s">
        <v>1</v>
      </c>
      <c r="V12" s="38">
        <f t="shared" si="5"/>
        <v>0.31250000000000006</v>
      </c>
      <c r="W12" s="48">
        <f>SUM(Kpt.Mvt_Catri!K12,Kpt.Mvt_Catri!S12)</f>
        <v>652</v>
      </c>
      <c r="X12" s="25">
        <f>SUM(Kpt.Mvt_Catri!L12,Kpt.Mvt_Catri!T12)</f>
        <v>15</v>
      </c>
      <c r="Y12" s="25">
        <f>SUM(Kpt.Mvt_Catri!M12,Kpt.Mvt_Catri!U12)</f>
        <v>24</v>
      </c>
      <c r="Z12" s="25">
        <f>SUM(Kpt.Mvt_Catri!N12,Kpt.Mvt_Catri!V12)</f>
        <v>691</v>
      </c>
      <c r="AA12" s="47"/>
      <c r="AB12" s="25"/>
      <c r="AC12" s="25"/>
      <c r="AD12" s="27"/>
      <c r="AE12" s="48">
        <f t="shared" si="6"/>
        <v>652</v>
      </c>
      <c r="AF12" s="25">
        <f t="shared" si="7"/>
        <v>15</v>
      </c>
      <c r="AG12" s="25">
        <f t="shared" si="8"/>
        <v>24</v>
      </c>
      <c r="AH12" s="25">
        <f t="shared" si="9"/>
        <v>691</v>
      </c>
      <c r="AJ12" s="33">
        <f t="shared" ref="AJ12:AJ18" si="17">AL11</f>
        <v>0.30208333333333337</v>
      </c>
      <c r="AK12" s="33" t="s">
        <v>1</v>
      </c>
      <c r="AL12" s="38">
        <f t="shared" si="10"/>
        <v>0.31250000000000006</v>
      </c>
      <c r="AM12" s="48">
        <f>SUM(Kpt.Mvt_Catri!W12)</f>
        <v>208</v>
      </c>
      <c r="AN12" s="25">
        <f>SUM(Kpt.Mvt_Catri!X12)</f>
        <v>17</v>
      </c>
      <c r="AO12" s="25">
        <f>SUM(Kpt.Mvt_Catri!Y12)</f>
        <v>4</v>
      </c>
      <c r="AP12" s="25">
        <f>SUM(Kpt.Mvt_Catri!Z12)</f>
        <v>229</v>
      </c>
      <c r="AQ12" s="47">
        <f>SUM(Kpt.Mvt_Catri!G12,Kpt.Mvt_Catri!S12)</f>
        <v>551</v>
      </c>
      <c r="AR12" s="25">
        <f>SUM(Kpt.Mvt_Catri!H12,Kpt.Mvt_Catri!T12)</f>
        <v>20</v>
      </c>
      <c r="AS12" s="25">
        <f>SUM(Kpt.Mvt_Catri!I12,Kpt.Mvt_Catri!U12)</f>
        <v>15</v>
      </c>
      <c r="AT12" s="27">
        <f>SUM(Kpt.Mvt_Catri!J12,Kpt.Mvt_Catri!V12)</f>
        <v>586</v>
      </c>
      <c r="AU12" s="48">
        <f t="shared" si="11"/>
        <v>759</v>
      </c>
      <c r="AV12" s="25">
        <f t="shared" si="12"/>
        <v>37</v>
      </c>
      <c r="AW12" s="25">
        <f t="shared" si="13"/>
        <v>19</v>
      </c>
      <c r="AX12" s="25">
        <f t="shared" si="14"/>
        <v>815</v>
      </c>
    </row>
    <row r="13" spans="2:50" ht="12" customHeight="1" x14ac:dyDescent="0.25">
      <c r="B13" s="8" t="str">
        <f>INFO!$C$23</f>
        <v>N = R8 komende van Complex Gullegem</v>
      </c>
      <c r="C13" s="6" t="s">
        <v>66</v>
      </c>
      <c r="D13" s="32">
        <f t="shared" si="15"/>
        <v>0.31250000000000006</v>
      </c>
      <c r="E13" s="32" t="s">
        <v>1</v>
      </c>
      <c r="F13" s="37">
        <f t="shared" si="0"/>
        <v>0.32291666666666674</v>
      </c>
      <c r="G13" s="46">
        <f>SUM(Kpt.Mvt_Catri!G13)</f>
        <v>512</v>
      </c>
      <c r="H13" s="16">
        <f>SUM(Kpt.Mvt_Catri!H13)</f>
        <v>18</v>
      </c>
      <c r="I13" s="16">
        <f>SUM(Kpt.Mvt_Catri!I13)</f>
        <v>11</v>
      </c>
      <c r="J13" s="16">
        <f>SUM(Kpt.Mvt_Catri!J13)</f>
        <v>541</v>
      </c>
      <c r="K13" s="45">
        <f>SUM(Kpt.Mvt_Catri!K13,Kpt.Mvt_Catri!W13)</f>
        <v>792</v>
      </c>
      <c r="L13" s="16">
        <f>SUM(Kpt.Mvt_Catri!L13,Kpt.Mvt_Catri!X13)</f>
        <v>18</v>
      </c>
      <c r="M13" s="16">
        <f>SUM(Kpt.Mvt_Catri!M13,Kpt.Mvt_Catri!Y13)</f>
        <v>17</v>
      </c>
      <c r="N13" s="18">
        <f>SUM(Kpt.Mvt_Catri!N13,Kpt.Mvt_Catri!Z13)</f>
        <v>827</v>
      </c>
      <c r="O13" s="46">
        <f t="shared" si="1"/>
        <v>1304</v>
      </c>
      <c r="P13" s="16">
        <f t="shared" si="2"/>
        <v>36</v>
      </c>
      <c r="Q13" s="16">
        <f t="shared" si="3"/>
        <v>28</v>
      </c>
      <c r="R13" s="16">
        <f t="shared" si="4"/>
        <v>1368</v>
      </c>
      <c r="T13" s="32">
        <f t="shared" si="16"/>
        <v>0.31250000000000006</v>
      </c>
      <c r="U13" s="32" t="s">
        <v>1</v>
      </c>
      <c r="V13" s="37">
        <f t="shared" si="5"/>
        <v>0.32291666666666674</v>
      </c>
      <c r="W13" s="46">
        <f>SUM(Kpt.Mvt_Catri!K13,Kpt.Mvt_Catri!S13)</f>
        <v>673</v>
      </c>
      <c r="X13" s="16">
        <f>SUM(Kpt.Mvt_Catri!L13,Kpt.Mvt_Catri!T13)</f>
        <v>14</v>
      </c>
      <c r="Y13" s="16">
        <f>SUM(Kpt.Mvt_Catri!M13,Kpt.Mvt_Catri!U13)</f>
        <v>19</v>
      </c>
      <c r="Z13" s="16">
        <f>SUM(Kpt.Mvt_Catri!N13,Kpt.Mvt_Catri!V13)</f>
        <v>706</v>
      </c>
      <c r="AA13" s="45"/>
      <c r="AB13" s="16"/>
      <c r="AC13" s="16"/>
      <c r="AD13" s="18"/>
      <c r="AE13" s="46">
        <f t="shared" si="6"/>
        <v>673</v>
      </c>
      <c r="AF13" s="16">
        <f t="shared" si="7"/>
        <v>14</v>
      </c>
      <c r="AG13" s="16">
        <f t="shared" si="8"/>
        <v>19</v>
      </c>
      <c r="AH13" s="16">
        <f t="shared" si="9"/>
        <v>706</v>
      </c>
      <c r="AJ13" s="32">
        <f t="shared" si="17"/>
        <v>0.31250000000000006</v>
      </c>
      <c r="AK13" s="32" t="s">
        <v>1</v>
      </c>
      <c r="AL13" s="37">
        <f t="shared" si="10"/>
        <v>0.32291666666666674</v>
      </c>
      <c r="AM13" s="46">
        <f>SUM(Kpt.Mvt_Catri!W13)</f>
        <v>285</v>
      </c>
      <c r="AN13" s="16">
        <f>SUM(Kpt.Mvt_Catri!X13)</f>
        <v>7</v>
      </c>
      <c r="AO13" s="16">
        <f>SUM(Kpt.Mvt_Catri!Y13)</f>
        <v>2</v>
      </c>
      <c r="AP13" s="16">
        <f>SUM(Kpt.Mvt_Catri!Z13)</f>
        <v>294</v>
      </c>
      <c r="AQ13" s="45">
        <f>SUM(Kpt.Mvt_Catri!G13,Kpt.Mvt_Catri!S13)</f>
        <v>678</v>
      </c>
      <c r="AR13" s="16">
        <f>SUM(Kpt.Mvt_Catri!H13,Kpt.Mvt_Catri!T13)</f>
        <v>21</v>
      </c>
      <c r="AS13" s="16">
        <f>SUM(Kpt.Mvt_Catri!I13,Kpt.Mvt_Catri!U13)</f>
        <v>15</v>
      </c>
      <c r="AT13" s="18">
        <f>SUM(Kpt.Mvt_Catri!J13,Kpt.Mvt_Catri!V13)</f>
        <v>714</v>
      </c>
      <c r="AU13" s="46">
        <f t="shared" si="11"/>
        <v>963</v>
      </c>
      <c r="AV13" s="16">
        <f t="shared" si="12"/>
        <v>28</v>
      </c>
      <c r="AW13" s="16">
        <f t="shared" si="13"/>
        <v>17</v>
      </c>
      <c r="AX13" s="16">
        <f t="shared" si="14"/>
        <v>1008</v>
      </c>
    </row>
    <row r="14" spans="2:50" ht="12" customHeight="1" x14ac:dyDescent="0.25">
      <c r="B14" s="1"/>
      <c r="C14" s="6" t="s">
        <v>66</v>
      </c>
      <c r="D14" s="33">
        <f t="shared" si="15"/>
        <v>0.32291666666666674</v>
      </c>
      <c r="E14" s="33" t="s">
        <v>1</v>
      </c>
      <c r="F14" s="38">
        <f t="shared" si="0"/>
        <v>0.33333333333333343</v>
      </c>
      <c r="G14" s="48">
        <f>SUM(Kpt.Mvt_Catri!G14)</f>
        <v>530</v>
      </c>
      <c r="H14" s="25">
        <f>SUM(Kpt.Mvt_Catri!H14)</f>
        <v>14</v>
      </c>
      <c r="I14" s="25">
        <f>SUM(Kpt.Mvt_Catri!I14)</f>
        <v>11</v>
      </c>
      <c r="J14" s="25">
        <f>SUM(Kpt.Mvt_Catri!J14)</f>
        <v>555</v>
      </c>
      <c r="K14" s="47">
        <f>SUM(Kpt.Mvt_Catri!K14,Kpt.Mvt_Catri!W14)</f>
        <v>928</v>
      </c>
      <c r="L14" s="25">
        <f>SUM(Kpt.Mvt_Catri!L14,Kpt.Mvt_Catri!X14)</f>
        <v>20</v>
      </c>
      <c r="M14" s="25">
        <f>SUM(Kpt.Mvt_Catri!M14,Kpt.Mvt_Catri!Y14)</f>
        <v>24</v>
      </c>
      <c r="N14" s="27">
        <f>SUM(Kpt.Mvt_Catri!N14,Kpt.Mvt_Catri!Z14)</f>
        <v>972</v>
      </c>
      <c r="O14" s="48">
        <f t="shared" si="1"/>
        <v>1458</v>
      </c>
      <c r="P14" s="25">
        <f t="shared" si="2"/>
        <v>34</v>
      </c>
      <c r="Q14" s="25">
        <f t="shared" si="3"/>
        <v>35</v>
      </c>
      <c r="R14" s="25">
        <f t="shared" si="4"/>
        <v>1527</v>
      </c>
      <c r="T14" s="33">
        <f t="shared" si="16"/>
        <v>0.32291666666666674</v>
      </c>
      <c r="U14" s="33" t="s">
        <v>1</v>
      </c>
      <c r="V14" s="38">
        <f t="shared" si="5"/>
        <v>0.33333333333333343</v>
      </c>
      <c r="W14" s="48">
        <f>SUM(Kpt.Mvt_Catri!K14,Kpt.Mvt_Catri!S14)</f>
        <v>708</v>
      </c>
      <c r="X14" s="25">
        <f>SUM(Kpt.Mvt_Catri!L14,Kpt.Mvt_Catri!T14)</f>
        <v>16</v>
      </c>
      <c r="Y14" s="25">
        <f>SUM(Kpt.Mvt_Catri!M14,Kpt.Mvt_Catri!U14)</f>
        <v>27</v>
      </c>
      <c r="Z14" s="25">
        <f>SUM(Kpt.Mvt_Catri!N14,Kpt.Mvt_Catri!V14)</f>
        <v>751</v>
      </c>
      <c r="AA14" s="47"/>
      <c r="AB14" s="25"/>
      <c r="AC14" s="25"/>
      <c r="AD14" s="27"/>
      <c r="AE14" s="48">
        <f t="shared" si="6"/>
        <v>708</v>
      </c>
      <c r="AF14" s="25">
        <f t="shared" si="7"/>
        <v>16</v>
      </c>
      <c r="AG14" s="25">
        <f t="shared" si="8"/>
        <v>27</v>
      </c>
      <c r="AH14" s="25">
        <f t="shared" si="9"/>
        <v>751</v>
      </c>
      <c r="AJ14" s="33">
        <f t="shared" si="17"/>
        <v>0.32291666666666674</v>
      </c>
      <c r="AK14" s="33" t="s">
        <v>1</v>
      </c>
      <c r="AL14" s="38">
        <f t="shared" si="10"/>
        <v>0.33333333333333343</v>
      </c>
      <c r="AM14" s="48">
        <f>SUM(Kpt.Mvt_Catri!W14)</f>
        <v>364</v>
      </c>
      <c r="AN14" s="25">
        <f>SUM(Kpt.Mvt_Catri!X14)</f>
        <v>8</v>
      </c>
      <c r="AO14" s="25">
        <f>SUM(Kpt.Mvt_Catri!Y14)</f>
        <v>3</v>
      </c>
      <c r="AP14" s="25">
        <f>SUM(Kpt.Mvt_Catri!Z14)</f>
        <v>375</v>
      </c>
      <c r="AQ14" s="47">
        <f>SUM(Kpt.Mvt_Catri!G14,Kpt.Mvt_Catri!S14)</f>
        <v>674</v>
      </c>
      <c r="AR14" s="25">
        <f>SUM(Kpt.Mvt_Catri!H14,Kpt.Mvt_Catri!T14)</f>
        <v>18</v>
      </c>
      <c r="AS14" s="25">
        <f>SUM(Kpt.Mvt_Catri!I14,Kpt.Mvt_Catri!U14)</f>
        <v>17</v>
      </c>
      <c r="AT14" s="27">
        <f>SUM(Kpt.Mvt_Catri!J14,Kpt.Mvt_Catri!V14)</f>
        <v>709</v>
      </c>
      <c r="AU14" s="48">
        <f t="shared" si="11"/>
        <v>1038</v>
      </c>
      <c r="AV14" s="25">
        <f t="shared" si="12"/>
        <v>26</v>
      </c>
      <c r="AW14" s="25">
        <f t="shared" si="13"/>
        <v>20</v>
      </c>
      <c r="AX14" s="25">
        <f t="shared" si="14"/>
        <v>1084</v>
      </c>
    </row>
    <row r="15" spans="2:50" ht="12" customHeight="1" x14ac:dyDescent="0.25">
      <c r="B15" s="9" t="s">
        <v>2</v>
      </c>
      <c r="C15" s="6" t="s">
        <v>66</v>
      </c>
      <c r="D15" s="32">
        <f t="shared" si="15"/>
        <v>0.33333333333333343</v>
      </c>
      <c r="E15" s="32" t="s">
        <v>1</v>
      </c>
      <c r="F15" s="37">
        <f t="shared" si="0"/>
        <v>0.34375000000000011</v>
      </c>
      <c r="G15" s="46">
        <f>SUM(Kpt.Mvt_Catri!G15)</f>
        <v>416</v>
      </c>
      <c r="H15" s="16">
        <f>SUM(Kpt.Mvt_Catri!H15)</f>
        <v>14</v>
      </c>
      <c r="I15" s="16">
        <f>SUM(Kpt.Mvt_Catri!I15)</f>
        <v>7</v>
      </c>
      <c r="J15" s="16">
        <f>SUM(Kpt.Mvt_Catri!J15)</f>
        <v>437</v>
      </c>
      <c r="K15" s="45">
        <f>SUM(Kpt.Mvt_Catri!K15,Kpt.Mvt_Catri!W15)</f>
        <v>912</v>
      </c>
      <c r="L15" s="16">
        <f>SUM(Kpt.Mvt_Catri!L15,Kpt.Mvt_Catri!X15)</f>
        <v>31</v>
      </c>
      <c r="M15" s="16">
        <f>SUM(Kpt.Mvt_Catri!M15,Kpt.Mvt_Catri!Y15)</f>
        <v>18</v>
      </c>
      <c r="N15" s="18">
        <f>SUM(Kpt.Mvt_Catri!N15,Kpt.Mvt_Catri!Z15)</f>
        <v>961</v>
      </c>
      <c r="O15" s="46">
        <f t="shared" si="1"/>
        <v>1328</v>
      </c>
      <c r="P15" s="16">
        <f t="shared" si="2"/>
        <v>45</v>
      </c>
      <c r="Q15" s="16">
        <f t="shared" si="3"/>
        <v>25</v>
      </c>
      <c r="R15" s="16">
        <f t="shared" si="4"/>
        <v>1398</v>
      </c>
      <c r="T15" s="32">
        <f t="shared" si="16"/>
        <v>0.33333333333333343</v>
      </c>
      <c r="U15" s="32" t="s">
        <v>1</v>
      </c>
      <c r="V15" s="37">
        <f t="shared" si="5"/>
        <v>0.34375000000000011</v>
      </c>
      <c r="W15" s="46">
        <f>SUM(Kpt.Mvt_Catri!K15,Kpt.Mvt_Catri!S15)</f>
        <v>759</v>
      </c>
      <c r="X15" s="16">
        <f>SUM(Kpt.Mvt_Catri!L15,Kpt.Mvt_Catri!T15)</f>
        <v>29</v>
      </c>
      <c r="Y15" s="16">
        <f>SUM(Kpt.Mvt_Catri!M15,Kpt.Mvt_Catri!U15)</f>
        <v>17</v>
      </c>
      <c r="Z15" s="16">
        <f>SUM(Kpt.Mvt_Catri!N15,Kpt.Mvt_Catri!V15)</f>
        <v>805</v>
      </c>
      <c r="AA15" s="45"/>
      <c r="AB15" s="16"/>
      <c r="AC15" s="16"/>
      <c r="AD15" s="18"/>
      <c r="AE15" s="46">
        <f t="shared" si="6"/>
        <v>759</v>
      </c>
      <c r="AF15" s="16">
        <f t="shared" si="7"/>
        <v>29</v>
      </c>
      <c r="AG15" s="16">
        <f t="shared" si="8"/>
        <v>17</v>
      </c>
      <c r="AH15" s="16">
        <f t="shared" si="9"/>
        <v>805</v>
      </c>
      <c r="AJ15" s="32">
        <f t="shared" si="17"/>
        <v>0.33333333333333343</v>
      </c>
      <c r="AK15" s="32" t="s">
        <v>1</v>
      </c>
      <c r="AL15" s="37">
        <f t="shared" si="10"/>
        <v>0.34375000000000011</v>
      </c>
      <c r="AM15" s="46">
        <f>SUM(Kpt.Mvt_Catri!W15)</f>
        <v>314</v>
      </c>
      <c r="AN15" s="16">
        <f>SUM(Kpt.Mvt_Catri!X15)</f>
        <v>9</v>
      </c>
      <c r="AO15" s="16">
        <f>SUM(Kpt.Mvt_Catri!Y15)</f>
        <v>1</v>
      </c>
      <c r="AP15" s="16">
        <f>SUM(Kpt.Mvt_Catri!Z15)</f>
        <v>324</v>
      </c>
      <c r="AQ15" s="45">
        <f>SUM(Kpt.Mvt_Catri!G15,Kpt.Mvt_Catri!S15)</f>
        <v>577</v>
      </c>
      <c r="AR15" s="16">
        <f>SUM(Kpt.Mvt_Catri!H15,Kpt.Mvt_Catri!T15)</f>
        <v>21</v>
      </c>
      <c r="AS15" s="16">
        <f>SUM(Kpt.Mvt_Catri!I15,Kpt.Mvt_Catri!U15)</f>
        <v>7</v>
      </c>
      <c r="AT15" s="18">
        <f>SUM(Kpt.Mvt_Catri!J15,Kpt.Mvt_Catri!V15)</f>
        <v>605</v>
      </c>
      <c r="AU15" s="46">
        <f t="shared" si="11"/>
        <v>891</v>
      </c>
      <c r="AV15" s="16">
        <f t="shared" si="12"/>
        <v>30</v>
      </c>
      <c r="AW15" s="16">
        <f t="shared" si="13"/>
        <v>8</v>
      </c>
      <c r="AX15" s="16">
        <f t="shared" si="14"/>
        <v>929</v>
      </c>
    </row>
    <row r="16" spans="2:50" ht="12" customHeight="1" x14ac:dyDescent="0.25">
      <c r="B16" s="8" t="str">
        <f>"Meetdag: "&amp;INFO!$B$11</f>
        <v>Meetdag: Donderdag 3 oktober 2019</v>
      </c>
      <c r="C16" s="6" t="s">
        <v>66</v>
      </c>
      <c r="D16" s="33">
        <f t="shared" si="15"/>
        <v>0.34375000000000011</v>
      </c>
      <c r="E16" s="33" t="s">
        <v>1</v>
      </c>
      <c r="F16" s="38">
        <f t="shared" si="0"/>
        <v>0.3541666666666668</v>
      </c>
      <c r="G16" s="48">
        <f>SUM(Kpt.Mvt_Catri!G16)</f>
        <v>429</v>
      </c>
      <c r="H16" s="25">
        <f>SUM(Kpt.Mvt_Catri!H16)</f>
        <v>12</v>
      </c>
      <c r="I16" s="25">
        <f>SUM(Kpt.Mvt_Catri!I16)</f>
        <v>13</v>
      </c>
      <c r="J16" s="25">
        <f>SUM(Kpt.Mvt_Catri!J16)</f>
        <v>454</v>
      </c>
      <c r="K16" s="47">
        <f>SUM(Kpt.Mvt_Catri!K16,Kpt.Mvt_Catri!W16)</f>
        <v>707</v>
      </c>
      <c r="L16" s="25">
        <f>SUM(Kpt.Mvt_Catri!L16,Kpt.Mvt_Catri!X16)</f>
        <v>29</v>
      </c>
      <c r="M16" s="25">
        <f>SUM(Kpt.Mvt_Catri!M16,Kpt.Mvt_Catri!Y16)</f>
        <v>25</v>
      </c>
      <c r="N16" s="27">
        <f>SUM(Kpt.Mvt_Catri!N16,Kpt.Mvt_Catri!Z16)</f>
        <v>761</v>
      </c>
      <c r="O16" s="48">
        <f t="shared" si="1"/>
        <v>1136</v>
      </c>
      <c r="P16" s="25">
        <f t="shared" si="2"/>
        <v>41</v>
      </c>
      <c r="Q16" s="25">
        <f t="shared" si="3"/>
        <v>38</v>
      </c>
      <c r="R16" s="25">
        <f t="shared" si="4"/>
        <v>1215</v>
      </c>
      <c r="T16" s="33">
        <f t="shared" si="16"/>
        <v>0.34375000000000011</v>
      </c>
      <c r="U16" s="33" t="s">
        <v>1</v>
      </c>
      <c r="V16" s="38">
        <f t="shared" si="5"/>
        <v>0.3541666666666668</v>
      </c>
      <c r="W16" s="48">
        <f>SUM(Kpt.Mvt_Catri!K16,Kpt.Mvt_Catri!S16)</f>
        <v>644</v>
      </c>
      <c r="X16" s="25">
        <f>SUM(Kpt.Mvt_Catri!L16,Kpt.Mvt_Catri!T16)</f>
        <v>27</v>
      </c>
      <c r="Y16" s="25">
        <f>SUM(Kpt.Mvt_Catri!M16,Kpt.Mvt_Catri!U16)</f>
        <v>32</v>
      </c>
      <c r="Z16" s="25">
        <f>SUM(Kpt.Mvt_Catri!N16,Kpt.Mvt_Catri!V16)</f>
        <v>703</v>
      </c>
      <c r="AA16" s="47"/>
      <c r="AB16" s="25"/>
      <c r="AC16" s="25"/>
      <c r="AD16" s="27"/>
      <c r="AE16" s="48">
        <f t="shared" si="6"/>
        <v>644</v>
      </c>
      <c r="AF16" s="25">
        <f t="shared" si="7"/>
        <v>27</v>
      </c>
      <c r="AG16" s="25">
        <f t="shared" si="8"/>
        <v>32</v>
      </c>
      <c r="AH16" s="25">
        <f t="shared" si="9"/>
        <v>703</v>
      </c>
      <c r="AJ16" s="33">
        <f t="shared" si="17"/>
        <v>0.34375000000000011</v>
      </c>
      <c r="AK16" s="33" t="s">
        <v>1</v>
      </c>
      <c r="AL16" s="38">
        <f t="shared" si="10"/>
        <v>0.3541666666666668</v>
      </c>
      <c r="AM16" s="48">
        <f>SUM(Kpt.Mvt_Catri!W16)</f>
        <v>231</v>
      </c>
      <c r="AN16" s="25">
        <f>SUM(Kpt.Mvt_Catri!X16)</f>
        <v>5</v>
      </c>
      <c r="AO16" s="25">
        <f>SUM(Kpt.Mvt_Catri!Y16)</f>
        <v>4</v>
      </c>
      <c r="AP16" s="25">
        <f>SUM(Kpt.Mvt_Catri!Z16)</f>
        <v>240</v>
      </c>
      <c r="AQ16" s="47">
        <f>SUM(Kpt.Mvt_Catri!G16,Kpt.Mvt_Catri!S16)</f>
        <v>597</v>
      </c>
      <c r="AR16" s="25">
        <f>SUM(Kpt.Mvt_Catri!H16,Kpt.Mvt_Catri!T16)</f>
        <v>15</v>
      </c>
      <c r="AS16" s="25">
        <f>SUM(Kpt.Mvt_Catri!I16,Kpt.Mvt_Catri!U16)</f>
        <v>24</v>
      </c>
      <c r="AT16" s="27">
        <f>SUM(Kpt.Mvt_Catri!J16,Kpt.Mvt_Catri!V16)</f>
        <v>636</v>
      </c>
      <c r="AU16" s="48">
        <f t="shared" si="11"/>
        <v>828</v>
      </c>
      <c r="AV16" s="25">
        <f t="shared" si="12"/>
        <v>20</v>
      </c>
      <c r="AW16" s="25">
        <f t="shared" si="13"/>
        <v>28</v>
      </c>
      <c r="AX16" s="25">
        <f t="shared" si="14"/>
        <v>876</v>
      </c>
    </row>
    <row r="17" spans="2:50" ht="12" customHeight="1" x14ac:dyDescent="0.25">
      <c r="B17" s="8" t="str">
        <f>"Methodiek: "&amp;INFO!$B$13</f>
        <v>Methodiek: Video + auto. beeldverwerking / ANPR</v>
      </c>
      <c r="C17" s="6" t="s">
        <v>66</v>
      </c>
      <c r="D17" s="32">
        <f t="shared" si="15"/>
        <v>0.3541666666666668</v>
      </c>
      <c r="E17" s="32" t="s">
        <v>1</v>
      </c>
      <c r="F17" s="37">
        <f t="shared" si="0"/>
        <v>0.36458333333333348</v>
      </c>
      <c r="G17" s="46">
        <f>SUM(Kpt.Mvt_Catri!G17)</f>
        <v>339</v>
      </c>
      <c r="H17" s="16">
        <f>SUM(Kpt.Mvt_Catri!H17)</f>
        <v>24</v>
      </c>
      <c r="I17" s="16">
        <f>SUM(Kpt.Mvt_Catri!I17)</f>
        <v>14</v>
      </c>
      <c r="J17" s="16">
        <f>SUM(Kpt.Mvt_Catri!J17)</f>
        <v>377</v>
      </c>
      <c r="K17" s="45">
        <f>SUM(Kpt.Mvt_Catri!K17,Kpt.Mvt_Catri!W17)</f>
        <v>590</v>
      </c>
      <c r="L17" s="16">
        <f>SUM(Kpt.Mvt_Catri!L17,Kpt.Mvt_Catri!X17)</f>
        <v>28</v>
      </c>
      <c r="M17" s="16">
        <f>SUM(Kpt.Mvt_Catri!M17,Kpt.Mvt_Catri!Y17)</f>
        <v>28</v>
      </c>
      <c r="N17" s="18">
        <f>SUM(Kpt.Mvt_Catri!N17,Kpt.Mvt_Catri!Z17)</f>
        <v>646</v>
      </c>
      <c r="O17" s="46">
        <f t="shared" si="1"/>
        <v>929</v>
      </c>
      <c r="P17" s="16">
        <f t="shared" si="2"/>
        <v>52</v>
      </c>
      <c r="Q17" s="16">
        <f t="shared" si="3"/>
        <v>42</v>
      </c>
      <c r="R17" s="16">
        <f t="shared" si="4"/>
        <v>1023</v>
      </c>
      <c r="T17" s="32">
        <f t="shared" si="16"/>
        <v>0.3541666666666668</v>
      </c>
      <c r="U17" s="32" t="s">
        <v>1</v>
      </c>
      <c r="V17" s="37">
        <f t="shared" si="5"/>
        <v>0.36458333333333348</v>
      </c>
      <c r="W17" s="46">
        <f>SUM(Kpt.Mvt_Catri!K17,Kpt.Mvt_Catri!S17)</f>
        <v>558</v>
      </c>
      <c r="X17" s="16">
        <f>SUM(Kpt.Mvt_Catri!L17,Kpt.Mvt_Catri!T17)</f>
        <v>25</v>
      </c>
      <c r="Y17" s="16">
        <f>SUM(Kpt.Mvt_Catri!M17,Kpt.Mvt_Catri!U17)</f>
        <v>32</v>
      </c>
      <c r="Z17" s="16">
        <f>SUM(Kpt.Mvt_Catri!N17,Kpt.Mvt_Catri!V17)</f>
        <v>615</v>
      </c>
      <c r="AA17" s="45"/>
      <c r="AB17" s="16"/>
      <c r="AC17" s="16"/>
      <c r="AD17" s="18"/>
      <c r="AE17" s="46">
        <f t="shared" si="6"/>
        <v>558</v>
      </c>
      <c r="AF17" s="16">
        <f t="shared" si="7"/>
        <v>25</v>
      </c>
      <c r="AG17" s="16">
        <f t="shared" si="8"/>
        <v>32</v>
      </c>
      <c r="AH17" s="16">
        <f t="shared" si="9"/>
        <v>615</v>
      </c>
      <c r="AJ17" s="32">
        <f t="shared" si="17"/>
        <v>0.3541666666666668</v>
      </c>
      <c r="AK17" s="32" t="s">
        <v>1</v>
      </c>
      <c r="AL17" s="37">
        <f t="shared" si="10"/>
        <v>0.36458333333333348</v>
      </c>
      <c r="AM17" s="46">
        <f>SUM(Kpt.Mvt_Catri!W17)</f>
        <v>185</v>
      </c>
      <c r="AN17" s="16">
        <f>SUM(Kpt.Mvt_Catri!X17)</f>
        <v>7</v>
      </c>
      <c r="AO17" s="16">
        <f>SUM(Kpt.Mvt_Catri!Y17)</f>
        <v>1</v>
      </c>
      <c r="AP17" s="16">
        <f>SUM(Kpt.Mvt_Catri!Z17)</f>
        <v>193</v>
      </c>
      <c r="AQ17" s="45">
        <f>SUM(Kpt.Mvt_Catri!G17,Kpt.Mvt_Catri!S17)</f>
        <v>492</v>
      </c>
      <c r="AR17" s="16">
        <f>SUM(Kpt.Mvt_Catri!H17,Kpt.Mvt_Catri!T17)</f>
        <v>28</v>
      </c>
      <c r="AS17" s="16">
        <f>SUM(Kpt.Mvt_Catri!I17,Kpt.Mvt_Catri!U17)</f>
        <v>19</v>
      </c>
      <c r="AT17" s="18">
        <f>SUM(Kpt.Mvt_Catri!J17,Kpt.Mvt_Catri!V17)</f>
        <v>539</v>
      </c>
      <c r="AU17" s="46">
        <f t="shared" si="11"/>
        <v>677</v>
      </c>
      <c r="AV17" s="16">
        <f t="shared" si="12"/>
        <v>35</v>
      </c>
      <c r="AW17" s="16">
        <f t="shared" si="13"/>
        <v>20</v>
      </c>
      <c r="AX17" s="16">
        <f t="shared" si="14"/>
        <v>732</v>
      </c>
    </row>
    <row r="18" spans="2:50" ht="12" customHeight="1" x14ac:dyDescent="0.25">
      <c r="B18" s="8" t="str">
        <f>"In opdracht van: "&amp;INFO!$B$12</f>
        <v>In opdracht van: Agentschap Wegen en Verkeer</v>
      </c>
      <c r="C18" s="6" t="s">
        <v>66</v>
      </c>
      <c r="D18" s="34">
        <f t="shared" si="15"/>
        <v>0.36458333333333348</v>
      </c>
      <c r="E18" s="34" t="s">
        <v>1</v>
      </c>
      <c r="F18" s="40">
        <f t="shared" si="0"/>
        <v>0.37500000000000017</v>
      </c>
      <c r="G18" s="53">
        <f>SUM(Kpt.Mvt_Catri!G18)</f>
        <v>303</v>
      </c>
      <c r="H18" s="29">
        <f>SUM(Kpt.Mvt_Catri!H18)</f>
        <v>13</v>
      </c>
      <c r="I18" s="29">
        <f>SUM(Kpt.Mvt_Catri!I18)</f>
        <v>12</v>
      </c>
      <c r="J18" s="29">
        <f>SUM(Kpt.Mvt_Catri!J18)</f>
        <v>328</v>
      </c>
      <c r="K18" s="53">
        <f>SUM(Kpt.Mvt_Catri!K18,Kpt.Mvt_Catri!W18)</f>
        <v>504</v>
      </c>
      <c r="L18" s="29">
        <f>SUM(Kpt.Mvt_Catri!L18,Kpt.Mvt_Catri!X18)</f>
        <v>26</v>
      </c>
      <c r="M18" s="29">
        <f>SUM(Kpt.Mvt_Catri!M18,Kpt.Mvt_Catri!Y18)</f>
        <v>32</v>
      </c>
      <c r="N18" s="31">
        <f>SUM(Kpt.Mvt_Catri!N18,Kpt.Mvt_Catri!Z18)</f>
        <v>562</v>
      </c>
      <c r="O18" s="50">
        <f t="shared" si="1"/>
        <v>807</v>
      </c>
      <c r="P18" s="29">
        <f t="shared" si="2"/>
        <v>39</v>
      </c>
      <c r="Q18" s="29">
        <f t="shared" si="3"/>
        <v>44</v>
      </c>
      <c r="R18" s="29">
        <f t="shared" si="4"/>
        <v>890</v>
      </c>
      <c r="T18" s="34">
        <f t="shared" si="16"/>
        <v>0.36458333333333348</v>
      </c>
      <c r="U18" s="34" t="s">
        <v>1</v>
      </c>
      <c r="V18" s="40">
        <f t="shared" si="5"/>
        <v>0.37500000000000017</v>
      </c>
      <c r="W18" s="50">
        <f>SUM(Kpt.Mvt_Catri!K18,Kpt.Mvt_Catri!S18)</f>
        <v>520</v>
      </c>
      <c r="X18" s="29">
        <f>SUM(Kpt.Mvt_Catri!L18,Kpt.Mvt_Catri!T18)</f>
        <v>29</v>
      </c>
      <c r="Y18" s="29">
        <f>SUM(Kpt.Mvt_Catri!M18,Kpt.Mvt_Catri!U18)</f>
        <v>36</v>
      </c>
      <c r="Z18" s="29">
        <f>SUM(Kpt.Mvt_Catri!N18,Kpt.Mvt_Catri!V18)</f>
        <v>585</v>
      </c>
      <c r="AA18" s="53"/>
      <c r="AB18" s="29"/>
      <c r="AC18" s="29"/>
      <c r="AD18" s="31"/>
      <c r="AE18" s="50">
        <f t="shared" si="6"/>
        <v>520</v>
      </c>
      <c r="AF18" s="29">
        <f t="shared" si="7"/>
        <v>29</v>
      </c>
      <c r="AG18" s="29">
        <f t="shared" si="8"/>
        <v>36</v>
      </c>
      <c r="AH18" s="29">
        <f t="shared" si="9"/>
        <v>585</v>
      </c>
      <c r="AJ18" s="34">
        <f t="shared" si="17"/>
        <v>0.36458333333333348</v>
      </c>
      <c r="AK18" s="34" t="s">
        <v>1</v>
      </c>
      <c r="AL18" s="40">
        <f t="shared" si="10"/>
        <v>0.37500000000000017</v>
      </c>
      <c r="AM18" s="50">
        <f>SUM(Kpt.Mvt_Catri!W18)</f>
        <v>117</v>
      </c>
      <c r="AN18" s="29">
        <f>SUM(Kpt.Mvt_Catri!X18)</f>
        <v>3</v>
      </c>
      <c r="AO18" s="29">
        <f>SUM(Kpt.Mvt_Catri!Y18)</f>
        <v>5</v>
      </c>
      <c r="AP18" s="29">
        <f>SUM(Kpt.Mvt_Catri!Z18)</f>
        <v>125</v>
      </c>
      <c r="AQ18" s="53">
        <f>SUM(Kpt.Mvt_Catri!G18,Kpt.Mvt_Catri!S18)</f>
        <v>436</v>
      </c>
      <c r="AR18" s="29">
        <f>SUM(Kpt.Mvt_Catri!H18,Kpt.Mvt_Catri!T18)</f>
        <v>19</v>
      </c>
      <c r="AS18" s="29">
        <f>SUM(Kpt.Mvt_Catri!I18,Kpt.Mvt_Catri!U18)</f>
        <v>21</v>
      </c>
      <c r="AT18" s="31">
        <f>SUM(Kpt.Mvt_Catri!J18,Kpt.Mvt_Catri!V18)</f>
        <v>476</v>
      </c>
      <c r="AU18" s="50">
        <f t="shared" si="11"/>
        <v>553</v>
      </c>
      <c r="AV18" s="29">
        <f t="shared" si="12"/>
        <v>22</v>
      </c>
      <c r="AW18" s="29">
        <f t="shared" si="13"/>
        <v>26</v>
      </c>
      <c r="AX18" s="29">
        <f t="shared" si="14"/>
        <v>601</v>
      </c>
    </row>
    <row r="19" spans="2:50" ht="12" customHeight="1" x14ac:dyDescent="0.25">
      <c r="B19" s="8" t="s">
        <v>3</v>
      </c>
      <c r="C19" s="6" t="s">
        <v>66</v>
      </c>
      <c r="D19" s="32">
        <f>Kpt.Mvt_Catri!$D$19</f>
        <v>0.66666666666666663</v>
      </c>
      <c r="E19" s="32" t="s">
        <v>1</v>
      </c>
      <c r="F19" s="37">
        <f t="shared" si="0"/>
        <v>0.67708333333333326</v>
      </c>
      <c r="G19" s="46">
        <f>SUM(Kpt.Mvt_Catri!G19)</f>
        <v>509</v>
      </c>
      <c r="H19" s="16">
        <f>SUM(Kpt.Mvt_Catri!H19)</f>
        <v>22</v>
      </c>
      <c r="I19" s="16">
        <f>SUM(Kpt.Mvt_Catri!I19)</f>
        <v>18</v>
      </c>
      <c r="J19" s="16">
        <f>SUM(Kpt.Mvt_Catri!J19)</f>
        <v>549</v>
      </c>
      <c r="K19" s="45">
        <f>SUM(Kpt.Mvt_Catri!K19,Kpt.Mvt_Catri!W19)</f>
        <v>459</v>
      </c>
      <c r="L19" s="16">
        <f>SUM(Kpt.Mvt_Catri!L19,Kpt.Mvt_Catri!X19)</f>
        <v>21</v>
      </c>
      <c r="M19" s="16">
        <f>SUM(Kpt.Mvt_Catri!M19,Kpt.Mvt_Catri!Y19)</f>
        <v>26</v>
      </c>
      <c r="N19" s="18">
        <f>SUM(Kpt.Mvt_Catri!N19,Kpt.Mvt_Catri!Z19)</f>
        <v>506</v>
      </c>
      <c r="O19" s="46">
        <f t="shared" si="1"/>
        <v>968</v>
      </c>
      <c r="P19" s="16">
        <f t="shared" si="2"/>
        <v>43</v>
      </c>
      <c r="Q19" s="16">
        <f t="shared" si="3"/>
        <v>44</v>
      </c>
      <c r="R19" s="16">
        <f t="shared" si="4"/>
        <v>1055</v>
      </c>
      <c r="T19" s="32">
        <f>D19</f>
        <v>0.66666666666666663</v>
      </c>
      <c r="U19" s="32" t="s">
        <v>1</v>
      </c>
      <c r="V19" s="37">
        <f t="shared" si="5"/>
        <v>0.67708333333333326</v>
      </c>
      <c r="W19" s="46">
        <f>SUM(Kpt.Mvt_Catri!K19,Kpt.Mvt_Catri!S19)</f>
        <v>424</v>
      </c>
      <c r="X19" s="16">
        <f>SUM(Kpt.Mvt_Catri!L19,Kpt.Mvt_Catri!T19)</f>
        <v>23</v>
      </c>
      <c r="Y19" s="16">
        <f>SUM(Kpt.Mvt_Catri!M19,Kpt.Mvt_Catri!U19)</f>
        <v>24</v>
      </c>
      <c r="Z19" s="16">
        <f>SUM(Kpt.Mvt_Catri!N19,Kpt.Mvt_Catri!V19)</f>
        <v>471</v>
      </c>
      <c r="AA19" s="45"/>
      <c r="AB19" s="16"/>
      <c r="AC19" s="16"/>
      <c r="AD19" s="18"/>
      <c r="AE19" s="46">
        <f t="shared" si="6"/>
        <v>424</v>
      </c>
      <c r="AF19" s="16">
        <f t="shared" si="7"/>
        <v>23</v>
      </c>
      <c r="AG19" s="16">
        <f t="shared" si="8"/>
        <v>24</v>
      </c>
      <c r="AH19" s="16">
        <f t="shared" si="9"/>
        <v>471</v>
      </c>
      <c r="AJ19" s="32">
        <f>T19</f>
        <v>0.66666666666666663</v>
      </c>
      <c r="AK19" s="32" t="s">
        <v>1</v>
      </c>
      <c r="AL19" s="37">
        <f t="shared" si="10"/>
        <v>0.67708333333333326</v>
      </c>
      <c r="AM19" s="46">
        <f>SUM(Kpt.Mvt_Catri!W19)</f>
        <v>163</v>
      </c>
      <c r="AN19" s="16">
        <f>SUM(Kpt.Mvt_Catri!X19)</f>
        <v>7</v>
      </c>
      <c r="AO19" s="16">
        <f>SUM(Kpt.Mvt_Catri!Y19)</f>
        <v>10</v>
      </c>
      <c r="AP19" s="16">
        <f>SUM(Kpt.Mvt_Catri!Z19)</f>
        <v>180</v>
      </c>
      <c r="AQ19" s="45">
        <f>SUM(Kpt.Mvt_Catri!G19,Kpt.Mvt_Catri!S19)</f>
        <v>637</v>
      </c>
      <c r="AR19" s="16">
        <f>SUM(Kpt.Mvt_Catri!H19,Kpt.Mvt_Catri!T19)</f>
        <v>31</v>
      </c>
      <c r="AS19" s="16">
        <f>SUM(Kpt.Mvt_Catri!I19,Kpt.Mvt_Catri!U19)</f>
        <v>26</v>
      </c>
      <c r="AT19" s="18">
        <f>SUM(Kpt.Mvt_Catri!J19,Kpt.Mvt_Catri!V19)</f>
        <v>694</v>
      </c>
      <c r="AU19" s="46">
        <f t="shared" si="11"/>
        <v>800</v>
      </c>
      <c r="AV19" s="16">
        <f t="shared" si="12"/>
        <v>38</v>
      </c>
      <c r="AW19" s="16">
        <f t="shared" si="13"/>
        <v>36</v>
      </c>
      <c r="AX19" s="16">
        <f t="shared" si="14"/>
        <v>874</v>
      </c>
    </row>
    <row r="20" spans="2:50" ht="12" customHeight="1" x14ac:dyDescent="0.25">
      <c r="B20" s="8"/>
      <c r="C20" s="6" t="s">
        <v>66</v>
      </c>
      <c r="D20" s="33">
        <f t="shared" ref="D20:D26" si="18">F19</f>
        <v>0.67708333333333326</v>
      </c>
      <c r="E20" s="33" t="s">
        <v>1</v>
      </c>
      <c r="F20" s="38">
        <f t="shared" si="0"/>
        <v>0.68749999999999989</v>
      </c>
      <c r="G20" s="48">
        <f>SUM(Kpt.Mvt_Catri!G20)</f>
        <v>585</v>
      </c>
      <c r="H20" s="25">
        <f>SUM(Kpt.Mvt_Catri!H20)</f>
        <v>19</v>
      </c>
      <c r="I20" s="25">
        <f>SUM(Kpt.Mvt_Catri!I20)</f>
        <v>10</v>
      </c>
      <c r="J20" s="25">
        <f>SUM(Kpt.Mvt_Catri!J20)</f>
        <v>614</v>
      </c>
      <c r="K20" s="47">
        <f>SUM(Kpt.Mvt_Catri!K20,Kpt.Mvt_Catri!W20)</f>
        <v>490</v>
      </c>
      <c r="L20" s="25">
        <f>SUM(Kpt.Mvt_Catri!L20,Kpt.Mvt_Catri!X20)</f>
        <v>23</v>
      </c>
      <c r="M20" s="25">
        <f>SUM(Kpt.Mvt_Catri!M20,Kpt.Mvt_Catri!Y20)</f>
        <v>23</v>
      </c>
      <c r="N20" s="27">
        <f>SUM(Kpt.Mvt_Catri!N20,Kpt.Mvt_Catri!Z20)</f>
        <v>536</v>
      </c>
      <c r="O20" s="48">
        <f t="shared" si="1"/>
        <v>1075</v>
      </c>
      <c r="P20" s="25">
        <f t="shared" si="2"/>
        <v>42</v>
      </c>
      <c r="Q20" s="25">
        <f t="shared" si="3"/>
        <v>33</v>
      </c>
      <c r="R20" s="25">
        <f t="shared" si="4"/>
        <v>1150</v>
      </c>
      <c r="T20" s="33">
        <f t="shared" ref="T20:T26" si="19">V19</f>
        <v>0.67708333333333326</v>
      </c>
      <c r="U20" s="33" t="s">
        <v>1</v>
      </c>
      <c r="V20" s="38">
        <f t="shared" si="5"/>
        <v>0.68749999999999989</v>
      </c>
      <c r="W20" s="48">
        <f>SUM(Kpt.Mvt_Catri!K20,Kpt.Mvt_Catri!S20)</f>
        <v>488</v>
      </c>
      <c r="X20" s="25">
        <f>SUM(Kpt.Mvt_Catri!L20,Kpt.Mvt_Catri!T20)</f>
        <v>25</v>
      </c>
      <c r="Y20" s="25">
        <f>SUM(Kpt.Mvt_Catri!M20,Kpt.Mvt_Catri!U20)</f>
        <v>26</v>
      </c>
      <c r="Z20" s="25">
        <f>SUM(Kpt.Mvt_Catri!N20,Kpt.Mvt_Catri!V20)</f>
        <v>539</v>
      </c>
      <c r="AA20" s="47"/>
      <c r="AB20" s="25"/>
      <c r="AC20" s="25"/>
      <c r="AD20" s="27"/>
      <c r="AE20" s="48">
        <f t="shared" si="6"/>
        <v>488</v>
      </c>
      <c r="AF20" s="25">
        <f t="shared" si="7"/>
        <v>25</v>
      </c>
      <c r="AG20" s="25">
        <f t="shared" si="8"/>
        <v>26</v>
      </c>
      <c r="AH20" s="25">
        <f t="shared" si="9"/>
        <v>539</v>
      </c>
      <c r="AJ20" s="33">
        <f t="shared" ref="AJ20:AJ26" si="20">AL19</f>
        <v>0.67708333333333326</v>
      </c>
      <c r="AK20" s="33" t="s">
        <v>1</v>
      </c>
      <c r="AL20" s="38">
        <f t="shared" si="10"/>
        <v>0.68749999999999989</v>
      </c>
      <c r="AM20" s="48">
        <f>SUM(Kpt.Mvt_Catri!W20)</f>
        <v>162</v>
      </c>
      <c r="AN20" s="25">
        <f>SUM(Kpt.Mvt_Catri!X20)</f>
        <v>8</v>
      </c>
      <c r="AO20" s="25">
        <f>SUM(Kpt.Mvt_Catri!Y20)</f>
        <v>4</v>
      </c>
      <c r="AP20" s="25">
        <f>SUM(Kpt.Mvt_Catri!Z20)</f>
        <v>174</v>
      </c>
      <c r="AQ20" s="47">
        <f>SUM(Kpt.Mvt_Catri!G20,Kpt.Mvt_Catri!S20)</f>
        <v>745</v>
      </c>
      <c r="AR20" s="25">
        <f>SUM(Kpt.Mvt_Catri!H20,Kpt.Mvt_Catri!T20)</f>
        <v>29</v>
      </c>
      <c r="AS20" s="25">
        <f>SUM(Kpt.Mvt_Catri!I20,Kpt.Mvt_Catri!U20)</f>
        <v>17</v>
      </c>
      <c r="AT20" s="27">
        <f>SUM(Kpt.Mvt_Catri!J20,Kpt.Mvt_Catri!V20)</f>
        <v>791</v>
      </c>
      <c r="AU20" s="48">
        <f t="shared" si="11"/>
        <v>907</v>
      </c>
      <c r="AV20" s="25">
        <f t="shared" si="12"/>
        <v>37</v>
      </c>
      <c r="AW20" s="25">
        <f t="shared" si="13"/>
        <v>21</v>
      </c>
      <c r="AX20" s="25">
        <f t="shared" si="14"/>
        <v>965</v>
      </c>
    </row>
    <row r="21" spans="2:50" ht="12" customHeight="1" x14ac:dyDescent="0.25">
      <c r="B21" s="9" t="s">
        <v>10</v>
      </c>
      <c r="C21" s="6" t="s">
        <v>66</v>
      </c>
      <c r="D21" s="32">
        <f t="shared" si="18"/>
        <v>0.68749999999999989</v>
      </c>
      <c r="E21" s="32" t="s">
        <v>1</v>
      </c>
      <c r="F21" s="37">
        <f t="shared" si="0"/>
        <v>0.69791666666666652</v>
      </c>
      <c r="G21" s="46">
        <f>SUM(Kpt.Mvt_Catri!G21)</f>
        <v>601</v>
      </c>
      <c r="H21" s="16">
        <f>SUM(Kpt.Mvt_Catri!H21)</f>
        <v>25</v>
      </c>
      <c r="I21" s="16">
        <f>SUM(Kpt.Mvt_Catri!I21)</f>
        <v>12</v>
      </c>
      <c r="J21" s="16">
        <f>SUM(Kpt.Mvt_Catri!J21)</f>
        <v>638</v>
      </c>
      <c r="K21" s="45">
        <f>SUM(Kpt.Mvt_Catri!K21,Kpt.Mvt_Catri!W21)</f>
        <v>571</v>
      </c>
      <c r="L21" s="16">
        <f>SUM(Kpt.Mvt_Catri!L21,Kpt.Mvt_Catri!X21)</f>
        <v>26</v>
      </c>
      <c r="M21" s="16">
        <f>SUM(Kpt.Mvt_Catri!M21,Kpt.Mvt_Catri!Y21)</f>
        <v>16</v>
      </c>
      <c r="N21" s="18">
        <f>SUM(Kpt.Mvt_Catri!N21,Kpt.Mvt_Catri!Z21)</f>
        <v>613</v>
      </c>
      <c r="O21" s="46">
        <f t="shared" si="1"/>
        <v>1172</v>
      </c>
      <c r="P21" s="16">
        <f t="shared" si="2"/>
        <v>51</v>
      </c>
      <c r="Q21" s="16">
        <f t="shared" si="3"/>
        <v>28</v>
      </c>
      <c r="R21" s="16">
        <f t="shared" si="4"/>
        <v>1251</v>
      </c>
      <c r="T21" s="32">
        <f t="shared" si="19"/>
        <v>0.68749999999999989</v>
      </c>
      <c r="U21" s="32" t="s">
        <v>1</v>
      </c>
      <c r="V21" s="37">
        <f t="shared" si="5"/>
        <v>0.69791666666666652</v>
      </c>
      <c r="W21" s="46">
        <f>SUM(Kpt.Mvt_Catri!K21,Kpt.Mvt_Catri!S21)</f>
        <v>491</v>
      </c>
      <c r="X21" s="16">
        <f>SUM(Kpt.Mvt_Catri!L21,Kpt.Mvt_Catri!T21)</f>
        <v>21</v>
      </c>
      <c r="Y21" s="16">
        <f>SUM(Kpt.Mvt_Catri!M21,Kpt.Mvt_Catri!U21)</f>
        <v>15</v>
      </c>
      <c r="Z21" s="16">
        <f>SUM(Kpt.Mvt_Catri!N21,Kpt.Mvt_Catri!V21)</f>
        <v>527</v>
      </c>
      <c r="AA21" s="45"/>
      <c r="AB21" s="16"/>
      <c r="AC21" s="16"/>
      <c r="AD21" s="18"/>
      <c r="AE21" s="46">
        <f t="shared" si="6"/>
        <v>491</v>
      </c>
      <c r="AF21" s="16">
        <f t="shared" si="7"/>
        <v>21</v>
      </c>
      <c r="AG21" s="16">
        <f t="shared" si="8"/>
        <v>15</v>
      </c>
      <c r="AH21" s="16">
        <f t="shared" si="9"/>
        <v>527</v>
      </c>
      <c r="AJ21" s="32">
        <f t="shared" si="20"/>
        <v>0.68749999999999989</v>
      </c>
      <c r="AK21" s="32" t="s">
        <v>1</v>
      </c>
      <c r="AL21" s="37">
        <f t="shared" si="10"/>
        <v>0.69791666666666652</v>
      </c>
      <c r="AM21" s="46">
        <f>SUM(Kpt.Mvt_Catri!W21)</f>
        <v>231</v>
      </c>
      <c r="AN21" s="16">
        <f>SUM(Kpt.Mvt_Catri!X21)</f>
        <v>9</v>
      </c>
      <c r="AO21" s="16">
        <f>SUM(Kpt.Mvt_Catri!Y21)</f>
        <v>8</v>
      </c>
      <c r="AP21" s="16">
        <f>SUM(Kpt.Mvt_Catri!Z21)</f>
        <v>248</v>
      </c>
      <c r="AQ21" s="45">
        <f>SUM(Kpt.Mvt_Catri!G21,Kpt.Mvt_Catri!S21)</f>
        <v>752</v>
      </c>
      <c r="AR21" s="16">
        <f>SUM(Kpt.Mvt_Catri!H21,Kpt.Mvt_Catri!T21)</f>
        <v>29</v>
      </c>
      <c r="AS21" s="16">
        <f>SUM(Kpt.Mvt_Catri!I21,Kpt.Mvt_Catri!U21)</f>
        <v>19</v>
      </c>
      <c r="AT21" s="18">
        <f>SUM(Kpt.Mvt_Catri!J21,Kpt.Mvt_Catri!V21)</f>
        <v>800</v>
      </c>
      <c r="AU21" s="46">
        <f t="shared" si="11"/>
        <v>983</v>
      </c>
      <c r="AV21" s="16">
        <f t="shared" si="12"/>
        <v>38</v>
      </c>
      <c r="AW21" s="16">
        <f t="shared" si="13"/>
        <v>27</v>
      </c>
      <c r="AX21" s="16">
        <f t="shared" si="14"/>
        <v>1048</v>
      </c>
    </row>
    <row r="22" spans="2:50" ht="12" customHeight="1" x14ac:dyDescent="0.25">
      <c r="B22" s="8"/>
      <c r="C22" s="6" t="s">
        <v>66</v>
      </c>
      <c r="D22" s="33">
        <f t="shared" si="18"/>
        <v>0.69791666666666652</v>
      </c>
      <c r="E22" s="33" t="s">
        <v>1</v>
      </c>
      <c r="F22" s="38">
        <f t="shared" si="0"/>
        <v>0.70833333333333315</v>
      </c>
      <c r="G22" s="48">
        <f>SUM(Kpt.Mvt_Catri!G22)</f>
        <v>660</v>
      </c>
      <c r="H22" s="25">
        <f>SUM(Kpt.Mvt_Catri!H22)</f>
        <v>22</v>
      </c>
      <c r="I22" s="25">
        <f>SUM(Kpt.Mvt_Catri!I22)</f>
        <v>7</v>
      </c>
      <c r="J22" s="25">
        <f>SUM(Kpt.Mvt_Catri!J22)</f>
        <v>689</v>
      </c>
      <c r="K22" s="47">
        <f>SUM(Kpt.Mvt_Catri!K22,Kpt.Mvt_Catri!W22)</f>
        <v>632</v>
      </c>
      <c r="L22" s="25">
        <f>SUM(Kpt.Mvt_Catri!L22,Kpt.Mvt_Catri!X22)</f>
        <v>20</v>
      </c>
      <c r="M22" s="25">
        <f>SUM(Kpt.Mvt_Catri!M22,Kpt.Mvt_Catri!Y22)</f>
        <v>19</v>
      </c>
      <c r="N22" s="27">
        <f>SUM(Kpt.Mvt_Catri!N22,Kpt.Mvt_Catri!Z22)</f>
        <v>671</v>
      </c>
      <c r="O22" s="48">
        <f t="shared" si="1"/>
        <v>1292</v>
      </c>
      <c r="P22" s="25">
        <f t="shared" si="2"/>
        <v>42</v>
      </c>
      <c r="Q22" s="25">
        <f t="shared" si="3"/>
        <v>26</v>
      </c>
      <c r="R22" s="25">
        <f t="shared" si="4"/>
        <v>1360</v>
      </c>
      <c r="T22" s="33">
        <f t="shared" si="19"/>
        <v>0.69791666666666652</v>
      </c>
      <c r="U22" s="33" t="s">
        <v>1</v>
      </c>
      <c r="V22" s="38">
        <f t="shared" si="5"/>
        <v>0.70833333333333315</v>
      </c>
      <c r="W22" s="48">
        <f>SUM(Kpt.Mvt_Catri!K22,Kpt.Mvt_Catri!S22)</f>
        <v>544</v>
      </c>
      <c r="X22" s="25">
        <f>SUM(Kpt.Mvt_Catri!L22,Kpt.Mvt_Catri!T22)</f>
        <v>18</v>
      </c>
      <c r="Y22" s="25">
        <f>SUM(Kpt.Mvt_Catri!M22,Kpt.Mvt_Catri!U22)</f>
        <v>19</v>
      </c>
      <c r="Z22" s="25">
        <f>SUM(Kpt.Mvt_Catri!N22,Kpt.Mvt_Catri!V22)</f>
        <v>581</v>
      </c>
      <c r="AA22" s="47"/>
      <c r="AB22" s="25"/>
      <c r="AC22" s="25"/>
      <c r="AD22" s="27"/>
      <c r="AE22" s="48">
        <f t="shared" si="6"/>
        <v>544</v>
      </c>
      <c r="AF22" s="25">
        <f t="shared" si="7"/>
        <v>18</v>
      </c>
      <c r="AG22" s="25">
        <f t="shared" si="8"/>
        <v>19</v>
      </c>
      <c r="AH22" s="25">
        <f t="shared" si="9"/>
        <v>581</v>
      </c>
      <c r="AJ22" s="33">
        <f t="shared" si="20"/>
        <v>0.69791666666666652</v>
      </c>
      <c r="AK22" s="33" t="s">
        <v>1</v>
      </c>
      <c r="AL22" s="38">
        <f t="shared" si="10"/>
        <v>0.70833333333333315</v>
      </c>
      <c r="AM22" s="48">
        <f>SUM(Kpt.Mvt_Catri!W22)</f>
        <v>254</v>
      </c>
      <c r="AN22" s="25">
        <f>SUM(Kpt.Mvt_Catri!X22)</f>
        <v>3</v>
      </c>
      <c r="AO22" s="25">
        <f>SUM(Kpt.Mvt_Catri!Y22)</f>
        <v>3</v>
      </c>
      <c r="AP22" s="25">
        <f>SUM(Kpt.Mvt_Catri!Z22)</f>
        <v>260</v>
      </c>
      <c r="AQ22" s="47">
        <f>SUM(Kpt.Mvt_Catri!G22,Kpt.Mvt_Catri!S22)</f>
        <v>826</v>
      </c>
      <c r="AR22" s="25">
        <f>SUM(Kpt.Mvt_Catri!H22,Kpt.Mvt_Catri!T22)</f>
        <v>23</v>
      </c>
      <c r="AS22" s="25">
        <f>SUM(Kpt.Mvt_Catri!I22,Kpt.Mvt_Catri!U22)</f>
        <v>10</v>
      </c>
      <c r="AT22" s="27">
        <f>SUM(Kpt.Mvt_Catri!J22,Kpt.Mvt_Catri!V22)</f>
        <v>859</v>
      </c>
      <c r="AU22" s="48">
        <f t="shared" si="11"/>
        <v>1080</v>
      </c>
      <c r="AV22" s="25">
        <f t="shared" si="12"/>
        <v>26</v>
      </c>
      <c r="AW22" s="25">
        <f t="shared" si="13"/>
        <v>13</v>
      </c>
      <c r="AX22" s="25">
        <f t="shared" si="14"/>
        <v>1119</v>
      </c>
    </row>
    <row r="23" spans="2:50" ht="12" customHeight="1" x14ac:dyDescent="0.25">
      <c r="B23" s="8"/>
      <c r="C23" s="6" t="s">
        <v>66</v>
      </c>
      <c r="D23" s="32">
        <f t="shared" si="18"/>
        <v>0.70833333333333315</v>
      </c>
      <c r="E23" s="32" t="s">
        <v>1</v>
      </c>
      <c r="F23" s="37">
        <f t="shared" si="0"/>
        <v>0.71874999999999978</v>
      </c>
      <c r="G23" s="46">
        <f>SUM(Kpt.Mvt_Catri!G23)</f>
        <v>654</v>
      </c>
      <c r="H23" s="16">
        <f>SUM(Kpt.Mvt_Catri!H23)</f>
        <v>12</v>
      </c>
      <c r="I23" s="16">
        <f>SUM(Kpt.Mvt_Catri!I23)</f>
        <v>11</v>
      </c>
      <c r="J23" s="16">
        <f>SUM(Kpt.Mvt_Catri!J23)</f>
        <v>677</v>
      </c>
      <c r="K23" s="45">
        <f>SUM(Kpt.Mvt_Catri!K23,Kpt.Mvt_Catri!W23)</f>
        <v>660</v>
      </c>
      <c r="L23" s="16">
        <f>SUM(Kpt.Mvt_Catri!L23,Kpt.Mvt_Catri!X23)</f>
        <v>18</v>
      </c>
      <c r="M23" s="16">
        <f>SUM(Kpt.Mvt_Catri!M23,Kpt.Mvt_Catri!Y23)</f>
        <v>24</v>
      </c>
      <c r="N23" s="18">
        <f>SUM(Kpt.Mvt_Catri!N23,Kpt.Mvt_Catri!Z23)</f>
        <v>702</v>
      </c>
      <c r="O23" s="46">
        <f t="shared" si="1"/>
        <v>1314</v>
      </c>
      <c r="P23" s="16">
        <f t="shared" si="2"/>
        <v>30</v>
      </c>
      <c r="Q23" s="16">
        <f t="shared" si="3"/>
        <v>35</v>
      </c>
      <c r="R23" s="16">
        <f t="shared" si="4"/>
        <v>1379</v>
      </c>
      <c r="T23" s="32">
        <f t="shared" si="19"/>
        <v>0.70833333333333315</v>
      </c>
      <c r="U23" s="32" t="s">
        <v>1</v>
      </c>
      <c r="V23" s="37">
        <f t="shared" si="5"/>
        <v>0.71874999999999978</v>
      </c>
      <c r="W23" s="46">
        <f>SUM(Kpt.Mvt_Catri!K23,Kpt.Mvt_Catri!S23)</f>
        <v>549</v>
      </c>
      <c r="X23" s="16">
        <f>SUM(Kpt.Mvt_Catri!L23,Kpt.Mvt_Catri!T23)</f>
        <v>15</v>
      </c>
      <c r="Y23" s="16">
        <f>SUM(Kpt.Mvt_Catri!M23,Kpt.Mvt_Catri!U23)</f>
        <v>25</v>
      </c>
      <c r="Z23" s="16">
        <f>SUM(Kpt.Mvt_Catri!N23,Kpt.Mvt_Catri!V23)</f>
        <v>589</v>
      </c>
      <c r="AA23" s="45"/>
      <c r="AB23" s="16"/>
      <c r="AC23" s="16"/>
      <c r="AD23" s="18"/>
      <c r="AE23" s="46">
        <f t="shared" si="6"/>
        <v>549</v>
      </c>
      <c r="AF23" s="16">
        <f t="shared" si="7"/>
        <v>15</v>
      </c>
      <c r="AG23" s="16">
        <f t="shared" si="8"/>
        <v>25</v>
      </c>
      <c r="AH23" s="16">
        <f t="shared" si="9"/>
        <v>589</v>
      </c>
      <c r="AJ23" s="32">
        <f t="shared" si="20"/>
        <v>0.70833333333333315</v>
      </c>
      <c r="AK23" s="32" t="s">
        <v>1</v>
      </c>
      <c r="AL23" s="37">
        <f t="shared" si="10"/>
        <v>0.71874999999999978</v>
      </c>
      <c r="AM23" s="46">
        <f>SUM(Kpt.Mvt_Catri!W23)</f>
        <v>266</v>
      </c>
      <c r="AN23" s="16">
        <f>SUM(Kpt.Mvt_Catri!X23)</f>
        <v>7</v>
      </c>
      <c r="AO23" s="16">
        <f>SUM(Kpt.Mvt_Catri!Y23)</f>
        <v>5</v>
      </c>
      <c r="AP23" s="16">
        <f>SUM(Kpt.Mvt_Catri!Z23)</f>
        <v>278</v>
      </c>
      <c r="AQ23" s="45">
        <f>SUM(Kpt.Mvt_Catri!G23,Kpt.Mvt_Catri!S23)</f>
        <v>809</v>
      </c>
      <c r="AR23" s="16">
        <f>SUM(Kpt.Mvt_Catri!H23,Kpt.Mvt_Catri!T23)</f>
        <v>16</v>
      </c>
      <c r="AS23" s="16">
        <f>SUM(Kpt.Mvt_Catri!I23,Kpt.Mvt_Catri!U23)</f>
        <v>17</v>
      </c>
      <c r="AT23" s="18">
        <f>SUM(Kpt.Mvt_Catri!J23,Kpt.Mvt_Catri!V23)</f>
        <v>842</v>
      </c>
      <c r="AU23" s="46">
        <f t="shared" si="11"/>
        <v>1075</v>
      </c>
      <c r="AV23" s="16">
        <f t="shared" si="12"/>
        <v>23</v>
      </c>
      <c r="AW23" s="16">
        <f t="shared" si="13"/>
        <v>22</v>
      </c>
      <c r="AX23" s="16">
        <f t="shared" si="14"/>
        <v>1120</v>
      </c>
    </row>
    <row r="24" spans="2:50" ht="12" customHeight="1" x14ac:dyDescent="0.25">
      <c r="B24" s="8"/>
      <c r="C24" s="6" t="s">
        <v>66</v>
      </c>
      <c r="D24" s="33">
        <f t="shared" si="18"/>
        <v>0.71874999999999978</v>
      </c>
      <c r="E24" s="33" t="s">
        <v>1</v>
      </c>
      <c r="F24" s="38">
        <f t="shared" si="0"/>
        <v>0.72916666666666641</v>
      </c>
      <c r="G24" s="48">
        <f>SUM(Kpt.Mvt_Catri!G24)</f>
        <v>683</v>
      </c>
      <c r="H24" s="25">
        <f>SUM(Kpt.Mvt_Catri!H24)</f>
        <v>19</v>
      </c>
      <c r="I24" s="25">
        <f>SUM(Kpt.Mvt_Catri!I24)</f>
        <v>11</v>
      </c>
      <c r="J24" s="25">
        <f>SUM(Kpt.Mvt_Catri!J24)</f>
        <v>713</v>
      </c>
      <c r="K24" s="47">
        <f>SUM(Kpt.Mvt_Catri!K24,Kpt.Mvt_Catri!W24)</f>
        <v>651</v>
      </c>
      <c r="L24" s="25">
        <f>SUM(Kpt.Mvt_Catri!L24,Kpt.Mvt_Catri!X24)</f>
        <v>16</v>
      </c>
      <c r="M24" s="25">
        <f>SUM(Kpt.Mvt_Catri!M24,Kpt.Mvt_Catri!Y24)</f>
        <v>14</v>
      </c>
      <c r="N24" s="27">
        <f>SUM(Kpt.Mvt_Catri!N24,Kpt.Mvt_Catri!Z24)</f>
        <v>681</v>
      </c>
      <c r="O24" s="48">
        <f t="shared" si="1"/>
        <v>1334</v>
      </c>
      <c r="P24" s="25">
        <f t="shared" si="2"/>
        <v>35</v>
      </c>
      <c r="Q24" s="25">
        <f t="shared" si="3"/>
        <v>25</v>
      </c>
      <c r="R24" s="25">
        <f t="shared" si="4"/>
        <v>1394</v>
      </c>
      <c r="T24" s="33">
        <f t="shared" si="19"/>
        <v>0.71874999999999978</v>
      </c>
      <c r="U24" s="33" t="s">
        <v>1</v>
      </c>
      <c r="V24" s="38">
        <f t="shared" si="5"/>
        <v>0.72916666666666641</v>
      </c>
      <c r="W24" s="48">
        <f>SUM(Kpt.Mvt_Catri!K24,Kpt.Mvt_Catri!S24)</f>
        <v>577</v>
      </c>
      <c r="X24" s="25">
        <f>SUM(Kpt.Mvt_Catri!L24,Kpt.Mvt_Catri!T24)</f>
        <v>17</v>
      </c>
      <c r="Y24" s="25">
        <f>SUM(Kpt.Mvt_Catri!M24,Kpt.Mvt_Catri!U24)</f>
        <v>15</v>
      </c>
      <c r="Z24" s="25">
        <f>SUM(Kpt.Mvt_Catri!N24,Kpt.Mvt_Catri!V24)</f>
        <v>609</v>
      </c>
      <c r="AA24" s="47"/>
      <c r="AB24" s="25"/>
      <c r="AC24" s="25"/>
      <c r="AD24" s="27"/>
      <c r="AE24" s="48">
        <f t="shared" si="6"/>
        <v>577</v>
      </c>
      <c r="AF24" s="25">
        <f t="shared" si="7"/>
        <v>17</v>
      </c>
      <c r="AG24" s="25">
        <f t="shared" si="8"/>
        <v>15</v>
      </c>
      <c r="AH24" s="25">
        <f t="shared" si="9"/>
        <v>609</v>
      </c>
      <c r="AJ24" s="33">
        <f t="shared" si="20"/>
        <v>0.71874999999999978</v>
      </c>
      <c r="AK24" s="33" t="s">
        <v>1</v>
      </c>
      <c r="AL24" s="38">
        <f t="shared" si="10"/>
        <v>0.72916666666666641</v>
      </c>
      <c r="AM24" s="48">
        <f>SUM(Kpt.Mvt_Catri!W24)</f>
        <v>239</v>
      </c>
      <c r="AN24" s="25">
        <f>SUM(Kpt.Mvt_Catri!X24)</f>
        <v>5</v>
      </c>
      <c r="AO24" s="25">
        <f>SUM(Kpt.Mvt_Catri!Y24)</f>
        <v>3</v>
      </c>
      <c r="AP24" s="25">
        <f>SUM(Kpt.Mvt_Catri!Z24)</f>
        <v>247</v>
      </c>
      <c r="AQ24" s="47">
        <f>SUM(Kpt.Mvt_Catri!G24,Kpt.Mvt_Catri!S24)</f>
        <v>848</v>
      </c>
      <c r="AR24" s="25">
        <f>SUM(Kpt.Mvt_Catri!H24,Kpt.Mvt_Catri!T24)</f>
        <v>25</v>
      </c>
      <c r="AS24" s="25">
        <f>SUM(Kpt.Mvt_Catri!I24,Kpt.Mvt_Catri!U24)</f>
        <v>15</v>
      </c>
      <c r="AT24" s="27">
        <f>SUM(Kpt.Mvt_Catri!J24,Kpt.Mvt_Catri!V24)</f>
        <v>888</v>
      </c>
      <c r="AU24" s="48">
        <f t="shared" si="11"/>
        <v>1087</v>
      </c>
      <c r="AV24" s="25">
        <f t="shared" si="12"/>
        <v>30</v>
      </c>
      <c r="AW24" s="25">
        <f t="shared" si="13"/>
        <v>18</v>
      </c>
      <c r="AX24" s="25">
        <f t="shared" si="14"/>
        <v>1135</v>
      </c>
    </row>
    <row r="25" spans="2:50" ht="12" customHeight="1" x14ac:dyDescent="0.25">
      <c r="B25" s="8"/>
      <c r="C25" s="6" t="s">
        <v>66</v>
      </c>
      <c r="D25" s="32">
        <f t="shared" si="18"/>
        <v>0.72916666666666641</v>
      </c>
      <c r="E25" s="32" t="s">
        <v>1</v>
      </c>
      <c r="F25" s="37">
        <f t="shared" si="0"/>
        <v>0.73958333333333304</v>
      </c>
      <c r="G25" s="46">
        <f>SUM(Kpt.Mvt_Catri!G25)</f>
        <v>708</v>
      </c>
      <c r="H25" s="16">
        <f>SUM(Kpt.Mvt_Catri!H25)</f>
        <v>19</v>
      </c>
      <c r="I25" s="16">
        <f>SUM(Kpt.Mvt_Catri!I25)</f>
        <v>4</v>
      </c>
      <c r="J25" s="16">
        <f>SUM(Kpt.Mvt_Catri!J25)</f>
        <v>731</v>
      </c>
      <c r="K25" s="45">
        <f>SUM(Kpt.Mvt_Catri!K25,Kpt.Mvt_Catri!W25)</f>
        <v>597</v>
      </c>
      <c r="L25" s="16">
        <f>SUM(Kpt.Mvt_Catri!L25,Kpt.Mvt_Catri!X25)</f>
        <v>18</v>
      </c>
      <c r="M25" s="16">
        <f>SUM(Kpt.Mvt_Catri!M25,Kpt.Mvt_Catri!Y25)</f>
        <v>17</v>
      </c>
      <c r="N25" s="18">
        <f>SUM(Kpt.Mvt_Catri!N25,Kpt.Mvt_Catri!Z25)</f>
        <v>632</v>
      </c>
      <c r="O25" s="46">
        <f t="shared" si="1"/>
        <v>1305</v>
      </c>
      <c r="P25" s="16">
        <f t="shared" si="2"/>
        <v>37</v>
      </c>
      <c r="Q25" s="16">
        <f t="shared" si="3"/>
        <v>21</v>
      </c>
      <c r="R25" s="16">
        <f t="shared" si="4"/>
        <v>1363</v>
      </c>
      <c r="T25" s="32">
        <f t="shared" si="19"/>
        <v>0.72916666666666641</v>
      </c>
      <c r="U25" s="32" t="s">
        <v>1</v>
      </c>
      <c r="V25" s="37">
        <f t="shared" si="5"/>
        <v>0.73958333333333304</v>
      </c>
      <c r="W25" s="46">
        <f>SUM(Kpt.Mvt_Catri!K25,Kpt.Mvt_Catri!S25)</f>
        <v>575</v>
      </c>
      <c r="X25" s="16">
        <f>SUM(Kpt.Mvt_Catri!L25,Kpt.Mvt_Catri!T25)</f>
        <v>15</v>
      </c>
      <c r="Y25" s="16">
        <f>SUM(Kpt.Mvt_Catri!M25,Kpt.Mvt_Catri!U25)</f>
        <v>22</v>
      </c>
      <c r="Z25" s="16">
        <f>SUM(Kpt.Mvt_Catri!N25,Kpt.Mvt_Catri!V25)</f>
        <v>612</v>
      </c>
      <c r="AA25" s="45"/>
      <c r="AB25" s="16"/>
      <c r="AC25" s="16"/>
      <c r="AD25" s="18"/>
      <c r="AE25" s="46">
        <f t="shared" si="6"/>
        <v>575</v>
      </c>
      <c r="AF25" s="16">
        <f t="shared" si="7"/>
        <v>15</v>
      </c>
      <c r="AG25" s="16">
        <f t="shared" si="8"/>
        <v>22</v>
      </c>
      <c r="AH25" s="16">
        <f t="shared" si="9"/>
        <v>612</v>
      </c>
      <c r="AJ25" s="32">
        <f t="shared" si="20"/>
        <v>0.72916666666666641</v>
      </c>
      <c r="AK25" s="32" t="s">
        <v>1</v>
      </c>
      <c r="AL25" s="37">
        <f t="shared" si="10"/>
        <v>0.73958333333333304</v>
      </c>
      <c r="AM25" s="46">
        <f>SUM(Kpt.Mvt_Catri!W25)</f>
        <v>193</v>
      </c>
      <c r="AN25" s="16">
        <f>SUM(Kpt.Mvt_Catri!X25)</f>
        <v>3</v>
      </c>
      <c r="AO25" s="16">
        <f>SUM(Kpt.Mvt_Catri!Y25)</f>
        <v>3</v>
      </c>
      <c r="AP25" s="16">
        <f>SUM(Kpt.Mvt_Catri!Z25)</f>
        <v>199</v>
      </c>
      <c r="AQ25" s="45">
        <f>SUM(Kpt.Mvt_Catri!G25,Kpt.Mvt_Catri!S25)</f>
        <v>879</v>
      </c>
      <c r="AR25" s="16">
        <f>SUM(Kpt.Mvt_Catri!H25,Kpt.Mvt_Catri!T25)</f>
        <v>19</v>
      </c>
      <c r="AS25" s="16">
        <f>SUM(Kpt.Mvt_Catri!I25,Kpt.Mvt_Catri!U25)</f>
        <v>12</v>
      </c>
      <c r="AT25" s="18">
        <f>SUM(Kpt.Mvt_Catri!J25,Kpt.Mvt_Catri!V25)</f>
        <v>910</v>
      </c>
      <c r="AU25" s="46">
        <f t="shared" si="11"/>
        <v>1072</v>
      </c>
      <c r="AV25" s="16">
        <f t="shared" si="12"/>
        <v>22</v>
      </c>
      <c r="AW25" s="16">
        <f t="shared" si="13"/>
        <v>15</v>
      </c>
      <c r="AX25" s="16">
        <f t="shared" si="14"/>
        <v>1109</v>
      </c>
    </row>
    <row r="26" spans="2:50" ht="12" customHeight="1" x14ac:dyDescent="0.25">
      <c r="B26" s="8"/>
      <c r="C26" s="6" t="s">
        <v>66</v>
      </c>
      <c r="D26" s="33">
        <f t="shared" si="18"/>
        <v>0.73958333333333304</v>
      </c>
      <c r="E26" s="33" t="s">
        <v>1</v>
      </c>
      <c r="F26" s="38">
        <f t="shared" si="0"/>
        <v>0.74999999999999967</v>
      </c>
      <c r="G26" s="48">
        <f>SUM(Kpt.Mvt_Catri!G26)</f>
        <v>642</v>
      </c>
      <c r="H26" s="25">
        <f>SUM(Kpt.Mvt_Catri!H26)</f>
        <v>19</v>
      </c>
      <c r="I26" s="25">
        <f>SUM(Kpt.Mvt_Catri!I26)</f>
        <v>11</v>
      </c>
      <c r="J26" s="25">
        <f>SUM(Kpt.Mvt_Catri!J26)</f>
        <v>672</v>
      </c>
      <c r="K26" s="47">
        <f>SUM(Kpt.Mvt_Catri!K26,Kpt.Mvt_Catri!W26)</f>
        <v>666</v>
      </c>
      <c r="L26" s="25">
        <f>SUM(Kpt.Mvt_Catri!L26,Kpt.Mvt_Catri!X26)</f>
        <v>10</v>
      </c>
      <c r="M26" s="25">
        <f>SUM(Kpt.Mvt_Catri!M26,Kpt.Mvt_Catri!Y26)</f>
        <v>18</v>
      </c>
      <c r="N26" s="27">
        <f>SUM(Kpt.Mvt_Catri!N26,Kpt.Mvt_Catri!Z26)</f>
        <v>694</v>
      </c>
      <c r="O26" s="48">
        <f t="shared" si="1"/>
        <v>1308</v>
      </c>
      <c r="P26" s="25">
        <f t="shared" si="2"/>
        <v>29</v>
      </c>
      <c r="Q26" s="25">
        <f t="shared" si="3"/>
        <v>29</v>
      </c>
      <c r="R26" s="25">
        <f t="shared" si="4"/>
        <v>1366</v>
      </c>
      <c r="T26" s="33">
        <f t="shared" si="19"/>
        <v>0.73958333333333304</v>
      </c>
      <c r="U26" s="33" t="s">
        <v>1</v>
      </c>
      <c r="V26" s="38">
        <f t="shared" si="5"/>
        <v>0.74999999999999967</v>
      </c>
      <c r="W26" s="48">
        <f>SUM(Kpt.Mvt_Catri!K26,Kpt.Mvt_Catri!S26)</f>
        <v>662</v>
      </c>
      <c r="X26" s="25">
        <f>SUM(Kpt.Mvt_Catri!L26,Kpt.Mvt_Catri!T26)</f>
        <v>9</v>
      </c>
      <c r="Y26" s="25">
        <f>SUM(Kpt.Mvt_Catri!M26,Kpt.Mvt_Catri!U26)</f>
        <v>21</v>
      </c>
      <c r="Z26" s="25">
        <f>SUM(Kpt.Mvt_Catri!N26,Kpt.Mvt_Catri!V26)</f>
        <v>692</v>
      </c>
      <c r="AA26" s="47"/>
      <c r="AB26" s="25"/>
      <c r="AC26" s="25"/>
      <c r="AD26" s="27"/>
      <c r="AE26" s="48">
        <f t="shared" si="6"/>
        <v>662</v>
      </c>
      <c r="AF26" s="25">
        <f t="shared" si="7"/>
        <v>9</v>
      </c>
      <c r="AG26" s="25">
        <f t="shared" si="8"/>
        <v>21</v>
      </c>
      <c r="AH26" s="25">
        <f t="shared" si="9"/>
        <v>692</v>
      </c>
      <c r="AJ26" s="33">
        <f t="shared" si="20"/>
        <v>0.73958333333333304</v>
      </c>
      <c r="AK26" s="33" t="s">
        <v>1</v>
      </c>
      <c r="AL26" s="38">
        <f t="shared" si="10"/>
        <v>0.74999999999999967</v>
      </c>
      <c r="AM26" s="48">
        <f>SUM(Kpt.Mvt_Catri!W26)</f>
        <v>188</v>
      </c>
      <c r="AN26" s="25">
        <f>SUM(Kpt.Mvt_Catri!X26)</f>
        <v>3</v>
      </c>
      <c r="AO26" s="25">
        <f>SUM(Kpt.Mvt_Catri!Y26)</f>
        <v>0</v>
      </c>
      <c r="AP26" s="25">
        <f>SUM(Kpt.Mvt_Catri!Z26)</f>
        <v>191</v>
      </c>
      <c r="AQ26" s="47">
        <f>SUM(Kpt.Mvt_Catri!G26,Kpt.Mvt_Catri!S26)</f>
        <v>826</v>
      </c>
      <c r="AR26" s="25">
        <f>SUM(Kpt.Mvt_Catri!H26,Kpt.Mvt_Catri!T26)</f>
        <v>21</v>
      </c>
      <c r="AS26" s="25">
        <f>SUM(Kpt.Mvt_Catri!I26,Kpt.Mvt_Catri!U26)</f>
        <v>14</v>
      </c>
      <c r="AT26" s="27">
        <f>SUM(Kpt.Mvt_Catri!J26,Kpt.Mvt_Catri!V26)</f>
        <v>861</v>
      </c>
      <c r="AU26" s="48">
        <f t="shared" si="11"/>
        <v>1014</v>
      </c>
      <c r="AV26" s="25">
        <f t="shared" si="12"/>
        <v>24</v>
      </c>
      <c r="AW26" s="25">
        <f t="shared" si="13"/>
        <v>14</v>
      </c>
      <c r="AX26" s="25">
        <f t="shared" si="14"/>
        <v>1052</v>
      </c>
    </row>
    <row r="27" spans="2:50" ht="12" customHeight="1" x14ac:dyDescent="0.25">
      <c r="B27" s="8"/>
      <c r="C27" s="6" t="s">
        <v>66</v>
      </c>
      <c r="D27" s="43" t="s">
        <v>15</v>
      </c>
      <c r="E27" s="43"/>
      <c r="F27" s="43"/>
      <c r="G27" s="51"/>
      <c r="H27" s="52"/>
      <c r="I27" s="52"/>
      <c r="J27" s="52"/>
      <c r="K27" s="51"/>
      <c r="L27" s="52"/>
      <c r="M27" s="52"/>
      <c r="N27" s="66"/>
      <c r="O27" s="52"/>
      <c r="P27" s="52"/>
      <c r="Q27" s="52"/>
      <c r="R27" s="52"/>
      <c r="T27" s="43" t="s">
        <v>15</v>
      </c>
      <c r="U27" s="43"/>
      <c r="V27" s="43"/>
      <c r="W27" s="51"/>
      <c r="X27" s="52"/>
      <c r="Y27" s="52"/>
      <c r="Z27" s="52"/>
      <c r="AA27" s="51"/>
      <c r="AB27" s="52"/>
      <c r="AC27" s="52"/>
      <c r="AD27" s="66"/>
      <c r="AE27" s="52"/>
      <c r="AF27" s="52"/>
      <c r="AG27" s="52"/>
      <c r="AH27" s="52"/>
      <c r="AJ27" s="43" t="s">
        <v>15</v>
      </c>
      <c r="AK27" s="43"/>
      <c r="AL27" s="43"/>
      <c r="AM27" s="51"/>
      <c r="AN27" s="52"/>
      <c r="AO27" s="52"/>
      <c r="AP27" s="52"/>
      <c r="AQ27" s="51"/>
      <c r="AR27" s="52"/>
      <c r="AS27" s="52"/>
      <c r="AT27" s="66"/>
      <c r="AU27" s="52"/>
      <c r="AV27" s="52"/>
      <c r="AW27" s="52"/>
      <c r="AX27" s="52"/>
    </row>
    <row r="28" spans="2:50" ht="12" customHeight="1" x14ac:dyDescent="0.25">
      <c r="B28" s="8"/>
      <c r="C28" s="6" t="s">
        <v>66</v>
      </c>
      <c r="D28" s="32">
        <f>D11</f>
        <v>0.29166666666666669</v>
      </c>
      <c r="E28" s="32" t="s">
        <v>1</v>
      </c>
      <c r="F28" s="37">
        <f t="shared" ref="F28:F31" si="21">D28+60/1440</f>
        <v>0.33333333333333337</v>
      </c>
      <c r="G28" s="46">
        <f>SUM(Kpt.Mvt_Catri!G28)</f>
        <v>1663</v>
      </c>
      <c r="H28" s="16">
        <f>SUM(Kpt.Mvt_Catri!H28)</f>
        <v>71</v>
      </c>
      <c r="I28" s="16">
        <f>SUM(Kpt.Mvt_Catri!I28)</f>
        <v>46</v>
      </c>
      <c r="J28" s="16">
        <f>SUM(Kpt.Mvt_Catri!J28)</f>
        <v>1780</v>
      </c>
      <c r="K28" s="45">
        <f>SUM(Kpt.Mvt_Catri!K28,Kpt.Mvt_Catri!W28)</f>
        <v>2959</v>
      </c>
      <c r="L28" s="16">
        <f>SUM(Kpt.Mvt_Catri!L28,Kpt.Mvt_Catri!X28)</f>
        <v>81</v>
      </c>
      <c r="M28" s="16">
        <f>SUM(Kpt.Mvt_Catri!M28,Kpt.Mvt_Catri!Y28)</f>
        <v>85</v>
      </c>
      <c r="N28" s="18">
        <f>SUM(Kpt.Mvt_Catri!N28,Kpt.Mvt_Catri!Z28)</f>
        <v>3125</v>
      </c>
      <c r="O28" s="46">
        <f t="shared" ref="O28:R31" si="22">SUM(G28,K28)</f>
        <v>4622</v>
      </c>
      <c r="P28" s="16">
        <f t="shared" si="22"/>
        <v>152</v>
      </c>
      <c r="Q28" s="16">
        <f t="shared" si="22"/>
        <v>131</v>
      </c>
      <c r="R28" s="16">
        <f t="shared" si="22"/>
        <v>4905</v>
      </c>
      <c r="T28" s="32">
        <f>T11</f>
        <v>0.29166666666666669</v>
      </c>
      <c r="U28" s="32" t="s">
        <v>1</v>
      </c>
      <c r="V28" s="37">
        <f t="shared" ref="V28:V31" si="23">T28+60/1440</f>
        <v>0.33333333333333337</v>
      </c>
      <c r="W28" s="46">
        <f>SUM(Kpt.Mvt_Catri!K28,Kpt.Mvt_Catri!S28)</f>
        <v>2605</v>
      </c>
      <c r="X28" s="16">
        <f>SUM(Kpt.Mvt_Catri!L28,Kpt.Mvt_Catri!T28)</f>
        <v>69</v>
      </c>
      <c r="Y28" s="16">
        <f>SUM(Kpt.Mvt_Catri!M28,Kpt.Mvt_Catri!U28)</f>
        <v>93</v>
      </c>
      <c r="Z28" s="16">
        <f>SUM(Kpt.Mvt_Catri!N28,Kpt.Mvt_Catri!V28)</f>
        <v>2767</v>
      </c>
      <c r="AA28" s="45"/>
      <c r="AB28" s="16"/>
      <c r="AC28" s="16"/>
      <c r="AD28" s="18"/>
      <c r="AE28" s="46">
        <f t="shared" ref="AE28:AH31" si="24">SUM(W28,AA28)</f>
        <v>2605</v>
      </c>
      <c r="AF28" s="16">
        <f t="shared" si="24"/>
        <v>69</v>
      </c>
      <c r="AG28" s="16">
        <f t="shared" si="24"/>
        <v>93</v>
      </c>
      <c r="AH28" s="16">
        <f t="shared" si="24"/>
        <v>2767</v>
      </c>
      <c r="AJ28" s="32">
        <f>AJ11</f>
        <v>0.29166666666666669</v>
      </c>
      <c r="AK28" s="32" t="s">
        <v>1</v>
      </c>
      <c r="AL28" s="37">
        <f t="shared" ref="AL28:AL31" si="25">AJ28+60/1440</f>
        <v>0.33333333333333337</v>
      </c>
      <c r="AM28" s="46">
        <f>SUM(Kpt.Mvt_Catri!W28)</f>
        <v>1013</v>
      </c>
      <c r="AN28" s="16">
        <f>SUM(Kpt.Mvt_Catri!X28)</f>
        <v>33</v>
      </c>
      <c r="AO28" s="16">
        <f>SUM(Kpt.Mvt_Catri!Y28)</f>
        <v>10</v>
      </c>
      <c r="AP28" s="16">
        <f>SUM(Kpt.Mvt_Catri!Z28)</f>
        <v>1056</v>
      </c>
      <c r="AQ28" s="45">
        <f>SUM(Kpt.Mvt_Catri!G28,Kpt.Mvt_Catri!S28)</f>
        <v>2322</v>
      </c>
      <c r="AR28" s="16">
        <f>SUM(Kpt.Mvt_Catri!H28,Kpt.Mvt_Catri!T28)</f>
        <v>92</v>
      </c>
      <c r="AS28" s="16">
        <f>SUM(Kpt.Mvt_Catri!I28,Kpt.Mvt_Catri!U28)</f>
        <v>64</v>
      </c>
      <c r="AT28" s="18">
        <f>SUM(Kpt.Mvt_Catri!J28,Kpt.Mvt_Catri!V28)</f>
        <v>2478</v>
      </c>
      <c r="AU28" s="46">
        <f t="shared" ref="AU28:AW31" si="26">SUM(AM28,AQ28)</f>
        <v>3335</v>
      </c>
      <c r="AV28" s="16">
        <f t="shared" si="26"/>
        <v>125</v>
      </c>
      <c r="AW28" s="16">
        <f t="shared" si="26"/>
        <v>74</v>
      </c>
      <c r="AX28" s="16">
        <f>SUM(AP28,AT28)</f>
        <v>3534</v>
      </c>
    </row>
    <row r="29" spans="2:50" ht="12" customHeight="1" x14ac:dyDescent="0.25">
      <c r="B29" s="8"/>
      <c r="C29" s="6" t="s">
        <v>66</v>
      </c>
      <c r="D29" s="33">
        <f>D15</f>
        <v>0.33333333333333343</v>
      </c>
      <c r="E29" s="33" t="s">
        <v>1</v>
      </c>
      <c r="F29" s="38">
        <f t="shared" si="21"/>
        <v>0.37500000000000011</v>
      </c>
      <c r="G29" s="48">
        <f>SUM(Kpt.Mvt_Catri!G29)</f>
        <v>1487</v>
      </c>
      <c r="H29" s="25">
        <f>SUM(Kpt.Mvt_Catri!H29)</f>
        <v>63</v>
      </c>
      <c r="I29" s="25">
        <f>SUM(Kpt.Mvt_Catri!I29)</f>
        <v>46</v>
      </c>
      <c r="J29" s="25">
        <f>SUM(Kpt.Mvt_Catri!J29)</f>
        <v>1596</v>
      </c>
      <c r="K29" s="47">
        <f>SUM(Kpt.Mvt_Catri!K29,Kpt.Mvt_Catri!W29)</f>
        <v>2713</v>
      </c>
      <c r="L29" s="25">
        <f>SUM(Kpt.Mvt_Catri!L29,Kpt.Mvt_Catri!X29)</f>
        <v>114</v>
      </c>
      <c r="M29" s="25">
        <f>SUM(Kpt.Mvt_Catri!M29,Kpt.Mvt_Catri!Y29)</f>
        <v>103</v>
      </c>
      <c r="N29" s="27">
        <f>SUM(Kpt.Mvt_Catri!N29,Kpt.Mvt_Catri!Z29)</f>
        <v>2930</v>
      </c>
      <c r="O29" s="48">
        <f t="shared" si="22"/>
        <v>4200</v>
      </c>
      <c r="P29" s="25">
        <f t="shared" si="22"/>
        <v>177</v>
      </c>
      <c r="Q29" s="25">
        <f t="shared" si="22"/>
        <v>149</v>
      </c>
      <c r="R29" s="25">
        <f t="shared" si="22"/>
        <v>4526</v>
      </c>
      <c r="T29" s="33">
        <f>T15</f>
        <v>0.33333333333333343</v>
      </c>
      <c r="U29" s="33" t="s">
        <v>1</v>
      </c>
      <c r="V29" s="38">
        <f t="shared" si="23"/>
        <v>0.37500000000000011</v>
      </c>
      <c r="W29" s="48">
        <f>SUM(Kpt.Mvt_Catri!K29,Kpt.Mvt_Catri!S29)</f>
        <v>2481</v>
      </c>
      <c r="X29" s="25">
        <f>SUM(Kpt.Mvt_Catri!L29,Kpt.Mvt_Catri!T29)</f>
        <v>110</v>
      </c>
      <c r="Y29" s="25">
        <f>SUM(Kpt.Mvt_Catri!M29,Kpt.Mvt_Catri!U29)</f>
        <v>117</v>
      </c>
      <c r="Z29" s="25">
        <f>SUM(Kpt.Mvt_Catri!N29,Kpt.Mvt_Catri!V29)</f>
        <v>2708</v>
      </c>
      <c r="AA29" s="47"/>
      <c r="AB29" s="25"/>
      <c r="AC29" s="25"/>
      <c r="AD29" s="27"/>
      <c r="AE29" s="48">
        <f t="shared" si="24"/>
        <v>2481</v>
      </c>
      <c r="AF29" s="25">
        <f t="shared" si="24"/>
        <v>110</v>
      </c>
      <c r="AG29" s="25">
        <f t="shared" si="24"/>
        <v>117</v>
      </c>
      <c r="AH29" s="25">
        <f t="shared" si="24"/>
        <v>2708</v>
      </c>
      <c r="AJ29" s="33">
        <f>AJ15</f>
        <v>0.33333333333333343</v>
      </c>
      <c r="AK29" s="33" t="s">
        <v>1</v>
      </c>
      <c r="AL29" s="38">
        <f t="shared" si="25"/>
        <v>0.37500000000000011</v>
      </c>
      <c r="AM29" s="48">
        <f>SUM(Kpt.Mvt_Catri!W29)</f>
        <v>847</v>
      </c>
      <c r="AN29" s="25">
        <f>SUM(Kpt.Mvt_Catri!X29)</f>
        <v>24</v>
      </c>
      <c r="AO29" s="25">
        <f>SUM(Kpt.Mvt_Catri!Y29)</f>
        <v>11</v>
      </c>
      <c r="AP29" s="25">
        <f>SUM(Kpt.Mvt_Catri!Z29)</f>
        <v>882</v>
      </c>
      <c r="AQ29" s="47">
        <f>SUM(Kpt.Mvt_Catri!G29,Kpt.Mvt_Catri!S29)</f>
        <v>2102</v>
      </c>
      <c r="AR29" s="25">
        <f>SUM(Kpt.Mvt_Catri!H29,Kpt.Mvt_Catri!T29)</f>
        <v>83</v>
      </c>
      <c r="AS29" s="25">
        <f>SUM(Kpt.Mvt_Catri!I29,Kpt.Mvt_Catri!U29)</f>
        <v>71</v>
      </c>
      <c r="AT29" s="27">
        <f>SUM(Kpt.Mvt_Catri!J29,Kpt.Mvt_Catri!V29)</f>
        <v>2256</v>
      </c>
      <c r="AU29" s="48">
        <f t="shared" si="26"/>
        <v>2949</v>
      </c>
      <c r="AV29" s="25">
        <f t="shared" si="26"/>
        <v>107</v>
      </c>
      <c r="AW29" s="25">
        <f t="shared" si="26"/>
        <v>82</v>
      </c>
      <c r="AX29" s="25">
        <f>SUM(AP29,AT29)</f>
        <v>3138</v>
      </c>
    </row>
    <row r="30" spans="2:50" ht="12" customHeight="1" x14ac:dyDescent="0.25">
      <c r="C30" s="6" t="s">
        <v>66</v>
      </c>
      <c r="D30" s="32">
        <f>D19</f>
        <v>0.66666666666666663</v>
      </c>
      <c r="E30" s="32" t="s">
        <v>1</v>
      </c>
      <c r="F30" s="37">
        <f t="shared" si="21"/>
        <v>0.70833333333333326</v>
      </c>
      <c r="G30" s="46">
        <f>SUM(Kpt.Mvt_Catri!G30)</f>
        <v>2355</v>
      </c>
      <c r="H30" s="16">
        <f>SUM(Kpt.Mvt_Catri!H30)</f>
        <v>88</v>
      </c>
      <c r="I30" s="16">
        <f>SUM(Kpt.Mvt_Catri!I30)</f>
        <v>47</v>
      </c>
      <c r="J30" s="16">
        <f>SUM(Kpt.Mvt_Catri!J30)</f>
        <v>2490</v>
      </c>
      <c r="K30" s="45">
        <f>SUM(Kpt.Mvt_Catri!K30,Kpt.Mvt_Catri!W30)</f>
        <v>2152</v>
      </c>
      <c r="L30" s="16">
        <f>SUM(Kpt.Mvt_Catri!L30,Kpt.Mvt_Catri!X30)</f>
        <v>90</v>
      </c>
      <c r="M30" s="16">
        <f>SUM(Kpt.Mvt_Catri!M30,Kpt.Mvt_Catri!Y30)</f>
        <v>84</v>
      </c>
      <c r="N30" s="18">
        <f>SUM(Kpt.Mvt_Catri!N30,Kpt.Mvt_Catri!Z30)</f>
        <v>2326</v>
      </c>
      <c r="O30" s="46">
        <f t="shared" si="22"/>
        <v>4507</v>
      </c>
      <c r="P30" s="16">
        <f t="shared" si="22"/>
        <v>178</v>
      </c>
      <c r="Q30" s="16">
        <f t="shared" si="22"/>
        <v>131</v>
      </c>
      <c r="R30" s="16">
        <f t="shared" si="22"/>
        <v>4816</v>
      </c>
      <c r="T30" s="32">
        <f>T19</f>
        <v>0.66666666666666663</v>
      </c>
      <c r="U30" s="32" t="s">
        <v>1</v>
      </c>
      <c r="V30" s="37">
        <f t="shared" si="23"/>
        <v>0.70833333333333326</v>
      </c>
      <c r="W30" s="46">
        <f>SUM(Kpt.Mvt_Catri!K30,Kpt.Mvt_Catri!S30)</f>
        <v>1947</v>
      </c>
      <c r="X30" s="16">
        <f>SUM(Kpt.Mvt_Catri!L30,Kpt.Mvt_Catri!T30)</f>
        <v>87</v>
      </c>
      <c r="Y30" s="16">
        <f>SUM(Kpt.Mvt_Catri!M30,Kpt.Mvt_Catri!U30)</f>
        <v>84</v>
      </c>
      <c r="Z30" s="16">
        <f>SUM(Kpt.Mvt_Catri!N30,Kpt.Mvt_Catri!V30)</f>
        <v>2118</v>
      </c>
      <c r="AA30" s="45"/>
      <c r="AB30" s="16"/>
      <c r="AC30" s="16"/>
      <c r="AD30" s="18"/>
      <c r="AE30" s="46">
        <f t="shared" si="24"/>
        <v>1947</v>
      </c>
      <c r="AF30" s="16">
        <f t="shared" si="24"/>
        <v>87</v>
      </c>
      <c r="AG30" s="16">
        <f t="shared" si="24"/>
        <v>84</v>
      </c>
      <c r="AH30" s="16">
        <f t="shared" si="24"/>
        <v>2118</v>
      </c>
      <c r="AJ30" s="32">
        <f>AJ19</f>
        <v>0.66666666666666663</v>
      </c>
      <c r="AK30" s="32" t="s">
        <v>1</v>
      </c>
      <c r="AL30" s="37">
        <f t="shared" si="25"/>
        <v>0.70833333333333326</v>
      </c>
      <c r="AM30" s="46">
        <f>SUM(Kpt.Mvt_Catri!W30)</f>
        <v>810</v>
      </c>
      <c r="AN30" s="16">
        <f>SUM(Kpt.Mvt_Catri!X30)</f>
        <v>27</v>
      </c>
      <c r="AO30" s="16">
        <f>SUM(Kpt.Mvt_Catri!Y30)</f>
        <v>25</v>
      </c>
      <c r="AP30" s="16">
        <f>SUM(Kpt.Mvt_Catri!Z30)</f>
        <v>862</v>
      </c>
      <c r="AQ30" s="45">
        <f>SUM(Kpt.Mvt_Catri!G30,Kpt.Mvt_Catri!S30)</f>
        <v>2960</v>
      </c>
      <c r="AR30" s="16">
        <f>SUM(Kpt.Mvt_Catri!H30,Kpt.Mvt_Catri!T30)</f>
        <v>112</v>
      </c>
      <c r="AS30" s="16">
        <f>SUM(Kpt.Mvt_Catri!I30,Kpt.Mvt_Catri!U30)</f>
        <v>72</v>
      </c>
      <c r="AT30" s="18">
        <f>SUM(Kpt.Mvt_Catri!J30,Kpt.Mvt_Catri!V30)</f>
        <v>3144</v>
      </c>
      <c r="AU30" s="46">
        <f t="shared" si="26"/>
        <v>3770</v>
      </c>
      <c r="AV30" s="16">
        <f t="shared" si="26"/>
        <v>139</v>
      </c>
      <c r="AW30" s="16">
        <f t="shared" si="26"/>
        <v>97</v>
      </c>
      <c r="AX30" s="16">
        <f>SUM(AP30,AT30)</f>
        <v>4006</v>
      </c>
    </row>
    <row r="31" spans="2:50" ht="12" customHeight="1" x14ac:dyDescent="0.25">
      <c r="C31" s="6" t="s">
        <v>66</v>
      </c>
      <c r="D31" s="34">
        <f>D23</f>
        <v>0.70833333333333315</v>
      </c>
      <c r="E31" s="34" t="s">
        <v>1</v>
      </c>
      <c r="F31" s="40">
        <f t="shared" si="21"/>
        <v>0.74999999999999978</v>
      </c>
      <c r="G31" s="50">
        <f>SUM(Kpt.Mvt_Catri!G31)</f>
        <v>2687</v>
      </c>
      <c r="H31" s="29">
        <f>SUM(Kpt.Mvt_Catri!H31)</f>
        <v>69</v>
      </c>
      <c r="I31" s="29">
        <f>SUM(Kpt.Mvt_Catri!I31)</f>
        <v>37</v>
      </c>
      <c r="J31" s="29">
        <f>SUM(Kpt.Mvt_Catri!J31)</f>
        <v>2793</v>
      </c>
      <c r="K31" s="53">
        <f>SUM(Kpt.Mvt_Catri!K31,Kpt.Mvt_Catri!W31)</f>
        <v>2574</v>
      </c>
      <c r="L31" s="29">
        <f>SUM(Kpt.Mvt_Catri!L31,Kpt.Mvt_Catri!X31)</f>
        <v>62</v>
      </c>
      <c r="M31" s="29">
        <f>SUM(Kpt.Mvt_Catri!M31,Kpt.Mvt_Catri!Y31)</f>
        <v>73</v>
      </c>
      <c r="N31" s="31">
        <f>SUM(Kpt.Mvt_Catri!N31,Kpt.Mvt_Catri!Z31)</f>
        <v>2709</v>
      </c>
      <c r="O31" s="50">
        <f t="shared" si="22"/>
        <v>5261</v>
      </c>
      <c r="P31" s="29">
        <f t="shared" si="22"/>
        <v>131</v>
      </c>
      <c r="Q31" s="29">
        <f t="shared" si="22"/>
        <v>110</v>
      </c>
      <c r="R31" s="29">
        <f t="shared" si="22"/>
        <v>5502</v>
      </c>
      <c r="T31" s="34">
        <f>T23</f>
        <v>0.70833333333333315</v>
      </c>
      <c r="U31" s="34" t="s">
        <v>1</v>
      </c>
      <c r="V31" s="40">
        <f t="shared" si="23"/>
        <v>0.74999999999999978</v>
      </c>
      <c r="W31" s="50">
        <f>SUM(Kpt.Mvt_Catri!K31,Kpt.Mvt_Catri!S31)</f>
        <v>2363</v>
      </c>
      <c r="X31" s="29">
        <f>SUM(Kpt.Mvt_Catri!L31,Kpt.Mvt_Catri!T31)</f>
        <v>56</v>
      </c>
      <c r="Y31" s="29">
        <f>SUM(Kpt.Mvt_Catri!M31,Kpt.Mvt_Catri!U31)</f>
        <v>83</v>
      </c>
      <c r="Z31" s="29">
        <f>SUM(Kpt.Mvt_Catri!N31,Kpt.Mvt_Catri!V31)</f>
        <v>2502</v>
      </c>
      <c r="AA31" s="53"/>
      <c r="AB31" s="29"/>
      <c r="AC31" s="29"/>
      <c r="AD31" s="31"/>
      <c r="AE31" s="50">
        <f t="shared" si="24"/>
        <v>2363</v>
      </c>
      <c r="AF31" s="29">
        <f t="shared" si="24"/>
        <v>56</v>
      </c>
      <c r="AG31" s="29">
        <f t="shared" si="24"/>
        <v>83</v>
      </c>
      <c r="AH31" s="29">
        <f t="shared" si="24"/>
        <v>2502</v>
      </c>
      <c r="AJ31" s="34">
        <f>AJ23</f>
        <v>0.70833333333333315</v>
      </c>
      <c r="AK31" s="34" t="s">
        <v>1</v>
      </c>
      <c r="AL31" s="40">
        <f t="shared" si="25"/>
        <v>0.74999999999999978</v>
      </c>
      <c r="AM31" s="50">
        <f>SUM(Kpt.Mvt_Catri!W31)</f>
        <v>886</v>
      </c>
      <c r="AN31" s="29">
        <f>SUM(Kpt.Mvt_Catri!X31)</f>
        <v>18</v>
      </c>
      <c r="AO31" s="29">
        <f>SUM(Kpt.Mvt_Catri!Y31)</f>
        <v>11</v>
      </c>
      <c r="AP31" s="29">
        <f>SUM(Kpt.Mvt_Catri!Z31)</f>
        <v>915</v>
      </c>
      <c r="AQ31" s="53">
        <f>SUM(Kpt.Mvt_Catri!G31,Kpt.Mvt_Catri!S31)</f>
        <v>3362</v>
      </c>
      <c r="AR31" s="29">
        <f>SUM(Kpt.Mvt_Catri!H31,Kpt.Mvt_Catri!T31)</f>
        <v>81</v>
      </c>
      <c r="AS31" s="29">
        <f>SUM(Kpt.Mvt_Catri!I31,Kpt.Mvt_Catri!U31)</f>
        <v>58</v>
      </c>
      <c r="AT31" s="31">
        <f>SUM(Kpt.Mvt_Catri!J31,Kpt.Mvt_Catri!V31)</f>
        <v>3501</v>
      </c>
      <c r="AU31" s="50">
        <f t="shared" si="26"/>
        <v>4248</v>
      </c>
      <c r="AV31" s="29">
        <f t="shared" si="26"/>
        <v>99</v>
      </c>
      <c r="AW31" s="29">
        <f t="shared" si="26"/>
        <v>69</v>
      </c>
      <c r="AX31" s="29">
        <f>SUM(AP31,AT31)</f>
        <v>4416</v>
      </c>
    </row>
    <row r="32" spans="2:50" ht="12" customHeight="1" x14ac:dyDescent="0.25">
      <c r="C32" s="6" t="s">
        <v>66</v>
      </c>
      <c r="D32" s="43" t="s">
        <v>16</v>
      </c>
      <c r="E32" s="43"/>
      <c r="F32" s="43"/>
      <c r="G32" s="51"/>
      <c r="H32" s="52"/>
      <c r="I32" s="52"/>
      <c r="J32" s="52"/>
      <c r="K32" s="51"/>
      <c r="L32" s="52"/>
      <c r="M32" s="52"/>
      <c r="N32" s="66"/>
      <c r="O32" s="52"/>
      <c r="P32" s="52"/>
      <c r="Q32" s="52"/>
      <c r="R32" s="52"/>
      <c r="T32" s="43" t="s">
        <v>16</v>
      </c>
      <c r="U32" s="43"/>
      <c r="V32" s="43"/>
      <c r="W32" s="51"/>
      <c r="X32" s="52"/>
      <c r="Y32" s="52"/>
      <c r="Z32" s="52"/>
      <c r="AA32" s="51"/>
      <c r="AB32" s="52"/>
      <c r="AC32" s="52"/>
      <c r="AD32" s="66"/>
      <c r="AE32" s="52"/>
      <c r="AF32" s="52"/>
      <c r="AG32" s="52"/>
      <c r="AH32" s="52"/>
      <c r="AJ32" s="43" t="s">
        <v>16</v>
      </c>
      <c r="AK32" s="43"/>
      <c r="AL32" s="43"/>
      <c r="AM32" s="51"/>
      <c r="AN32" s="52"/>
      <c r="AO32" s="52"/>
      <c r="AP32" s="52"/>
      <c r="AQ32" s="51"/>
      <c r="AR32" s="52"/>
      <c r="AS32" s="52"/>
      <c r="AT32" s="66"/>
      <c r="AU32" s="52"/>
      <c r="AV32" s="52"/>
      <c r="AW32" s="52"/>
      <c r="AX32" s="52"/>
    </row>
    <row r="33" spans="2:50" ht="12" customHeight="1" x14ac:dyDescent="0.25">
      <c r="C33" s="6" t="s">
        <v>66</v>
      </c>
      <c r="D33" s="32">
        <f>D11</f>
        <v>0.29166666666666669</v>
      </c>
      <c r="E33" s="32" t="s">
        <v>1</v>
      </c>
      <c r="F33" s="37">
        <f>F18</f>
        <v>0.37500000000000017</v>
      </c>
      <c r="G33" s="46">
        <f>SUM(Kpt.Mvt_Catri!G33)</f>
        <v>3150</v>
      </c>
      <c r="H33" s="16">
        <f>SUM(Kpt.Mvt_Catri!H33)</f>
        <v>134</v>
      </c>
      <c r="I33" s="16">
        <f>SUM(Kpt.Mvt_Catri!I33)</f>
        <v>92</v>
      </c>
      <c r="J33" s="16">
        <f>SUM(Kpt.Mvt_Catri!J33)</f>
        <v>3376</v>
      </c>
      <c r="K33" s="45">
        <f>SUM(Kpt.Mvt_Catri!K33,Kpt.Mvt_Catri!W33)</f>
        <v>5672</v>
      </c>
      <c r="L33" s="16">
        <f>SUM(Kpt.Mvt_Catri!L33,Kpt.Mvt_Catri!X33)</f>
        <v>195</v>
      </c>
      <c r="M33" s="16">
        <f>SUM(Kpt.Mvt_Catri!M33,Kpt.Mvt_Catri!Y33)</f>
        <v>188</v>
      </c>
      <c r="N33" s="18">
        <f>SUM(Kpt.Mvt_Catri!N33,Kpt.Mvt_Catri!Z33)</f>
        <v>6055</v>
      </c>
      <c r="O33" s="46">
        <f t="shared" ref="O33:R34" si="27">SUM(G33,K33)</f>
        <v>8822</v>
      </c>
      <c r="P33" s="16">
        <f t="shared" si="27"/>
        <v>329</v>
      </c>
      <c r="Q33" s="16">
        <f t="shared" si="27"/>
        <v>280</v>
      </c>
      <c r="R33" s="16">
        <f t="shared" si="27"/>
        <v>9431</v>
      </c>
      <c r="T33" s="32">
        <f>T11</f>
        <v>0.29166666666666669</v>
      </c>
      <c r="U33" s="32" t="s">
        <v>1</v>
      </c>
      <c r="V33" s="37">
        <f>V18</f>
        <v>0.37500000000000017</v>
      </c>
      <c r="W33" s="46">
        <f>SUM(Kpt.Mvt_Catri!K33,Kpt.Mvt_Catri!S33)</f>
        <v>5086</v>
      </c>
      <c r="X33" s="16">
        <f>SUM(Kpt.Mvt_Catri!L33,Kpt.Mvt_Catri!T33)</f>
        <v>179</v>
      </c>
      <c r="Y33" s="16">
        <f>SUM(Kpt.Mvt_Catri!M33,Kpt.Mvt_Catri!U33)</f>
        <v>210</v>
      </c>
      <c r="Z33" s="16">
        <f>SUM(Kpt.Mvt_Catri!N33,Kpt.Mvt_Catri!V33)</f>
        <v>5475</v>
      </c>
      <c r="AA33" s="45"/>
      <c r="AB33" s="16"/>
      <c r="AC33" s="16"/>
      <c r="AD33" s="18"/>
      <c r="AE33" s="46">
        <f t="shared" ref="AE33:AH34" si="28">SUM(W33,AA33)</f>
        <v>5086</v>
      </c>
      <c r="AF33" s="16">
        <f t="shared" si="28"/>
        <v>179</v>
      </c>
      <c r="AG33" s="16">
        <f t="shared" si="28"/>
        <v>210</v>
      </c>
      <c r="AH33" s="16">
        <f t="shared" si="28"/>
        <v>5475</v>
      </c>
      <c r="AJ33" s="32">
        <f>AJ11</f>
        <v>0.29166666666666669</v>
      </c>
      <c r="AK33" s="32" t="s">
        <v>1</v>
      </c>
      <c r="AL33" s="37">
        <f>AL18</f>
        <v>0.37500000000000017</v>
      </c>
      <c r="AM33" s="46">
        <f>SUM(Kpt.Mvt_Catri!W33)</f>
        <v>1860</v>
      </c>
      <c r="AN33" s="16">
        <f>SUM(Kpt.Mvt_Catri!X33)</f>
        <v>57</v>
      </c>
      <c r="AO33" s="16">
        <f>SUM(Kpt.Mvt_Catri!Y33)</f>
        <v>21</v>
      </c>
      <c r="AP33" s="16">
        <f>SUM(Kpt.Mvt_Catri!Z33)</f>
        <v>1938</v>
      </c>
      <c r="AQ33" s="45">
        <f>SUM(Kpt.Mvt_Catri!G33,Kpt.Mvt_Catri!S33)</f>
        <v>4424</v>
      </c>
      <c r="AR33" s="16">
        <f>SUM(Kpt.Mvt_Catri!H33,Kpt.Mvt_Catri!T33)</f>
        <v>175</v>
      </c>
      <c r="AS33" s="16">
        <f>SUM(Kpt.Mvt_Catri!I33,Kpt.Mvt_Catri!U33)</f>
        <v>135</v>
      </c>
      <c r="AT33" s="18">
        <f>SUM(Kpt.Mvt_Catri!J33,Kpt.Mvt_Catri!V33)</f>
        <v>4734</v>
      </c>
      <c r="AU33" s="46">
        <f t="shared" ref="AU33:AW34" si="29">SUM(AM33,AQ33)</f>
        <v>6284</v>
      </c>
      <c r="AV33" s="16">
        <f t="shared" si="29"/>
        <v>232</v>
      </c>
      <c r="AW33" s="16">
        <f t="shared" si="29"/>
        <v>156</v>
      </c>
      <c r="AX33" s="16">
        <f>SUM(AP33,AT33)</f>
        <v>6672</v>
      </c>
    </row>
    <row r="34" spans="2:50" ht="12" customHeight="1" x14ac:dyDescent="0.25">
      <c r="C34" s="6" t="s">
        <v>66</v>
      </c>
      <c r="D34" s="33">
        <f>D19</f>
        <v>0.66666666666666663</v>
      </c>
      <c r="E34" s="33" t="s">
        <v>1</v>
      </c>
      <c r="F34" s="38">
        <f>F26</f>
        <v>0.74999999999999967</v>
      </c>
      <c r="G34" s="48">
        <f>SUM(Kpt.Mvt_Catri!G34)</f>
        <v>5042</v>
      </c>
      <c r="H34" s="25">
        <f>SUM(Kpt.Mvt_Catri!H34)</f>
        <v>157</v>
      </c>
      <c r="I34" s="25">
        <f>SUM(Kpt.Mvt_Catri!I34)</f>
        <v>84</v>
      </c>
      <c r="J34" s="25">
        <f>SUM(Kpt.Mvt_Catri!J34)</f>
        <v>5283</v>
      </c>
      <c r="K34" s="47">
        <f>SUM(Kpt.Mvt_Catri!K34,Kpt.Mvt_Catri!W34)</f>
        <v>4726</v>
      </c>
      <c r="L34" s="25">
        <f>SUM(Kpt.Mvt_Catri!L34,Kpt.Mvt_Catri!X34)</f>
        <v>152</v>
      </c>
      <c r="M34" s="25">
        <f>SUM(Kpt.Mvt_Catri!M34,Kpt.Mvt_Catri!Y34)</f>
        <v>157</v>
      </c>
      <c r="N34" s="27">
        <f>SUM(Kpt.Mvt_Catri!N34,Kpt.Mvt_Catri!Z34)</f>
        <v>5035</v>
      </c>
      <c r="O34" s="48">
        <f t="shared" si="27"/>
        <v>9768</v>
      </c>
      <c r="P34" s="25">
        <f t="shared" si="27"/>
        <v>309</v>
      </c>
      <c r="Q34" s="25">
        <f t="shared" si="27"/>
        <v>241</v>
      </c>
      <c r="R34" s="25">
        <f t="shared" si="27"/>
        <v>10318</v>
      </c>
      <c r="T34" s="33">
        <f>T19</f>
        <v>0.66666666666666663</v>
      </c>
      <c r="U34" s="33" t="s">
        <v>1</v>
      </c>
      <c r="V34" s="38">
        <f>V26</f>
        <v>0.74999999999999967</v>
      </c>
      <c r="W34" s="48">
        <f>SUM(Kpt.Mvt_Catri!K34,Kpt.Mvt_Catri!S34)</f>
        <v>4310</v>
      </c>
      <c r="X34" s="25">
        <f>SUM(Kpt.Mvt_Catri!L34,Kpt.Mvt_Catri!T34)</f>
        <v>143</v>
      </c>
      <c r="Y34" s="25">
        <f>SUM(Kpt.Mvt_Catri!M34,Kpt.Mvt_Catri!U34)</f>
        <v>167</v>
      </c>
      <c r="Z34" s="25">
        <f>SUM(Kpt.Mvt_Catri!N34,Kpt.Mvt_Catri!V34)</f>
        <v>4620</v>
      </c>
      <c r="AA34" s="47"/>
      <c r="AB34" s="25"/>
      <c r="AC34" s="25"/>
      <c r="AD34" s="27"/>
      <c r="AE34" s="48">
        <f t="shared" si="28"/>
        <v>4310</v>
      </c>
      <c r="AF34" s="25">
        <f t="shared" si="28"/>
        <v>143</v>
      </c>
      <c r="AG34" s="25">
        <f t="shared" si="28"/>
        <v>167</v>
      </c>
      <c r="AH34" s="25">
        <f t="shared" si="28"/>
        <v>4620</v>
      </c>
      <c r="AJ34" s="33">
        <f>AJ19</f>
        <v>0.66666666666666663</v>
      </c>
      <c r="AK34" s="33" t="s">
        <v>1</v>
      </c>
      <c r="AL34" s="38">
        <f>AL26</f>
        <v>0.74999999999999967</v>
      </c>
      <c r="AM34" s="48">
        <f>SUM(Kpt.Mvt_Catri!W34)</f>
        <v>1696</v>
      </c>
      <c r="AN34" s="25">
        <f>SUM(Kpt.Mvt_Catri!X34)</f>
        <v>45</v>
      </c>
      <c r="AO34" s="25">
        <f>SUM(Kpt.Mvt_Catri!Y34)</f>
        <v>36</v>
      </c>
      <c r="AP34" s="25">
        <f>SUM(Kpt.Mvt_Catri!Z34)</f>
        <v>1777</v>
      </c>
      <c r="AQ34" s="47">
        <f>SUM(Kpt.Mvt_Catri!G34,Kpt.Mvt_Catri!S34)</f>
        <v>6322</v>
      </c>
      <c r="AR34" s="25">
        <f>SUM(Kpt.Mvt_Catri!H34,Kpt.Mvt_Catri!T34)</f>
        <v>193</v>
      </c>
      <c r="AS34" s="25">
        <f>SUM(Kpt.Mvt_Catri!I34,Kpt.Mvt_Catri!U34)</f>
        <v>130</v>
      </c>
      <c r="AT34" s="27">
        <f>SUM(Kpt.Mvt_Catri!J34,Kpt.Mvt_Catri!V34)</f>
        <v>6645</v>
      </c>
      <c r="AU34" s="48">
        <f t="shared" si="29"/>
        <v>8018</v>
      </c>
      <c r="AV34" s="25">
        <f t="shared" si="29"/>
        <v>238</v>
      </c>
      <c r="AW34" s="25">
        <f t="shared" si="29"/>
        <v>166</v>
      </c>
      <c r="AX34" s="25">
        <f>SUM(AP34,AT34)</f>
        <v>8422</v>
      </c>
    </row>
    <row r="35" spans="2:50" ht="12" customHeight="1" x14ac:dyDescent="0.25">
      <c r="C35" s="6" t="s">
        <v>66</v>
      </c>
      <c r="D35" s="43" t="s">
        <v>17</v>
      </c>
      <c r="E35" s="43"/>
      <c r="F35" s="43"/>
      <c r="G35" s="51"/>
      <c r="H35" s="52"/>
      <c r="I35" s="52"/>
      <c r="J35" s="52"/>
      <c r="K35" s="51"/>
      <c r="L35" s="52"/>
      <c r="M35" s="52"/>
      <c r="N35" s="66"/>
      <c r="O35" s="52"/>
      <c r="P35" s="52"/>
      <c r="Q35" s="52"/>
      <c r="R35" s="52"/>
      <c r="T35" s="43" t="s">
        <v>17</v>
      </c>
      <c r="U35" s="43"/>
      <c r="V35" s="43"/>
      <c r="W35" s="51"/>
      <c r="X35" s="52"/>
      <c r="Y35" s="52"/>
      <c r="Z35" s="52"/>
      <c r="AA35" s="51"/>
      <c r="AB35" s="52"/>
      <c r="AC35" s="52"/>
      <c r="AD35" s="66"/>
      <c r="AE35" s="52"/>
      <c r="AF35" s="52"/>
      <c r="AG35" s="52"/>
      <c r="AH35" s="52"/>
      <c r="AJ35" s="43" t="s">
        <v>17</v>
      </c>
      <c r="AK35" s="43"/>
      <c r="AL35" s="43"/>
      <c r="AM35" s="51"/>
      <c r="AN35" s="52"/>
      <c r="AO35" s="52"/>
      <c r="AP35" s="52"/>
      <c r="AQ35" s="51"/>
      <c r="AR35" s="52"/>
      <c r="AS35" s="52"/>
      <c r="AT35" s="66"/>
      <c r="AU35" s="52"/>
      <c r="AV35" s="52"/>
      <c r="AW35" s="52"/>
      <c r="AX35" s="52"/>
    </row>
    <row r="36" spans="2:50" ht="12" customHeight="1" x14ac:dyDescent="0.25">
      <c r="C36" s="6" t="s">
        <v>66</v>
      </c>
      <c r="D36" s="32">
        <f>INFO!$B$28</f>
        <v>0.3125</v>
      </c>
      <c r="E36" s="32" t="s">
        <v>1</v>
      </c>
      <c r="F36" s="37">
        <f>D36+60/1440</f>
        <v>0.35416666666666669</v>
      </c>
      <c r="G36" s="46">
        <f ca="1">SUM(Kpt.Mvt_Catri!G36)</f>
        <v>1887</v>
      </c>
      <c r="H36" s="16">
        <f ca="1">SUM(Kpt.Mvt_Catri!H36)</f>
        <v>58</v>
      </c>
      <c r="I36" s="16">
        <f ca="1">SUM(Kpt.Mvt_Catri!I36)</f>
        <v>42</v>
      </c>
      <c r="J36" s="16">
        <f ca="1">SUM(Kpt.Mvt_Catri!J36)</f>
        <v>1987</v>
      </c>
      <c r="K36" s="45">
        <f ca="1">SUM(Kpt.Mvt_Catri!K36,Kpt.Mvt_Catri!W36)</f>
        <v>3339</v>
      </c>
      <c r="L36" s="16">
        <f ca="1">SUM(Kpt.Mvt_Catri!L36,Kpt.Mvt_Catri!X36)</f>
        <v>98</v>
      </c>
      <c r="M36" s="16">
        <f ca="1">SUM(Kpt.Mvt_Catri!M36,Kpt.Mvt_Catri!Y36)</f>
        <v>84</v>
      </c>
      <c r="N36" s="18">
        <f ca="1">SUM(Kpt.Mvt_Catri!N36,Kpt.Mvt_Catri!Z36)</f>
        <v>3521</v>
      </c>
      <c r="O36" s="46">
        <f t="shared" ref="O36:R37" ca="1" si="30">SUM(G36,K36)</f>
        <v>5226</v>
      </c>
      <c r="P36" s="16">
        <f t="shared" ca="1" si="30"/>
        <v>156</v>
      </c>
      <c r="Q36" s="16">
        <f t="shared" ca="1" si="30"/>
        <v>126</v>
      </c>
      <c r="R36" s="16">
        <f t="shared" ca="1" si="30"/>
        <v>5508</v>
      </c>
      <c r="T36" s="32">
        <f>INFO!$B$28</f>
        <v>0.3125</v>
      </c>
      <c r="U36" s="32" t="s">
        <v>1</v>
      </c>
      <c r="V36" s="37">
        <f>T36+60/1440</f>
        <v>0.35416666666666669</v>
      </c>
      <c r="W36" s="46">
        <f ca="1">SUM(Kpt.Mvt_Catri!K36,Kpt.Mvt_Catri!S36)</f>
        <v>2784</v>
      </c>
      <c r="X36" s="16">
        <f ca="1">SUM(Kpt.Mvt_Catri!L36,Kpt.Mvt_Catri!T36)</f>
        <v>86</v>
      </c>
      <c r="Y36" s="16">
        <f ca="1">SUM(Kpt.Mvt_Catri!M36,Kpt.Mvt_Catri!U36)</f>
        <v>95</v>
      </c>
      <c r="Z36" s="16">
        <f ca="1">SUM(Kpt.Mvt_Catri!N36,Kpt.Mvt_Catri!V36)</f>
        <v>2965</v>
      </c>
      <c r="AA36" s="45"/>
      <c r="AB36" s="16"/>
      <c r="AC36" s="16"/>
      <c r="AD36" s="18"/>
      <c r="AE36" s="46">
        <f t="shared" ref="AE36:AH37" ca="1" si="31">SUM(W36,AA36)</f>
        <v>2784</v>
      </c>
      <c r="AF36" s="16">
        <f t="shared" ca="1" si="31"/>
        <v>86</v>
      </c>
      <c r="AG36" s="16">
        <f t="shared" ca="1" si="31"/>
        <v>95</v>
      </c>
      <c r="AH36" s="16">
        <f t="shared" ca="1" si="31"/>
        <v>2965</v>
      </c>
      <c r="AJ36" s="32">
        <f>INFO!$B$28</f>
        <v>0.3125</v>
      </c>
      <c r="AK36" s="32" t="s">
        <v>1</v>
      </c>
      <c r="AL36" s="37">
        <f>AJ36+60/1440</f>
        <v>0.35416666666666669</v>
      </c>
      <c r="AM36" s="46">
        <f ca="1">SUM(Kpt.Mvt_Catri!W36)</f>
        <v>1194</v>
      </c>
      <c r="AN36" s="16">
        <f ca="1">SUM(Kpt.Mvt_Catri!X36)</f>
        <v>29</v>
      </c>
      <c r="AO36" s="16">
        <f ca="1">SUM(Kpt.Mvt_Catri!Y36)</f>
        <v>10</v>
      </c>
      <c r="AP36" s="16">
        <f ca="1">SUM(Kpt.Mvt_Catri!Z36)</f>
        <v>1233</v>
      </c>
      <c r="AQ36" s="45">
        <f ca="1">SUM(Kpt.Mvt_Catri!G36,Kpt.Mvt_Catri!S36)</f>
        <v>2526</v>
      </c>
      <c r="AR36" s="16">
        <f ca="1">SUM(Kpt.Mvt_Catri!H36,Kpt.Mvt_Catri!T36)</f>
        <v>75</v>
      </c>
      <c r="AS36" s="16">
        <f ca="1">SUM(Kpt.Mvt_Catri!I36,Kpt.Mvt_Catri!U36)</f>
        <v>63</v>
      </c>
      <c r="AT36" s="18">
        <f ca="1">SUM(Kpt.Mvt_Catri!J36,Kpt.Mvt_Catri!V36)</f>
        <v>2664</v>
      </c>
      <c r="AU36" s="46">
        <f t="shared" ref="AU36:AW37" ca="1" si="32">SUM(AM36,AQ36)</f>
        <v>3720</v>
      </c>
      <c r="AV36" s="16">
        <f t="shared" ca="1" si="32"/>
        <v>104</v>
      </c>
      <c r="AW36" s="16">
        <f t="shared" ca="1" si="32"/>
        <v>73</v>
      </c>
      <c r="AX36" s="16">
        <f ca="1">SUM(AP36,AT36)</f>
        <v>3897</v>
      </c>
    </row>
    <row r="37" spans="2:50" ht="12" customHeight="1" x14ac:dyDescent="0.25">
      <c r="C37" s="6" t="s">
        <v>66</v>
      </c>
      <c r="D37" s="34">
        <f>INFO!$B$29</f>
        <v>0.69791666666666663</v>
      </c>
      <c r="E37" s="34" t="s">
        <v>1</v>
      </c>
      <c r="F37" s="40">
        <f>D37+60/1440</f>
        <v>0.73958333333333326</v>
      </c>
      <c r="G37" s="50">
        <f ca="1">SUM(Kpt.Mvt_Catri!G37)</f>
        <v>2705</v>
      </c>
      <c r="H37" s="29">
        <f ca="1">SUM(Kpt.Mvt_Catri!H37)</f>
        <v>72</v>
      </c>
      <c r="I37" s="29">
        <f ca="1">SUM(Kpt.Mvt_Catri!I37)</f>
        <v>33</v>
      </c>
      <c r="J37" s="29">
        <f ca="1">SUM(Kpt.Mvt_Catri!J37)</f>
        <v>2810</v>
      </c>
      <c r="K37" s="53">
        <f ca="1">SUM(Kpt.Mvt_Catri!K37,Kpt.Mvt_Catri!W37)</f>
        <v>2540</v>
      </c>
      <c r="L37" s="29">
        <f ca="1">SUM(Kpt.Mvt_Catri!L37,Kpt.Mvt_Catri!X37)</f>
        <v>72</v>
      </c>
      <c r="M37" s="29">
        <f ca="1">SUM(Kpt.Mvt_Catri!M37,Kpt.Mvt_Catri!Y37)</f>
        <v>74</v>
      </c>
      <c r="N37" s="31">
        <f ca="1">SUM(Kpt.Mvt_Catri!N37,Kpt.Mvt_Catri!Z37)</f>
        <v>2686</v>
      </c>
      <c r="O37" s="50">
        <f t="shared" ca="1" si="30"/>
        <v>5245</v>
      </c>
      <c r="P37" s="29">
        <f t="shared" ca="1" si="30"/>
        <v>144</v>
      </c>
      <c r="Q37" s="29">
        <f t="shared" ca="1" si="30"/>
        <v>107</v>
      </c>
      <c r="R37" s="29">
        <f t="shared" ca="1" si="30"/>
        <v>5496</v>
      </c>
      <c r="T37" s="34">
        <f>INFO!$B$29</f>
        <v>0.69791666666666663</v>
      </c>
      <c r="U37" s="34" t="s">
        <v>1</v>
      </c>
      <c r="V37" s="40">
        <f>T37+60/1440</f>
        <v>0.73958333333333326</v>
      </c>
      <c r="W37" s="50">
        <f ca="1">SUM(Kpt.Mvt_Catri!K37,Kpt.Mvt_Catri!S37)</f>
        <v>2245</v>
      </c>
      <c r="X37" s="29">
        <f ca="1">SUM(Kpt.Mvt_Catri!L37,Kpt.Mvt_Catri!T37)</f>
        <v>65</v>
      </c>
      <c r="Y37" s="29">
        <f ca="1">SUM(Kpt.Mvt_Catri!M37,Kpt.Mvt_Catri!U37)</f>
        <v>81</v>
      </c>
      <c r="Z37" s="29">
        <f ca="1">SUM(Kpt.Mvt_Catri!N37,Kpt.Mvt_Catri!V37)</f>
        <v>2391</v>
      </c>
      <c r="AA37" s="53"/>
      <c r="AB37" s="29"/>
      <c r="AC37" s="29"/>
      <c r="AD37" s="31"/>
      <c r="AE37" s="50">
        <f t="shared" ca="1" si="31"/>
        <v>2245</v>
      </c>
      <c r="AF37" s="29">
        <f t="shared" ca="1" si="31"/>
        <v>65</v>
      </c>
      <c r="AG37" s="29">
        <f t="shared" ca="1" si="31"/>
        <v>81</v>
      </c>
      <c r="AH37" s="29">
        <f t="shared" ca="1" si="31"/>
        <v>2391</v>
      </c>
      <c r="AJ37" s="34">
        <f>INFO!$B$29</f>
        <v>0.69791666666666663</v>
      </c>
      <c r="AK37" s="34" t="s">
        <v>1</v>
      </c>
      <c r="AL37" s="40">
        <f>AJ37+60/1440</f>
        <v>0.73958333333333326</v>
      </c>
      <c r="AM37" s="50">
        <f ca="1">SUM(Kpt.Mvt_Catri!W37)</f>
        <v>952</v>
      </c>
      <c r="AN37" s="29">
        <f ca="1">SUM(Kpt.Mvt_Catri!X37)</f>
        <v>18</v>
      </c>
      <c r="AO37" s="29">
        <f ca="1">SUM(Kpt.Mvt_Catri!Y37)</f>
        <v>14</v>
      </c>
      <c r="AP37" s="29">
        <f ca="1">SUM(Kpt.Mvt_Catri!Z37)</f>
        <v>984</v>
      </c>
      <c r="AQ37" s="53">
        <f ca="1">SUM(Kpt.Mvt_Catri!G37,Kpt.Mvt_Catri!S37)</f>
        <v>3362</v>
      </c>
      <c r="AR37" s="29">
        <f ca="1">SUM(Kpt.Mvt_Catri!H37,Kpt.Mvt_Catri!T37)</f>
        <v>83</v>
      </c>
      <c r="AS37" s="29">
        <f ca="1">SUM(Kpt.Mvt_Catri!I37,Kpt.Mvt_Catri!U37)</f>
        <v>54</v>
      </c>
      <c r="AT37" s="31">
        <f ca="1">SUM(Kpt.Mvt_Catri!J37,Kpt.Mvt_Catri!V37)</f>
        <v>3499</v>
      </c>
      <c r="AU37" s="50">
        <f t="shared" ca="1" si="32"/>
        <v>4314</v>
      </c>
      <c r="AV37" s="29">
        <f t="shared" ca="1" si="32"/>
        <v>101</v>
      </c>
      <c r="AW37" s="29">
        <f t="shared" ca="1" si="32"/>
        <v>68</v>
      </c>
      <c r="AX37" s="29">
        <f ca="1">SUM(AP37,AT37)</f>
        <v>4483</v>
      </c>
    </row>
    <row r="38" spans="2:50" ht="12" customHeight="1" x14ac:dyDescent="0.25">
      <c r="B38" s="9" t="s">
        <v>37</v>
      </c>
      <c r="C38" s="6" t="s">
        <v>66</v>
      </c>
    </row>
    <row r="39" spans="2:50" ht="12" customHeight="1" x14ac:dyDescent="0.25">
      <c r="B39" s="5" t="s">
        <v>99</v>
      </c>
      <c r="C39" s="6" t="s">
        <v>66</v>
      </c>
    </row>
    <row r="40" spans="2:50" ht="12" customHeight="1" x14ac:dyDescent="0.25">
      <c r="B40" s="5" t="s">
        <v>100</v>
      </c>
      <c r="C40" s="6" t="s">
        <v>66</v>
      </c>
    </row>
    <row r="41" spans="2:50" ht="12" customHeight="1" x14ac:dyDescent="0.25">
      <c r="B41" s="5" t="s">
        <v>101</v>
      </c>
      <c r="C41" s="6" t="s">
        <v>66</v>
      </c>
    </row>
    <row r="42" spans="2:50" ht="12" customHeight="1" x14ac:dyDescent="0.25">
      <c r="B42" s="5" t="s">
        <v>102</v>
      </c>
      <c r="C42" s="6" t="s">
        <v>66</v>
      </c>
    </row>
    <row r="43" spans="2:50" ht="12" customHeight="1" x14ac:dyDescent="0.25">
      <c r="C43" s="6" t="s">
        <v>66</v>
      </c>
    </row>
    <row r="44" spans="2:50" ht="12" customHeight="1" x14ac:dyDescent="0.25">
      <c r="B44" s="5" t="s">
        <v>119</v>
      </c>
      <c r="C44" s="6" t="s">
        <v>66</v>
      </c>
    </row>
    <row r="45" spans="2:50" ht="12" customHeight="1" x14ac:dyDescent="0.25">
      <c r="B45" s="5" t="s">
        <v>92</v>
      </c>
      <c r="C45" s="6" t="s">
        <v>66</v>
      </c>
    </row>
    <row r="46" spans="2:50" ht="12" customHeight="1" x14ac:dyDescent="0.25">
      <c r="B46" s="5" t="s">
        <v>69</v>
      </c>
      <c r="C46" s="6" t="s">
        <v>66</v>
      </c>
    </row>
    <row r="47" spans="2:50" ht="12" customHeight="1" x14ac:dyDescent="0.25">
      <c r="B47" s="5" t="s">
        <v>93</v>
      </c>
      <c r="C47" s="6" t="s">
        <v>66</v>
      </c>
    </row>
    <row r="48" spans="2:50" ht="12" customHeight="1" x14ac:dyDescent="0.25">
      <c r="B48" s="5" t="s">
        <v>120</v>
      </c>
      <c r="C48" s="6" t="s">
        <v>66</v>
      </c>
    </row>
    <row r="49" spans="2:3" ht="12" customHeight="1" x14ac:dyDescent="0.25">
      <c r="B49" s="5" t="s">
        <v>70</v>
      </c>
      <c r="C49" s="6" t="s">
        <v>66</v>
      </c>
    </row>
    <row r="50" spans="2:3" ht="12" customHeight="1" x14ac:dyDescent="0.25">
      <c r="B50" s="5" t="s">
        <v>121</v>
      </c>
      <c r="C50" s="6" t="s">
        <v>66</v>
      </c>
    </row>
    <row r="51" spans="2:3" ht="12" customHeight="1" x14ac:dyDescent="0.25">
      <c r="B51" s="5" t="s">
        <v>94</v>
      </c>
      <c r="C51" s="6" t="s">
        <v>66</v>
      </c>
    </row>
    <row r="52" spans="2:3" ht="12" customHeight="1" x14ac:dyDescent="0.25">
      <c r="B52" s="5" t="s">
        <v>71</v>
      </c>
      <c r="C52" s="6" t="s">
        <v>66</v>
      </c>
    </row>
    <row r="53" spans="2:3" ht="12" customHeight="1" x14ac:dyDescent="0.25">
      <c r="C53" s="6" t="s">
        <v>66</v>
      </c>
    </row>
    <row r="57" spans="2:3" ht="12" customHeight="1" x14ac:dyDescent="0.2">
      <c r="B57" s="1"/>
    </row>
    <row r="58" spans="2:3" ht="12" customHeight="1" x14ac:dyDescent="0.2">
      <c r="B58" s="1"/>
    </row>
    <row r="59" spans="2:3" ht="12" customHeight="1" x14ac:dyDescent="0.2">
      <c r="B59" s="1"/>
    </row>
    <row r="60" spans="2:3" ht="12" customHeight="1" x14ac:dyDescent="0.2">
      <c r="B60" s="1"/>
    </row>
    <row r="61" spans="2:3" ht="12" customHeight="1" x14ac:dyDescent="0.2">
      <c r="B61" s="1"/>
    </row>
    <row r="62" spans="2:3" ht="12" customHeight="1" x14ac:dyDescent="0.2">
      <c r="B62" s="1"/>
    </row>
    <row r="63" spans="2:3" ht="12" customHeight="1" x14ac:dyDescent="0.2">
      <c r="B63" s="1"/>
    </row>
    <row r="64" spans="2:3" ht="12" customHeight="1" x14ac:dyDescent="0.2">
      <c r="B64" s="1"/>
    </row>
    <row r="65" spans="2:2" ht="12" customHeight="1" x14ac:dyDescent="0.2">
      <c r="B65" s="1"/>
    </row>
    <row r="66" spans="2:2" ht="12" customHeight="1" x14ac:dyDescent="0.2">
      <c r="B66" s="1"/>
    </row>
    <row r="67" spans="2:2" ht="12" customHeight="1" x14ac:dyDescent="0.2">
      <c r="B67" s="1"/>
    </row>
    <row r="68" spans="2:2" ht="12" customHeight="1" x14ac:dyDescent="0.2">
      <c r="B68" s="1"/>
    </row>
    <row r="69" spans="2:2" ht="12" customHeight="1" x14ac:dyDescent="0.2">
      <c r="B69" s="1"/>
    </row>
    <row r="70" spans="2:2" ht="12" customHeight="1" x14ac:dyDescent="0.2">
      <c r="B70" s="1"/>
    </row>
    <row r="71" spans="2:2" ht="12" customHeight="1" x14ac:dyDescent="0.2">
      <c r="B71" s="1"/>
    </row>
  </sheetData>
  <mergeCells count="3">
    <mergeCell ref="D6:R7"/>
    <mergeCell ref="T6:AH7"/>
    <mergeCell ref="AJ6:AX7"/>
  </mergeCells>
  <pageMargins left="0.39370078740157483" right="0.39370078740157483" top="0.59055118110236227" bottom="0.59055118110236227" header="0.31496062992125984" footer="0.39370078740157483"/>
  <pageSetup paperSize="9" scale="75" firstPageNumber="8" orientation="landscape" r:id="rId1"/>
  <headerFooter>
    <oddHeader>&amp;A</oddHeader>
    <oddFooter>&amp;L&amp;"Core Sans NR 45 Regular,Standaard"&amp;12&amp;K03+000&amp;P&amp;R&amp;"Core Sans NR 45 Regular,Vet"&amp;16&amp;K03+000DUFEC</oddFooter>
  </headerFooter>
  <colBreaks count="2" manualBreakCount="2">
    <brk id="19" min="1" max="60" man="1"/>
    <brk id="35" min="1" max="60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AA30"/>
  <sheetViews>
    <sheetView workbookViewId="0">
      <selection activeCell="F4" sqref="F4"/>
    </sheetView>
  </sheetViews>
  <sheetFormatPr defaultRowHeight="11.25" x14ac:dyDescent="0.2"/>
  <cols>
    <col min="1" max="1" width="16" bestFit="1" customWidth="1"/>
    <col min="2" max="2" width="50.83203125" customWidth="1"/>
    <col min="3" max="3" width="8.83203125" customWidth="1"/>
    <col min="6" max="6" width="20.83203125" customWidth="1"/>
    <col min="9" max="12" width="10.83203125" customWidth="1"/>
    <col min="13" max="13" width="14.83203125" bestFit="1" customWidth="1"/>
    <col min="14" max="14" width="20.83203125" customWidth="1"/>
    <col min="15" max="15" width="22.6640625" bestFit="1" customWidth="1"/>
    <col min="16" max="17" width="22.6640625" customWidth="1"/>
    <col min="18" max="23" width="20.83203125" customWidth="1"/>
    <col min="25" max="25" width="9.33203125" style="115"/>
    <col min="27" max="27" width="9.33203125" style="115"/>
  </cols>
  <sheetData>
    <row r="1" spans="1:27" x14ac:dyDescent="0.2">
      <c r="A1" s="94" t="s">
        <v>84</v>
      </c>
      <c r="B1" s="149" t="s">
        <v>91</v>
      </c>
      <c r="C1" s="93"/>
      <c r="D1" s="150" t="s">
        <v>66</v>
      </c>
      <c r="E1" s="97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9"/>
      <c r="Y1" s="97"/>
      <c r="Z1" s="99"/>
      <c r="AA1" s="116"/>
    </row>
    <row r="2" spans="1:27" x14ac:dyDescent="0.2">
      <c r="A2" s="95" t="s">
        <v>25</v>
      </c>
      <c r="B2" s="151">
        <v>1</v>
      </c>
      <c r="C2" s="96"/>
      <c r="D2" s="152" t="s">
        <v>66</v>
      </c>
      <c r="E2" s="100" t="s">
        <v>58</v>
      </c>
      <c r="F2" s="101" t="s">
        <v>26</v>
      </c>
      <c r="G2" s="101" t="s">
        <v>27</v>
      </c>
      <c r="H2" s="101" t="s">
        <v>28</v>
      </c>
      <c r="I2" s="101" t="s">
        <v>38</v>
      </c>
      <c r="J2" s="101" t="s">
        <v>39</v>
      </c>
      <c r="K2" s="101" t="s">
        <v>40</v>
      </c>
      <c r="L2" s="101" t="s">
        <v>41</v>
      </c>
      <c r="M2" s="101" t="s">
        <v>42</v>
      </c>
      <c r="N2" s="101" t="s">
        <v>43</v>
      </c>
      <c r="O2" s="101" t="s">
        <v>45</v>
      </c>
      <c r="P2" s="101" t="s">
        <v>61</v>
      </c>
      <c r="Q2" s="101" t="s">
        <v>63</v>
      </c>
      <c r="R2" s="101" t="s">
        <v>46</v>
      </c>
      <c r="S2" s="101" t="s">
        <v>47</v>
      </c>
      <c r="T2" s="101" t="s">
        <v>48</v>
      </c>
      <c r="U2" s="101" t="s">
        <v>49</v>
      </c>
      <c r="V2" s="101" t="s">
        <v>50</v>
      </c>
      <c r="W2" s="101" t="s">
        <v>51</v>
      </c>
      <c r="X2" s="102" t="s">
        <v>54</v>
      </c>
      <c r="Y2" s="100" t="s">
        <v>55</v>
      </c>
      <c r="Z2" s="102" t="s">
        <v>56</v>
      </c>
      <c r="AA2" s="117" t="s">
        <v>57</v>
      </c>
    </row>
    <row r="3" spans="1:27" x14ac:dyDescent="0.2">
      <c r="A3" s="153" t="s">
        <v>52</v>
      </c>
      <c r="B3" s="154"/>
      <c r="C3" s="155"/>
      <c r="D3" s="152" t="s">
        <v>66</v>
      </c>
      <c r="E3" s="103">
        <v>1</v>
      </c>
      <c r="F3" s="105" t="s">
        <v>136</v>
      </c>
      <c r="G3" s="104" t="s">
        <v>29</v>
      </c>
      <c r="H3" s="104" t="s">
        <v>29</v>
      </c>
      <c r="I3" s="105" t="s">
        <v>110</v>
      </c>
      <c r="J3" s="105" t="s">
        <v>1</v>
      </c>
      <c r="K3" s="105" t="s">
        <v>44</v>
      </c>
      <c r="L3" s="105" t="s">
        <v>111</v>
      </c>
      <c r="M3" s="105" t="s">
        <v>111</v>
      </c>
      <c r="N3" s="105" t="s">
        <v>112</v>
      </c>
      <c r="O3" s="121" t="s">
        <v>113</v>
      </c>
      <c r="P3" s="121" t="s">
        <v>62</v>
      </c>
      <c r="Q3" s="111" t="s">
        <v>114</v>
      </c>
      <c r="R3" s="128"/>
      <c r="S3" s="128" t="s">
        <v>115</v>
      </c>
      <c r="T3" s="128" t="s">
        <v>117</v>
      </c>
      <c r="U3" s="128" t="s">
        <v>116</v>
      </c>
      <c r="V3" s="128"/>
      <c r="W3" s="128"/>
      <c r="X3" s="123">
        <v>0.3125</v>
      </c>
      <c r="Y3" s="112">
        <f>X3+60/1440</f>
        <v>0.35416666666666669</v>
      </c>
      <c r="Z3" s="123">
        <v>0.69791666666666663</v>
      </c>
      <c r="AA3" s="118">
        <f>Z3+60/1440</f>
        <v>0.73958333333333326</v>
      </c>
    </row>
    <row r="4" spans="1:27" x14ac:dyDescent="0.2">
      <c r="A4" s="156" t="s">
        <v>53</v>
      </c>
      <c r="B4" s="157" t="str">
        <f>VLOOKUP($B$2,$E$3:$AA$29,2,0)</f>
        <v>A19 / R8 Knooppunt Kortrijk-West</v>
      </c>
      <c r="C4" s="156"/>
      <c r="D4" s="152" t="s">
        <v>66</v>
      </c>
      <c r="E4" s="106">
        <v>2</v>
      </c>
      <c r="F4" s="108"/>
      <c r="G4" s="107"/>
      <c r="H4" s="107"/>
      <c r="I4" s="108"/>
      <c r="J4" s="108"/>
      <c r="K4" s="108"/>
      <c r="L4" s="108"/>
      <c r="M4" s="108"/>
      <c r="N4" s="108"/>
      <c r="O4" s="122"/>
      <c r="P4" s="122"/>
      <c r="Q4" s="122"/>
      <c r="R4" s="129"/>
      <c r="S4" s="129"/>
      <c r="T4" s="129"/>
      <c r="U4" s="129"/>
      <c r="V4" s="129"/>
      <c r="W4" s="129"/>
      <c r="X4" s="124"/>
      <c r="Y4" s="113">
        <f>X4+60/1440</f>
        <v>4.1666666666666664E-2</v>
      </c>
      <c r="Z4" s="124"/>
      <c r="AA4" s="119">
        <f>Z4+60/1440</f>
        <v>4.1666666666666664E-2</v>
      </c>
    </row>
    <row r="5" spans="1:27" x14ac:dyDescent="0.2">
      <c r="A5" s="156" t="s">
        <v>38</v>
      </c>
      <c r="B5" s="157" t="str">
        <f>VLOOKUP($B$2,$E$3:$AA$29,5,0)</f>
        <v>MDN75-WVL047</v>
      </c>
      <c r="C5" s="158"/>
      <c r="D5" s="152" t="s">
        <v>66</v>
      </c>
      <c r="E5" s="106">
        <v>3</v>
      </c>
      <c r="F5" s="108"/>
      <c r="G5" s="107"/>
      <c r="H5" s="107"/>
      <c r="I5" s="108"/>
      <c r="J5" s="108"/>
      <c r="K5" s="108"/>
      <c r="L5" s="108"/>
      <c r="M5" s="108"/>
      <c r="N5" s="108"/>
      <c r="O5" s="122"/>
      <c r="P5" s="122"/>
      <c r="Q5" s="122"/>
      <c r="R5" s="129"/>
      <c r="S5" s="129"/>
      <c r="T5" s="129"/>
      <c r="U5" s="129"/>
      <c r="V5" s="129"/>
      <c r="W5" s="129"/>
      <c r="X5" s="124"/>
      <c r="Y5" s="113">
        <f t="shared" ref="Y5:AA12" si="0">X5+60/1440</f>
        <v>4.1666666666666664E-2</v>
      </c>
      <c r="Z5" s="124"/>
      <c r="AA5" s="119">
        <f t="shared" si="0"/>
        <v>4.1666666666666664E-2</v>
      </c>
    </row>
    <row r="6" spans="1:27" x14ac:dyDescent="0.2">
      <c r="A6" s="159" t="s">
        <v>39</v>
      </c>
      <c r="B6" s="157" t="str">
        <f>VLOOKUP($B$2,$E$3:$AA$29,6,0)</f>
        <v>-</v>
      </c>
      <c r="C6" s="158"/>
      <c r="D6" s="160" t="s">
        <v>66</v>
      </c>
      <c r="E6" s="106">
        <v>4</v>
      </c>
      <c r="F6" s="108"/>
      <c r="G6" s="107"/>
      <c r="H6" s="107"/>
      <c r="I6" s="108"/>
      <c r="J6" s="108"/>
      <c r="K6" s="108"/>
      <c r="L6" s="108"/>
      <c r="M6" s="108"/>
      <c r="N6" s="108"/>
      <c r="O6" s="122"/>
      <c r="P6" s="122"/>
      <c r="Q6" s="122"/>
      <c r="R6" s="129"/>
      <c r="S6" s="129"/>
      <c r="T6" s="129"/>
      <c r="U6" s="129"/>
      <c r="V6" s="129"/>
      <c r="W6" s="129"/>
      <c r="X6" s="124"/>
      <c r="Y6" s="113">
        <f t="shared" si="0"/>
        <v>4.1666666666666664E-2</v>
      </c>
      <c r="Z6" s="124"/>
      <c r="AA6" s="119">
        <f t="shared" si="0"/>
        <v>4.1666666666666664E-2</v>
      </c>
    </row>
    <row r="7" spans="1:27" x14ac:dyDescent="0.2">
      <c r="A7" s="159" t="s">
        <v>40</v>
      </c>
      <c r="B7" s="157" t="str">
        <f>VLOOKUP($B$2,$E$3:$AA$29,7,0)</f>
        <v>West-Vlaanderen</v>
      </c>
      <c r="C7" s="158"/>
      <c r="D7" s="152" t="s">
        <v>66</v>
      </c>
      <c r="E7" s="106">
        <v>5</v>
      </c>
      <c r="F7" s="108"/>
      <c r="G7" s="107"/>
      <c r="H7" s="107"/>
      <c r="I7" s="108"/>
      <c r="J7" s="108"/>
      <c r="K7" s="108"/>
      <c r="L7" s="108"/>
      <c r="M7" s="108"/>
      <c r="N7" s="108"/>
      <c r="O7" s="122"/>
      <c r="P7" s="122"/>
      <c r="Q7" s="122"/>
      <c r="R7" s="129"/>
      <c r="S7" s="129"/>
      <c r="T7" s="129"/>
      <c r="U7" s="129"/>
      <c r="V7" s="129"/>
      <c r="W7" s="129"/>
      <c r="X7" s="124"/>
      <c r="Y7" s="113">
        <f t="shared" si="0"/>
        <v>4.1666666666666664E-2</v>
      </c>
      <c r="Z7" s="124"/>
      <c r="AA7" s="119">
        <f t="shared" si="0"/>
        <v>4.1666666666666664E-2</v>
      </c>
    </row>
    <row r="8" spans="1:27" x14ac:dyDescent="0.2">
      <c r="A8" s="159" t="s">
        <v>41</v>
      </c>
      <c r="B8" s="157" t="str">
        <f>VLOOKUP($B$2,$E$3:$AA$29,8,0)</f>
        <v>Kortrijk</v>
      </c>
      <c r="C8" s="158"/>
      <c r="D8" s="152" t="s">
        <v>66</v>
      </c>
      <c r="E8" s="106">
        <v>6</v>
      </c>
      <c r="F8" s="108"/>
      <c r="G8" s="107"/>
      <c r="H8" s="107"/>
      <c r="I8" s="108"/>
      <c r="J8" s="108"/>
      <c r="K8" s="108"/>
      <c r="L8" s="108"/>
      <c r="M8" s="108"/>
      <c r="N8" s="108"/>
      <c r="O8" s="122"/>
      <c r="P8" s="122"/>
      <c r="Q8" s="122"/>
      <c r="R8" s="129"/>
      <c r="S8" s="129"/>
      <c r="T8" s="129"/>
      <c r="U8" s="129"/>
      <c r="V8" s="129"/>
      <c r="W8" s="129"/>
      <c r="X8" s="124"/>
      <c r="Y8" s="113">
        <f t="shared" si="0"/>
        <v>4.1666666666666664E-2</v>
      </c>
      <c r="Z8" s="124"/>
      <c r="AA8" s="119">
        <f t="shared" si="0"/>
        <v>4.1666666666666664E-2</v>
      </c>
    </row>
    <row r="9" spans="1:27" x14ac:dyDescent="0.2">
      <c r="A9" s="159" t="s">
        <v>42</v>
      </c>
      <c r="B9" s="157" t="str">
        <f>VLOOKUP($B$2,$E$3:$AA$29,9,0)</f>
        <v>Kortrijk</v>
      </c>
      <c r="C9" s="158"/>
      <c r="D9" s="152" t="s">
        <v>66</v>
      </c>
      <c r="E9" s="106">
        <v>7</v>
      </c>
      <c r="F9" s="108"/>
      <c r="G9" s="107"/>
      <c r="H9" s="107"/>
      <c r="I9" s="108"/>
      <c r="J9" s="108"/>
      <c r="K9" s="108"/>
      <c r="L9" s="108"/>
      <c r="M9" s="108"/>
      <c r="N9" s="108"/>
      <c r="O9" s="122"/>
      <c r="P9" s="122"/>
      <c r="Q9" s="122"/>
      <c r="R9" s="129"/>
      <c r="S9" s="129"/>
      <c r="T9" s="129"/>
      <c r="U9" s="129"/>
      <c r="V9" s="129"/>
      <c r="W9" s="129"/>
      <c r="X9" s="124"/>
      <c r="Y9" s="113">
        <f t="shared" si="0"/>
        <v>4.1666666666666664E-2</v>
      </c>
      <c r="Z9" s="124"/>
      <c r="AA9" s="119">
        <f t="shared" si="0"/>
        <v>4.1666666666666664E-2</v>
      </c>
    </row>
    <row r="10" spans="1:27" x14ac:dyDescent="0.2">
      <c r="A10" s="159" t="s">
        <v>43</v>
      </c>
      <c r="B10" s="157" t="str">
        <f>VLOOKUP($B$2,$E$3:$AA$29,10,0)</f>
        <v>Droog, geheel bewolkt, 15 °C</v>
      </c>
      <c r="C10" s="158"/>
      <c r="D10" s="160" t="s">
        <v>66</v>
      </c>
      <c r="E10" s="106">
        <v>8</v>
      </c>
      <c r="F10" s="108"/>
      <c r="G10" s="107"/>
      <c r="H10" s="107"/>
      <c r="I10" s="108"/>
      <c r="J10" s="108"/>
      <c r="K10" s="108"/>
      <c r="L10" s="108"/>
      <c r="M10" s="108"/>
      <c r="N10" s="108"/>
      <c r="O10" s="122"/>
      <c r="P10" s="122"/>
      <c r="Q10" s="122"/>
      <c r="R10" s="129"/>
      <c r="S10" s="129"/>
      <c r="T10" s="129"/>
      <c r="U10" s="129"/>
      <c r="V10" s="129"/>
      <c r="W10" s="129"/>
      <c r="X10" s="124"/>
      <c r="Y10" s="113">
        <f t="shared" si="0"/>
        <v>4.1666666666666664E-2</v>
      </c>
      <c r="Z10" s="124"/>
      <c r="AA10" s="119">
        <f t="shared" si="0"/>
        <v>4.1666666666666664E-2</v>
      </c>
    </row>
    <row r="11" spans="1:27" x14ac:dyDescent="0.2">
      <c r="A11" s="156" t="s">
        <v>45</v>
      </c>
      <c r="B11" s="161" t="str">
        <f>VLOOKUP(B2,$E$3:$AA$29,11,0)</f>
        <v>Donderdag 3 oktober 2019</v>
      </c>
      <c r="C11" s="156"/>
      <c r="D11" s="160" t="s">
        <v>66</v>
      </c>
      <c r="E11" s="106">
        <v>9</v>
      </c>
      <c r="F11" s="108"/>
      <c r="G11" s="107"/>
      <c r="H11" s="107"/>
      <c r="I11" s="108"/>
      <c r="J11" s="108"/>
      <c r="K11" s="108"/>
      <c r="L11" s="108"/>
      <c r="M11" s="108"/>
      <c r="N11" s="108"/>
      <c r="O11" s="122"/>
      <c r="P11" s="122"/>
      <c r="Q11" s="122"/>
      <c r="R11" s="129"/>
      <c r="S11" s="129"/>
      <c r="T11" s="129"/>
      <c r="U11" s="129"/>
      <c r="V11" s="129"/>
      <c r="W11" s="129"/>
      <c r="X11" s="124"/>
      <c r="Y11" s="113">
        <f t="shared" si="0"/>
        <v>4.1666666666666664E-2</v>
      </c>
      <c r="Z11" s="124"/>
      <c r="AA11" s="119">
        <f t="shared" si="0"/>
        <v>4.1666666666666664E-2</v>
      </c>
    </row>
    <row r="12" spans="1:27" x14ac:dyDescent="0.2">
      <c r="A12" s="159" t="s">
        <v>61</v>
      </c>
      <c r="B12" s="161" t="str">
        <f>VLOOKUP(B2,$E$3:$AA$29,12,0)</f>
        <v>Agentschap Wegen en Verkeer</v>
      </c>
      <c r="C12" s="162"/>
      <c r="D12" s="152" t="s">
        <v>66</v>
      </c>
      <c r="E12" s="106">
        <v>10</v>
      </c>
      <c r="F12" s="108"/>
      <c r="G12" s="107"/>
      <c r="H12" s="107"/>
      <c r="I12" s="108"/>
      <c r="J12" s="108"/>
      <c r="K12" s="108"/>
      <c r="L12" s="108"/>
      <c r="M12" s="108"/>
      <c r="N12" s="108"/>
      <c r="O12" s="122"/>
      <c r="P12" s="122"/>
      <c r="Q12" s="122"/>
      <c r="R12" s="129"/>
      <c r="S12" s="129"/>
      <c r="T12" s="129"/>
      <c r="U12" s="129"/>
      <c r="V12" s="129"/>
      <c r="W12" s="129"/>
      <c r="X12" s="124"/>
      <c r="Y12" s="113">
        <f t="shared" si="0"/>
        <v>4.1666666666666664E-2</v>
      </c>
      <c r="Z12" s="124"/>
      <c r="AA12" s="119">
        <f t="shared" si="0"/>
        <v>4.1666666666666664E-2</v>
      </c>
    </row>
    <row r="13" spans="1:27" x14ac:dyDescent="0.2">
      <c r="A13" s="159" t="s">
        <v>63</v>
      </c>
      <c r="B13" s="161" t="str">
        <f>VLOOKUP(B2,$E$3:$AA$29,13,0)</f>
        <v>Video + auto. beeldverwerking / ANPR</v>
      </c>
      <c r="C13" s="158"/>
      <c r="D13" s="160" t="s">
        <v>66</v>
      </c>
      <c r="E13" s="106">
        <v>11</v>
      </c>
      <c r="F13" s="108"/>
      <c r="G13" s="107"/>
      <c r="H13" s="107"/>
      <c r="I13" s="108"/>
      <c r="J13" s="108"/>
      <c r="K13" s="108"/>
      <c r="L13" s="108"/>
      <c r="M13" s="108"/>
      <c r="N13" s="108"/>
      <c r="O13" s="108"/>
      <c r="P13" s="108"/>
      <c r="Q13" s="108"/>
      <c r="R13" s="129"/>
      <c r="S13" s="129"/>
      <c r="T13" s="129"/>
      <c r="U13" s="129"/>
      <c r="V13" s="129"/>
      <c r="W13" s="129"/>
      <c r="X13" s="125"/>
      <c r="Y13" s="113">
        <f t="shared" ref="Y13" si="1">X13+60/1440</f>
        <v>4.1666666666666664E-2</v>
      </c>
      <c r="Z13" s="124"/>
      <c r="AA13" s="119">
        <f t="shared" ref="AA13" si="2">Z13+60/1440</f>
        <v>4.1666666666666664E-2</v>
      </c>
    </row>
    <row r="14" spans="1:27" x14ac:dyDescent="0.2">
      <c r="A14" s="158"/>
      <c r="B14" s="163"/>
      <c r="C14" s="158"/>
      <c r="D14" s="150" t="s">
        <v>66</v>
      </c>
      <c r="E14" s="106">
        <v>12</v>
      </c>
      <c r="F14" s="108"/>
      <c r="G14" s="107"/>
      <c r="H14" s="107"/>
      <c r="I14" s="108"/>
      <c r="J14" s="108"/>
      <c r="K14" s="108"/>
      <c r="L14" s="108"/>
      <c r="M14" s="108"/>
      <c r="N14" s="108"/>
      <c r="O14" s="122"/>
      <c r="P14" s="122"/>
      <c r="Q14" s="122"/>
      <c r="R14" s="129"/>
      <c r="S14" s="129"/>
      <c r="T14" s="129"/>
      <c r="U14" s="129"/>
      <c r="V14" s="129"/>
      <c r="W14" s="129"/>
      <c r="X14" s="124"/>
      <c r="Y14" s="113">
        <f>X14+60/1440</f>
        <v>4.1666666666666664E-2</v>
      </c>
      <c r="Z14" s="124"/>
      <c r="AA14" s="119">
        <f>Z14+60/1440</f>
        <v>4.1666666666666664E-2</v>
      </c>
    </row>
    <row r="15" spans="1:27" x14ac:dyDescent="0.2">
      <c r="A15" s="156" t="s">
        <v>30</v>
      </c>
      <c r="B15" s="164"/>
      <c r="C15" s="162"/>
      <c r="D15" s="152" t="s">
        <v>66</v>
      </c>
      <c r="E15" s="106">
        <v>13</v>
      </c>
      <c r="F15" s="108"/>
      <c r="G15" s="107"/>
      <c r="H15" s="107"/>
      <c r="I15" s="108"/>
      <c r="J15" s="108"/>
      <c r="K15" s="108"/>
      <c r="L15" s="108"/>
      <c r="M15" s="108"/>
      <c r="N15" s="108"/>
      <c r="O15" s="122"/>
      <c r="P15" s="122"/>
      <c r="Q15" s="122"/>
      <c r="R15" s="129"/>
      <c r="S15" s="129"/>
      <c r="T15" s="129"/>
      <c r="U15" s="129"/>
      <c r="V15" s="129"/>
      <c r="W15" s="129"/>
      <c r="X15" s="124"/>
      <c r="Y15" s="113">
        <f t="shared" ref="Y15:Y22" si="3">X15+60/1440</f>
        <v>4.1666666666666664E-2</v>
      </c>
      <c r="Z15" s="124"/>
      <c r="AA15" s="119">
        <f t="shared" ref="AA15:AA22" si="4">Z15+60/1440</f>
        <v>4.1666666666666664E-2</v>
      </c>
    </row>
    <row r="16" spans="1:27" x14ac:dyDescent="0.2">
      <c r="A16" s="165" t="s">
        <v>31</v>
      </c>
      <c r="B16" s="157" t="str">
        <f>VLOOKUP(B2,$E$3:$AA$29,3,0)</f>
        <v>nnb</v>
      </c>
      <c r="C16" s="156" t="str">
        <f>B16&amp;","&amp;B17</f>
        <v>nnb,nnb</v>
      </c>
      <c r="D16" s="152" t="s">
        <v>66</v>
      </c>
      <c r="E16" s="106">
        <v>14</v>
      </c>
      <c r="F16" s="108"/>
      <c r="G16" s="107"/>
      <c r="H16" s="107"/>
      <c r="I16" s="108"/>
      <c r="J16" s="108"/>
      <c r="K16" s="108"/>
      <c r="L16" s="108"/>
      <c r="M16" s="108"/>
      <c r="N16" s="108"/>
      <c r="O16" s="122"/>
      <c r="P16" s="122"/>
      <c r="Q16" s="122"/>
      <c r="R16" s="129"/>
      <c r="S16" s="129"/>
      <c r="T16" s="129"/>
      <c r="U16" s="129"/>
      <c r="V16" s="129"/>
      <c r="W16" s="129"/>
      <c r="X16" s="124"/>
      <c r="Y16" s="113">
        <f t="shared" si="3"/>
        <v>4.1666666666666664E-2</v>
      </c>
      <c r="Z16" s="124"/>
      <c r="AA16" s="119">
        <f t="shared" si="4"/>
        <v>4.1666666666666664E-2</v>
      </c>
    </row>
    <row r="17" spans="1:27" x14ac:dyDescent="0.2">
      <c r="A17" s="165" t="s">
        <v>32</v>
      </c>
      <c r="B17" s="157" t="str">
        <f>VLOOKUP(B2,$E$3:$AA$29,4,0)</f>
        <v>nnb</v>
      </c>
      <c r="C17" s="162"/>
      <c r="D17" s="152" t="s">
        <v>66</v>
      </c>
      <c r="E17" s="106">
        <v>15</v>
      </c>
      <c r="F17" s="108"/>
      <c r="G17" s="107"/>
      <c r="H17" s="107"/>
      <c r="I17" s="108"/>
      <c r="J17" s="108"/>
      <c r="K17" s="108"/>
      <c r="L17" s="108"/>
      <c r="M17" s="108"/>
      <c r="N17" s="108"/>
      <c r="O17" s="122"/>
      <c r="P17" s="122"/>
      <c r="Q17" s="122"/>
      <c r="R17" s="129"/>
      <c r="S17" s="129"/>
      <c r="T17" s="129"/>
      <c r="U17" s="129"/>
      <c r="V17" s="129"/>
      <c r="W17" s="129"/>
      <c r="X17" s="124"/>
      <c r="Y17" s="113">
        <f t="shared" si="3"/>
        <v>4.1666666666666664E-2</v>
      </c>
      <c r="Z17" s="124"/>
      <c r="AA17" s="119">
        <f t="shared" si="4"/>
        <v>4.1666666666666664E-2</v>
      </c>
    </row>
    <row r="18" spans="1:27" x14ac:dyDescent="0.2">
      <c r="A18" s="158"/>
      <c r="B18" s="163"/>
      <c r="C18" s="158"/>
      <c r="D18" s="152" t="s">
        <v>66</v>
      </c>
      <c r="E18" s="106">
        <v>16</v>
      </c>
      <c r="F18" s="108"/>
      <c r="G18" s="107"/>
      <c r="H18" s="107"/>
      <c r="I18" s="108"/>
      <c r="J18" s="108"/>
      <c r="K18" s="108"/>
      <c r="L18" s="108"/>
      <c r="M18" s="108"/>
      <c r="N18" s="108"/>
      <c r="O18" s="122"/>
      <c r="P18" s="122"/>
      <c r="Q18" s="122"/>
      <c r="R18" s="129"/>
      <c r="S18" s="129"/>
      <c r="T18" s="129"/>
      <c r="U18" s="129"/>
      <c r="V18" s="129"/>
      <c r="W18" s="129"/>
      <c r="X18" s="124"/>
      <c r="Y18" s="113">
        <f t="shared" si="3"/>
        <v>4.1666666666666664E-2</v>
      </c>
      <c r="Z18" s="124"/>
      <c r="AA18" s="119">
        <f t="shared" si="4"/>
        <v>4.1666666666666664E-2</v>
      </c>
    </row>
    <row r="19" spans="1:27" x14ac:dyDescent="0.2">
      <c r="A19" s="156" t="s">
        <v>33</v>
      </c>
      <c r="B19" s="157"/>
      <c r="C19" s="156"/>
      <c r="D19" s="152" t="s">
        <v>66</v>
      </c>
      <c r="E19" s="106">
        <v>17</v>
      </c>
      <c r="F19" s="108"/>
      <c r="G19" s="107"/>
      <c r="H19" s="107"/>
      <c r="I19" s="108"/>
      <c r="J19" s="108"/>
      <c r="K19" s="108"/>
      <c r="L19" s="108"/>
      <c r="M19" s="108"/>
      <c r="N19" s="108"/>
      <c r="O19" s="122"/>
      <c r="P19" s="122"/>
      <c r="Q19" s="122"/>
      <c r="R19" s="129"/>
      <c r="S19" s="129"/>
      <c r="T19" s="129"/>
      <c r="U19" s="129"/>
      <c r="V19" s="129"/>
      <c r="W19" s="129"/>
      <c r="X19" s="124"/>
      <c r="Y19" s="113">
        <f t="shared" si="3"/>
        <v>4.1666666666666664E-2</v>
      </c>
      <c r="Z19" s="124"/>
      <c r="AA19" s="119">
        <f t="shared" si="4"/>
        <v>4.1666666666666664E-2</v>
      </c>
    </row>
    <row r="20" spans="1:27" x14ac:dyDescent="0.2">
      <c r="A20" s="156" t="s">
        <v>67</v>
      </c>
      <c r="B20" s="157" t="str">
        <f>A20&amp;". "&amp; VLOOKUP($B$2,$E$3:$AA$29,14,0)</f>
        <v xml:space="preserve">O. </v>
      </c>
      <c r="C20" s="156" t="str">
        <f>A20&amp;" = "&amp;MID(B20,4,250)</f>
        <v xml:space="preserve">O = </v>
      </c>
      <c r="D20" s="152" t="s">
        <v>66</v>
      </c>
      <c r="E20" s="106">
        <v>18</v>
      </c>
      <c r="F20" s="108"/>
      <c r="G20" s="107"/>
      <c r="H20" s="107"/>
      <c r="I20" s="108"/>
      <c r="J20" s="108"/>
      <c r="K20" s="108"/>
      <c r="L20" s="108"/>
      <c r="M20" s="108"/>
      <c r="N20" s="108"/>
      <c r="O20" s="122"/>
      <c r="P20" s="122"/>
      <c r="Q20" s="122"/>
      <c r="R20" s="129"/>
      <c r="S20" s="129"/>
      <c r="T20" s="129"/>
      <c r="U20" s="129"/>
      <c r="V20" s="129"/>
      <c r="W20" s="129"/>
      <c r="X20" s="124"/>
      <c r="Y20" s="113">
        <f t="shared" si="3"/>
        <v>4.1666666666666664E-2</v>
      </c>
      <c r="Z20" s="124"/>
      <c r="AA20" s="119">
        <f t="shared" si="4"/>
        <v>4.1666666666666664E-2</v>
      </c>
    </row>
    <row r="21" spans="1:27" x14ac:dyDescent="0.2">
      <c r="A21" s="156" t="s">
        <v>18</v>
      </c>
      <c r="B21" s="157" t="str">
        <f>A21&amp;". " &amp; VLOOKUP($B$2,$E$3:$AA$29,15,0)</f>
        <v>Z. R8 komende van Complex Bissegem</v>
      </c>
      <c r="C21" s="156" t="str">
        <f t="shared" ref="C21:C25" si="5">A21&amp;" = "&amp;MID(B21,4,250)</f>
        <v>Z = R8 komende van Complex Bissegem</v>
      </c>
      <c r="D21" s="152" t="s">
        <v>66</v>
      </c>
      <c r="E21" s="106">
        <v>19</v>
      </c>
      <c r="F21" s="108"/>
      <c r="G21" s="107"/>
      <c r="H21" s="107"/>
      <c r="I21" s="108"/>
      <c r="J21" s="108"/>
      <c r="K21" s="108"/>
      <c r="L21" s="108"/>
      <c r="M21" s="108"/>
      <c r="N21" s="108"/>
      <c r="O21" s="122"/>
      <c r="P21" s="122"/>
      <c r="Q21" s="122"/>
      <c r="R21" s="129"/>
      <c r="S21" s="129"/>
      <c r="T21" s="129"/>
      <c r="U21" s="129"/>
      <c r="V21" s="129"/>
      <c r="W21" s="129"/>
      <c r="X21" s="124"/>
      <c r="Y21" s="113">
        <f t="shared" si="3"/>
        <v>4.1666666666666664E-2</v>
      </c>
      <c r="Z21" s="124"/>
      <c r="AA21" s="119">
        <f t="shared" si="4"/>
        <v>4.1666666666666664E-2</v>
      </c>
    </row>
    <row r="22" spans="1:27" x14ac:dyDescent="0.2">
      <c r="A22" s="156" t="s">
        <v>68</v>
      </c>
      <c r="B22" s="157" t="str">
        <f>A22&amp;". "&amp;VLOOKUP($B$2,$E$3:$AA$29,16,0)</f>
        <v>W. Verbindingsboog komende van A19</v>
      </c>
      <c r="C22" s="156" t="str">
        <f t="shared" si="5"/>
        <v>W = Verbindingsboog komende van A19</v>
      </c>
      <c r="D22" s="152" t="s">
        <v>66</v>
      </c>
      <c r="E22" s="106">
        <v>20</v>
      </c>
      <c r="F22" s="108"/>
      <c r="G22" s="107"/>
      <c r="H22" s="107"/>
      <c r="I22" s="108"/>
      <c r="J22" s="108"/>
      <c r="K22" s="108"/>
      <c r="L22" s="108"/>
      <c r="M22" s="108"/>
      <c r="N22" s="108"/>
      <c r="O22" s="122"/>
      <c r="P22" s="122"/>
      <c r="Q22" s="122"/>
      <c r="R22" s="129"/>
      <c r="S22" s="129"/>
      <c r="T22" s="129"/>
      <c r="U22" s="129"/>
      <c r="V22" s="129"/>
      <c r="W22" s="129"/>
      <c r="X22" s="124"/>
      <c r="Y22" s="113">
        <f t="shared" si="3"/>
        <v>4.1666666666666664E-2</v>
      </c>
      <c r="Z22" s="124"/>
      <c r="AA22" s="119">
        <f t="shared" si="4"/>
        <v>4.1666666666666664E-2</v>
      </c>
    </row>
    <row r="23" spans="1:27" x14ac:dyDescent="0.2">
      <c r="A23" s="156" t="s">
        <v>31</v>
      </c>
      <c r="B23" s="157" t="str">
        <f>A23&amp;". "&amp;VLOOKUP($B$2,$E$3:$AA$29,17,0)</f>
        <v>N. R8 komende van Complex Gullegem</v>
      </c>
      <c r="C23" s="156" t="str">
        <f t="shared" si="5"/>
        <v>N = R8 komende van Complex Gullegem</v>
      </c>
      <c r="D23" s="152" t="s">
        <v>66</v>
      </c>
      <c r="E23" s="106">
        <v>21</v>
      </c>
      <c r="F23" s="108"/>
      <c r="G23" s="107"/>
      <c r="H23" s="107"/>
      <c r="I23" s="108"/>
      <c r="J23" s="108"/>
      <c r="K23" s="108"/>
      <c r="L23" s="108"/>
      <c r="M23" s="108"/>
      <c r="N23" s="108"/>
      <c r="O23" s="108"/>
      <c r="P23" s="108"/>
      <c r="Q23" s="108"/>
      <c r="R23" s="129"/>
      <c r="S23" s="129"/>
      <c r="T23" s="129"/>
      <c r="U23" s="129"/>
      <c r="V23" s="129"/>
      <c r="W23" s="129"/>
      <c r="X23" s="125"/>
      <c r="Y23" s="113">
        <f t="shared" ref="Y23:Y27" si="6">X23+60/1440</f>
        <v>4.1666666666666664E-2</v>
      </c>
      <c r="Z23" s="124"/>
      <c r="AA23" s="119">
        <f t="shared" ref="AA23:AA27" si="7">Z23+60/1440</f>
        <v>4.1666666666666664E-2</v>
      </c>
    </row>
    <row r="24" spans="1:27" x14ac:dyDescent="0.2">
      <c r="A24" s="156" t="s">
        <v>32</v>
      </c>
      <c r="B24" s="157" t="str">
        <f>A24&amp;". "&amp;VLOOKUP($B$2,$E$3:$AA$29,18,0)</f>
        <v xml:space="preserve">E. </v>
      </c>
      <c r="C24" s="156" t="str">
        <f>A24&amp;" = "&amp;MID(B24,4,250)</f>
        <v xml:space="preserve">E = </v>
      </c>
      <c r="D24" s="152" t="s">
        <v>66</v>
      </c>
      <c r="E24" s="106">
        <v>22</v>
      </c>
      <c r="F24" s="108"/>
      <c r="G24" s="107"/>
      <c r="H24" s="107"/>
      <c r="I24" s="108"/>
      <c r="J24" s="108"/>
      <c r="K24" s="108"/>
      <c r="L24" s="108"/>
      <c r="M24" s="108"/>
      <c r="N24" s="108"/>
      <c r="O24" s="108"/>
      <c r="P24" s="108"/>
      <c r="Q24" s="108"/>
      <c r="R24" s="129"/>
      <c r="S24" s="129"/>
      <c r="T24" s="129"/>
      <c r="U24" s="129"/>
      <c r="V24" s="129"/>
      <c r="W24" s="129"/>
      <c r="X24" s="125"/>
      <c r="Y24" s="113">
        <f t="shared" si="6"/>
        <v>4.1666666666666664E-2</v>
      </c>
      <c r="Z24" s="124"/>
      <c r="AA24" s="119">
        <f t="shared" si="7"/>
        <v>4.1666666666666664E-2</v>
      </c>
    </row>
    <row r="25" spans="1:27" x14ac:dyDescent="0.2">
      <c r="A25" s="156" t="s">
        <v>86</v>
      </c>
      <c r="B25" s="157" t="str">
        <f>A25&amp;". "&amp;VLOOKUP($B$2,$E$3:$AA$29,19,0)</f>
        <v xml:space="preserve">F. </v>
      </c>
      <c r="C25" s="156" t="str">
        <f t="shared" si="5"/>
        <v xml:space="preserve">F = </v>
      </c>
      <c r="D25" s="152" t="s">
        <v>66</v>
      </c>
      <c r="E25" s="106">
        <v>23</v>
      </c>
      <c r="F25" s="108"/>
      <c r="G25" s="107"/>
      <c r="H25" s="107"/>
      <c r="I25" s="108"/>
      <c r="J25" s="108"/>
      <c r="K25" s="108"/>
      <c r="L25" s="108"/>
      <c r="M25" s="108"/>
      <c r="N25" s="108"/>
      <c r="O25" s="108"/>
      <c r="P25" s="108"/>
      <c r="Q25" s="108"/>
      <c r="R25" s="129"/>
      <c r="S25" s="129"/>
      <c r="T25" s="129"/>
      <c r="U25" s="129"/>
      <c r="V25" s="129"/>
      <c r="W25" s="129"/>
      <c r="X25" s="125"/>
      <c r="Y25" s="113">
        <f t="shared" si="6"/>
        <v>4.1666666666666664E-2</v>
      </c>
      <c r="Z25" s="124"/>
      <c r="AA25" s="119">
        <f t="shared" si="7"/>
        <v>4.1666666666666664E-2</v>
      </c>
    </row>
    <row r="26" spans="1:27" x14ac:dyDescent="0.2">
      <c r="A26" s="158"/>
      <c r="B26" s="163"/>
      <c r="C26" s="158"/>
      <c r="D26" s="152" t="s">
        <v>66</v>
      </c>
      <c r="E26" s="106">
        <v>24</v>
      </c>
      <c r="F26" s="108"/>
      <c r="G26" s="107"/>
      <c r="H26" s="107"/>
      <c r="I26" s="108"/>
      <c r="J26" s="108"/>
      <c r="K26" s="108"/>
      <c r="L26" s="108"/>
      <c r="M26" s="108"/>
      <c r="N26" s="108"/>
      <c r="O26" s="108"/>
      <c r="P26" s="108"/>
      <c r="Q26" s="108"/>
      <c r="R26" s="129"/>
      <c r="S26" s="129"/>
      <c r="T26" s="129"/>
      <c r="U26" s="129"/>
      <c r="V26" s="129"/>
      <c r="W26" s="129"/>
      <c r="X26" s="125"/>
      <c r="Y26" s="113">
        <f t="shared" si="6"/>
        <v>4.1666666666666664E-2</v>
      </c>
      <c r="Z26" s="124"/>
      <c r="AA26" s="119">
        <f t="shared" si="7"/>
        <v>4.1666666666666664E-2</v>
      </c>
    </row>
    <row r="27" spans="1:27" x14ac:dyDescent="0.2">
      <c r="A27" s="156" t="s">
        <v>34</v>
      </c>
      <c r="B27" s="166"/>
      <c r="C27" s="156"/>
      <c r="D27" s="152" t="s">
        <v>66</v>
      </c>
      <c r="E27" s="106">
        <v>25</v>
      </c>
      <c r="F27" s="108"/>
      <c r="G27" s="107"/>
      <c r="H27" s="107"/>
      <c r="I27" s="108"/>
      <c r="J27" s="108"/>
      <c r="K27" s="108"/>
      <c r="L27" s="108"/>
      <c r="M27" s="108"/>
      <c r="N27" s="108"/>
      <c r="O27" s="108"/>
      <c r="P27" s="108"/>
      <c r="Q27" s="108" t="s">
        <v>64</v>
      </c>
      <c r="R27" s="129"/>
      <c r="S27" s="129"/>
      <c r="T27" s="129"/>
      <c r="U27" s="129"/>
      <c r="V27" s="129"/>
      <c r="W27" s="129"/>
      <c r="X27" s="125"/>
      <c r="Y27" s="113">
        <f t="shared" si="6"/>
        <v>4.1666666666666664E-2</v>
      </c>
      <c r="Z27" s="124"/>
      <c r="AA27" s="119">
        <f t="shared" si="7"/>
        <v>4.1666666666666664E-2</v>
      </c>
    </row>
    <row r="28" spans="1:27" x14ac:dyDescent="0.2">
      <c r="A28" s="167" t="s">
        <v>59</v>
      </c>
      <c r="B28" s="168">
        <f>VLOOKUP(B2,$E$3:$AA$29,20,0)</f>
        <v>0.3125</v>
      </c>
      <c r="C28" s="169">
        <f>VLOOKUP(B2,$E$3:$AA$29,21,0)</f>
        <v>0.35416666666666669</v>
      </c>
      <c r="D28" s="160" t="s">
        <v>66</v>
      </c>
      <c r="E28" s="109">
        <v>26</v>
      </c>
      <c r="F28" s="111"/>
      <c r="G28" s="110"/>
      <c r="H28" s="110"/>
      <c r="I28" s="111"/>
      <c r="J28" s="111"/>
      <c r="K28" s="111"/>
      <c r="L28" s="111"/>
      <c r="M28" s="111"/>
      <c r="N28" s="111"/>
      <c r="O28" s="111"/>
      <c r="P28" s="111"/>
      <c r="Q28" s="111" t="s">
        <v>108</v>
      </c>
      <c r="R28" s="130"/>
      <c r="S28" s="130"/>
      <c r="T28" s="130"/>
      <c r="U28" s="130"/>
      <c r="V28" s="130"/>
      <c r="W28" s="130"/>
      <c r="X28" s="126"/>
      <c r="Y28" s="114">
        <f t="shared" ref="Y28" si="8">X28+60/1440</f>
        <v>4.1666666666666664E-2</v>
      </c>
      <c r="Z28" s="127"/>
      <c r="AA28" s="120">
        <f t="shared" ref="AA28" si="9">Z28+60/1440</f>
        <v>4.1666666666666664E-2</v>
      </c>
    </row>
    <row r="29" spans="1:27" x14ac:dyDescent="0.2">
      <c r="A29" s="170" t="s">
        <v>60</v>
      </c>
      <c r="B29" s="171">
        <f>VLOOKUP(B2,$E$3:$AA$29,22,0)</f>
        <v>0.69791666666666663</v>
      </c>
      <c r="C29" s="172">
        <f>VLOOKUP(B2,$E$3:$AA$29,23,0)</f>
        <v>0.73958333333333326</v>
      </c>
      <c r="D29" s="150" t="s">
        <v>66</v>
      </c>
      <c r="E29" s="109">
        <v>27</v>
      </c>
      <c r="F29" s="111"/>
      <c r="G29" s="110"/>
      <c r="H29" s="110"/>
      <c r="I29" s="111"/>
      <c r="J29" s="111"/>
      <c r="K29" s="111"/>
      <c r="L29" s="111"/>
      <c r="M29" s="111"/>
      <c r="N29" s="111"/>
      <c r="O29" s="111"/>
      <c r="P29" s="111"/>
      <c r="Q29" s="111" t="s">
        <v>109</v>
      </c>
      <c r="R29" s="130"/>
      <c r="S29" s="130"/>
      <c r="T29" s="130"/>
      <c r="U29" s="130"/>
      <c r="V29" s="130"/>
      <c r="W29" s="130"/>
      <c r="X29" s="126"/>
      <c r="Y29" s="114">
        <f t="shared" ref="Y29" si="10">X29+60/1440</f>
        <v>4.1666666666666664E-2</v>
      </c>
      <c r="Z29" s="127"/>
      <c r="AA29" s="120">
        <f t="shared" ref="AA29" si="11">Z29+60/1440</f>
        <v>4.1666666666666664E-2</v>
      </c>
    </row>
    <row r="30" spans="1:27" x14ac:dyDescent="0.2">
      <c r="A30" s="67"/>
      <c r="B30" s="67"/>
      <c r="C30" s="6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AJ148"/>
  <sheetViews>
    <sheetView showGridLines="0" zoomScale="160" zoomScaleNormal="160" workbookViewId="0">
      <selection activeCell="F4" sqref="F4"/>
    </sheetView>
  </sheetViews>
  <sheetFormatPr defaultColWidth="1" defaultRowHeight="5.0999999999999996" customHeight="1" x14ac:dyDescent="0.2"/>
  <cols>
    <col min="8" max="8" width="2.33203125" customWidth="1"/>
    <col min="11" max="11" width="2.33203125" customWidth="1"/>
    <col min="17" max="17" width="2.33203125" customWidth="1"/>
  </cols>
  <sheetData>
    <row r="1" spans="1:36" ht="5.0999999999999996" customHeight="1" x14ac:dyDescent="0.25">
      <c r="A1" s="68" t="s">
        <v>6</v>
      </c>
      <c r="B1" s="69"/>
      <c r="C1" s="69"/>
      <c r="D1" s="69"/>
      <c r="E1" s="69"/>
      <c r="F1" s="69"/>
      <c r="G1" s="69"/>
      <c r="H1" s="69"/>
      <c r="I1" s="69"/>
      <c r="J1" s="70" t="s">
        <v>35</v>
      </c>
      <c r="K1" s="70" t="s">
        <v>35</v>
      </c>
      <c r="L1" s="70" t="s">
        <v>35</v>
      </c>
      <c r="M1" s="70" t="s">
        <v>35</v>
      </c>
      <c r="N1" s="70" t="s">
        <v>35</v>
      </c>
      <c r="O1" s="70" t="s">
        <v>35</v>
      </c>
      <c r="P1" s="70" t="s">
        <v>35</v>
      </c>
      <c r="Q1" s="70" t="s">
        <v>35</v>
      </c>
      <c r="R1" s="70" t="s">
        <v>35</v>
      </c>
      <c r="S1" s="70" t="s">
        <v>35</v>
      </c>
      <c r="T1" s="70" t="s">
        <v>35</v>
      </c>
      <c r="U1" s="70" t="s">
        <v>35</v>
      </c>
      <c r="V1" s="70" t="s">
        <v>35</v>
      </c>
      <c r="W1" s="70" t="s">
        <v>35</v>
      </c>
      <c r="X1" s="70" t="s">
        <v>35</v>
      </c>
      <c r="Y1" s="70" t="s">
        <v>35</v>
      </c>
      <c r="Z1" s="70" t="s">
        <v>35</v>
      </c>
      <c r="AA1" s="70" t="s">
        <v>35</v>
      </c>
      <c r="AB1" s="70" t="s">
        <v>35</v>
      </c>
      <c r="AC1" s="70" t="s">
        <v>35</v>
      </c>
      <c r="AD1" s="70" t="s">
        <v>35</v>
      </c>
      <c r="AE1" s="70" t="s">
        <v>35</v>
      </c>
      <c r="AF1" s="70" t="s">
        <v>35</v>
      </c>
      <c r="AG1" s="70" t="s">
        <v>35</v>
      </c>
      <c r="AH1" s="70" t="s">
        <v>35</v>
      </c>
      <c r="AI1" s="70" t="s">
        <v>35</v>
      </c>
      <c r="AJ1" s="71"/>
    </row>
    <row r="2" spans="1:36" ht="5.0999999999999996" customHeight="1" x14ac:dyDescent="0.25">
      <c r="A2" s="72"/>
      <c r="B2" s="72"/>
      <c r="C2" s="72"/>
      <c r="D2" s="72"/>
      <c r="E2" s="72"/>
      <c r="F2" s="72"/>
      <c r="G2" s="182" t="str">
        <f>INFO!B23</f>
        <v>N. R8 komende van Complex Gullegem</v>
      </c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72"/>
      <c r="AD2" s="72"/>
      <c r="AE2" s="72"/>
      <c r="AF2" s="72"/>
      <c r="AG2" s="72"/>
      <c r="AH2" s="72"/>
      <c r="AI2" s="73" t="s">
        <v>35</v>
      </c>
      <c r="AJ2" s="72"/>
    </row>
    <row r="3" spans="1:36" ht="5.0999999999999996" customHeight="1" x14ac:dyDescent="0.25">
      <c r="A3" s="72"/>
      <c r="B3" s="72"/>
      <c r="C3" s="72"/>
      <c r="D3" s="72"/>
      <c r="E3" s="72"/>
      <c r="F3" s="7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72"/>
      <c r="AD3" s="72"/>
      <c r="AE3" s="72"/>
      <c r="AF3" s="72"/>
      <c r="AG3" s="72"/>
      <c r="AH3" s="72"/>
      <c r="AI3" s="73" t="s">
        <v>35</v>
      </c>
      <c r="AJ3" s="72"/>
    </row>
    <row r="4" spans="1:36" ht="5.0999999999999996" customHeight="1" x14ac:dyDescent="0.25">
      <c r="A4" s="72"/>
      <c r="B4" s="72"/>
      <c r="C4" s="72"/>
      <c r="D4" s="72"/>
      <c r="E4" s="72"/>
      <c r="F4" s="7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72"/>
      <c r="AD4" s="72"/>
      <c r="AE4" s="72"/>
      <c r="AF4" s="72"/>
      <c r="AG4" s="72"/>
      <c r="AH4" s="72"/>
      <c r="AI4" s="73" t="s">
        <v>35</v>
      </c>
      <c r="AJ4" s="72"/>
    </row>
    <row r="5" spans="1:36" ht="5.0999999999999996" customHeight="1" x14ac:dyDescent="0.25">
      <c r="A5" s="72"/>
      <c r="B5" s="72"/>
      <c r="C5" s="72"/>
      <c r="D5" s="72"/>
      <c r="E5" s="72"/>
      <c r="F5" s="7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72"/>
      <c r="AD5" s="72"/>
      <c r="AE5" s="72"/>
      <c r="AF5" s="72"/>
      <c r="AG5" s="72"/>
      <c r="AH5" s="72"/>
      <c r="AI5" s="73" t="s">
        <v>35</v>
      </c>
      <c r="AJ5" s="72"/>
    </row>
    <row r="6" spans="1:36" ht="5.0999999999999996" customHeight="1" x14ac:dyDescent="0.25">
      <c r="A6" s="72"/>
      <c r="B6" s="72"/>
      <c r="C6" s="72"/>
      <c r="D6" s="72"/>
      <c r="E6" s="72"/>
      <c r="F6" s="7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72"/>
      <c r="AD6" s="72"/>
      <c r="AE6" s="72"/>
      <c r="AF6" s="72"/>
      <c r="AG6" s="72"/>
      <c r="AH6" s="72"/>
      <c r="AI6" s="73" t="s">
        <v>35</v>
      </c>
      <c r="AJ6" s="72"/>
    </row>
    <row r="7" spans="1:36" ht="5.0999999999999996" customHeight="1" x14ac:dyDescent="0.25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186"/>
      <c r="O7" s="186"/>
      <c r="P7" s="74"/>
      <c r="Q7" s="186">
        <v>11</v>
      </c>
      <c r="R7" s="186"/>
      <c r="S7" s="74"/>
      <c r="T7" s="186"/>
      <c r="U7" s="186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3" t="s">
        <v>35</v>
      </c>
      <c r="AJ7" s="72"/>
    </row>
    <row r="8" spans="1:36" ht="5.0999999999999996" customHeight="1" x14ac:dyDescent="0.25">
      <c r="A8" s="181" t="str">
        <f>INFO!B22</f>
        <v>W. Verbindingsboog komende van A19</v>
      </c>
      <c r="B8" s="181"/>
      <c r="C8" s="181"/>
      <c r="D8" s="181"/>
      <c r="E8" s="181"/>
      <c r="F8" s="72"/>
      <c r="G8" s="75"/>
      <c r="H8" s="75"/>
      <c r="I8" s="75"/>
      <c r="J8" s="75"/>
      <c r="K8" s="75"/>
      <c r="L8" s="75"/>
      <c r="M8" s="75"/>
      <c r="N8" s="186"/>
      <c r="O8" s="186"/>
      <c r="P8" s="76"/>
      <c r="Q8" s="186"/>
      <c r="R8" s="186"/>
      <c r="S8" s="76"/>
      <c r="T8" s="186"/>
      <c r="U8" s="186"/>
      <c r="V8" s="75"/>
      <c r="W8" s="75"/>
      <c r="X8" s="75"/>
      <c r="Y8" s="75"/>
      <c r="Z8" s="75"/>
      <c r="AA8" s="75"/>
      <c r="AB8" s="75"/>
      <c r="AC8" s="72"/>
      <c r="AD8" s="180"/>
      <c r="AE8" s="180"/>
      <c r="AF8" s="180"/>
      <c r="AG8" s="180"/>
      <c r="AH8" s="180"/>
      <c r="AI8" s="73" t="s">
        <v>35</v>
      </c>
      <c r="AJ8" s="72"/>
    </row>
    <row r="9" spans="1:36" ht="5.0999999999999996" customHeight="1" x14ac:dyDescent="0.25">
      <c r="A9" s="181"/>
      <c r="B9" s="181"/>
      <c r="C9" s="181"/>
      <c r="D9" s="181"/>
      <c r="E9" s="181"/>
      <c r="F9" s="72"/>
      <c r="G9" s="75"/>
      <c r="H9" s="75"/>
      <c r="I9" s="75"/>
      <c r="J9" s="75"/>
      <c r="K9" s="75"/>
      <c r="L9" s="75"/>
      <c r="M9" s="75"/>
      <c r="N9" s="77"/>
      <c r="O9" s="77"/>
      <c r="P9" s="78"/>
      <c r="Q9" s="78"/>
      <c r="R9" s="78"/>
      <c r="S9" s="78"/>
      <c r="T9" s="77"/>
      <c r="U9" s="77"/>
      <c r="V9" s="75"/>
      <c r="W9" s="75"/>
      <c r="X9" s="75"/>
      <c r="Y9" s="75"/>
      <c r="Z9" s="75"/>
      <c r="AA9" s="75"/>
      <c r="AB9" s="75"/>
      <c r="AC9" s="72"/>
      <c r="AD9" s="180"/>
      <c r="AE9" s="180"/>
      <c r="AF9" s="180"/>
      <c r="AG9" s="180"/>
      <c r="AH9" s="180"/>
      <c r="AI9" s="73" t="s">
        <v>35</v>
      </c>
      <c r="AJ9" s="72"/>
    </row>
    <row r="10" spans="1:36" ht="5.0999999999999996" customHeight="1" x14ac:dyDescent="0.25">
      <c r="A10" s="181"/>
      <c r="B10" s="181"/>
      <c r="C10" s="181"/>
      <c r="D10" s="181"/>
      <c r="E10" s="181"/>
      <c r="F10" s="72"/>
      <c r="G10" s="75"/>
      <c r="H10" s="75"/>
      <c r="I10" s="75"/>
      <c r="J10" s="75"/>
      <c r="K10" s="75"/>
      <c r="L10" s="75"/>
      <c r="M10" s="75"/>
      <c r="N10" s="77"/>
      <c r="O10" s="77"/>
      <c r="P10" s="78"/>
      <c r="Q10" s="78"/>
      <c r="R10" s="78"/>
      <c r="S10" s="78"/>
      <c r="T10" s="77"/>
      <c r="U10" s="77"/>
      <c r="V10" s="75"/>
      <c r="W10" s="75"/>
      <c r="X10" s="75"/>
      <c r="Y10" s="75"/>
      <c r="Z10" s="75"/>
      <c r="AA10" s="75"/>
      <c r="AB10" s="75"/>
      <c r="AC10" s="72"/>
      <c r="AD10" s="180"/>
      <c r="AE10" s="180"/>
      <c r="AF10" s="180"/>
      <c r="AG10" s="180"/>
      <c r="AH10" s="180"/>
      <c r="AI10" s="73" t="s">
        <v>35</v>
      </c>
      <c r="AJ10" s="72"/>
    </row>
    <row r="11" spans="1:36" ht="5.0999999999999996" customHeight="1" x14ac:dyDescent="0.25">
      <c r="A11" s="181"/>
      <c r="B11" s="181"/>
      <c r="C11" s="181"/>
      <c r="D11" s="181"/>
      <c r="E11" s="181"/>
      <c r="F11" s="72"/>
      <c r="G11" s="75"/>
      <c r="H11" s="75"/>
      <c r="I11" s="75"/>
      <c r="J11" s="75"/>
      <c r="K11" s="75"/>
      <c r="L11" s="75"/>
      <c r="M11" s="75"/>
      <c r="N11" s="77"/>
      <c r="O11" s="77"/>
      <c r="P11" s="78"/>
      <c r="Q11" s="78"/>
      <c r="R11" s="78"/>
      <c r="S11" s="78"/>
      <c r="T11" s="77"/>
      <c r="U11" s="77"/>
      <c r="V11" s="75"/>
      <c r="W11" s="75"/>
      <c r="X11" s="75"/>
      <c r="Y11" s="75"/>
      <c r="Z11" s="75"/>
      <c r="AA11" s="75"/>
      <c r="AB11" s="75"/>
      <c r="AC11" s="72"/>
      <c r="AD11" s="180"/>
      <c r="AE11" s="180"/>
      <c r="AF11" s="180"/>
      <c r="AG11" s="180"/>
      <c r="AH11" s="180"/>
      <c r="AI11" s="73" t="s">
        <v>35</v>
      </c>
      <c r="AJ11" s="72"/>
    </row>
    <row r="12" spans="1:36" ht="5.0999999999999996" customHeight="1" x14ac:dyDescent="0.25">
      <c r="A12" s="181"/>
      <c r="B12" s="181"/>
      <c r="C12" s="181"/>
      <c r="D12" s="181"/>
      <c r="E12" s="181"/>
      <c r="F12" s="72"/>
      <c r="G12" s="75"/>
      <c r="H12" s="75"/>
      <c r="I12" s="75"/>
      <c r="J12" s="75"/>
      <c r="K12" s="75"/>
      <c r="L12" s="75"/>
      <c r="M12" s="75"/>
      <c r="N12" s="77"/>
      <c r="O12" s="77"/>
      <c r="P12" s="77"/>
      <c r="Q12" s="77"/>
      <c r="R12" s="77"/>
      <c r="S12" s="77"/>
      <c r="T12" s="77"/>
      <c r="U12" s="77"/>
      <c r="V12" s="75"/>
      <c r="W12" s="75"/>
      <c r="X12" s="75"/>
      <c r="Y12" s="75"/>
      <c r="Z12" s="75"/>
      <c r="AA12" s="75"/>
      <c r="AB12" s="75"/>
      <c r="AC12" s="72"/>
      <c r="AD12" s="180"/>
      <c r="AE12" s="180"/>
      <c r="AF12" s="180"/>
      <c r="AG12" s="180"/>
      <c r="AH12" s="180"/>
      <c r="AI12" s="73" t="s">
        <v>35</v>
      </c>
      <c r="AJ12" s="72"/>
    </row>
    <row r="13" spans="1:36" ht="5.0999999999999996" customHeight="1" x14ac:dyDescent="0.25">
      <c r="A13" s="181"/>
      <c r="B13" s="181"/>
      <c r="C13" s="181"/>
      <c r="D13" s="181"/>
      <c r="E13" s="181"/>
      <c r="F13" s="72"/>
      <c r="G13" s="75"/>
      <c r="H13" s="75"/>
      <c r="I13" s="75"/>
      <c r="J13" s="75"/>
      <c r="K13" s="75"/>
      <c r="L13" s="75"/>
      <c r="M13" s="75"/>
      <c r="N13" s="77"/>
      <c r="O13" s="77"/>
      <c r="P13" s="77"/>
      <c r="Q13" s="77"/>
      <c r="R13" s="77"/>
      <c r="S13" s="77"/>
      <c r="T13" s="77"/>
      <c r="U13" s="77"/>
      <c r="V13" s="75"/>
      <c r="W13" s="75"/>
      <c r="X13" s="75"/>
      <c r="Y13" s="75"/>
      <c r="Z13" s="75"/>
      <c r="AA13" s="75"/>
      <c r="AB13" s="75"/>
      <c r="AC13" s="72"/>
      <c r="AD13" s="180"/>
      <c r="AE13" s="180"/>
      <c r="AF13" s="180"/>
      <c r="AG13" s="180"/>
      <c r="AH13" s="180"/>
      <c r="AI13" s="73" t="s">
        <v>35</v>
      </c>
      <c r="AJ13" s="72"/>
    </row>
    <row r="14" spans="1:36" ht="5.0999999999999996" customHeight="1" x14ac:dyDescent="0.25">
      <c r="A14" s="181"/>
      <c r="B14" s="181"/>
      <c r="C14" s="181"/>
      <c r="D14" s="181"/>
      <c r="E14" s="181"/>
      <c r="F14" s="72"/>
      <c r="G14" s="75"/>
      <c r="H14" s="75"/>
      <c r="I14" s="75"/>
      <c r="J14" s="75"/>
      <c r="K14" s="75"/>
      <c r="L14" s="75"/>
      <c r="M14" s="75"/>
      <c r="N14" s="133"/>
      <c r="O14" s="133"/>
      <c r="P14" s="133"/>
      <c r="Q14" s="133"/>
      <c r="R14" s="133"/>
      <c r="S14" s="133"/>
      <c r="T14" s="133"/>
      <c r="U14" s="133"/>
      <c r="V14" s="75"/>
      <c r="W14" s="75"/>
      <c r="X14" s="75"/>
      <c r="Y14" s="75"/>
      <c r="Z14" s="75"/>
      <c r="AA14" s="75"/>
      <c r="AB14" s="75"/>
      <c r="AC14" s="72"/>
      <c r="AD14" s="180"/>
      <c r="AE14" s="180"/>
      <c r="AF14" s="180"/>
      <c r="AG14" s="180"/>
      <c r="AH14" s="180"/>
      <c r="AI14" s="73" t="s">
        <v>35</v>
      </c>
      <c r="AJ14" s="72"/>
    </row>
    <row r="15" spans="1:36" ht="5.0999999999999996" customHeight="1" x14ac:dyDescent="0.25">
      <c r="A15" s="181"/>
      <c r="B15" s="181"/>
      <c r="C15" s="181"/>
      <c r="D15" s="181"/>
      <c r="E15" s="181"/>
      <c r="F15" s="79"/>
      <c r="G15" s="183">
        <v>9</v>
      </c>
      <c r="H15" s="183"/>
      <c r="I15" s="77"/>
      <c r="J15" s="77"/>
      <c r="K15" s="77"/>
      <c r="L15" s="77"/>
      <c r="M15" s="135"/>
      <c r="N15" s="77"/>
      <c r="O15" s="77"/>
      <c r="P15" s="77"/>
      <c r="Q15" s="77"/>
      <c r="R15" s="77"/>
      <c r="S15" s="77"/>
      <c r="T15" s="77"/>
      <c r="U15" s="77"/>
      <c r="V15" s="137"/>
      <c r="W15" s="87"/>
      <c r="X15" s="87"/>
      <c r="Y15" s="87"/>
      <c r="Z15" s="87"/>
      <c r="AA15" s="184"/>
      <c r="AB15" s="184"/>
      <c r="AC15" s="85"/>
      <c r="AD15" s="180"/>
      <c r="AE15" s="180"/>
      <c r="AF15" s="180"/>
      <c r="AG15" s="180"/>
      <c r="AH15" s="180"/>
      <c r="AI15" s="73" t="s">
        <v>35</v>
      </c>
      <c r="AJ15" s="72"/>
    </row>
    <row r="16" spans="1:36" ht="5.0999999999999996" customHeight="1" x14ac:dyDescent="0.25">
      <c r="A16" s="181"/>
      <c r="B16" s="181"/>
      <c r="C16" s="181"/>
      <c r="D16" s="181"/>
      <c r="E16" s="181"/>
      <c r="F16" s="79"/>
      <c r="G16" s="183"/>
      <c r="H16" s="183"/>
      <c r="I16" s="77"/>
      <c r="J16" s="77"/>
      <c r="K16" s="77"/>
      <c r="L16" s="77"/>
      <c r="M16" s="135"/>
      <c r="N16" s="77"/>
      <c r="O16" s="77"/>
      <c r="P16" s="77"/>
      <c r="Q16" s="77"/>
      <c r="R16" s="77"/>
      <c r="S16" s="77"/>
      <c r="T16" s="77"/>
      <c r="U16" s="77"/>
      <c r="V16" s="137"/>
      <c r="W16" s="87"/>
      <c r="X16" s="87"/>
      <c r="Y16" s="87"/>
      <c r="Z16" s="87"/>
      <c r="AA16" s="184"/>
      <c r="AB16" s="184"/>
      <c r="AC16" s="85"/>
      <c r="AD16" s="180"/>
      <c r="AE16" s="180"/>
      <c r="AF16" s="180"/>
      <c r="AG16" s="180"/>
      <c r="AH16" s="180"/>
      <c r="AI16" s="73" t="s">
        <v>35</v>
      </c>
      <c r="AJ16" s="72"/>
    </row>
    <row r="17" spans="1:36" ht="5.0999999999999996" customHeight="1" x14ac:dyDescent="0.25">
      <c r="A17" s="181"/>
      <c r="B17" s="181"/>
      <c r="C17" s="181"/>
      <c r="D17" s="181"/>
      <c r="E17" s="181"/>
      <c r="F17" s="79"/>
      <c r="G17" s="76"/>
      <c r="H17" s="76"/>
      <c r="I17" s="78"/>
      <c r="J17" s="78"/>
      <c r="K17" s="77"/>
      <c r="L17" s="77"/>
      <c r="M17" s="135"/>
      <c r="N17" s="77"/>
      <c r="O17" s="77"/>
      <c r="P17" s="77"/>
      <c r="Q17" s="77"/>
      <c r="R17" s="77"/>
      <c r="S17" s="77"/>
      <c r="T17" s="77"/>
      <c r="U17" s="77"/>
      <c r="V17" s="137"/>
      <c r="W17" s="87"/>
      <c r="X17" s="87"/>
      <c r="Y17" s="138"/>
      <c r="Z17" s="138"/>
      <c r="AA17" s="139"/>
      <c r="AB17" s="139"/>
      <c r="AC17" s="85"/>
      <c r="AD17" s="180"/>
      <c r="AE17" s="180"/>
      <c r="AF17" s="180"/>
      <c r="AG17" s="180"/>
      <c r="AH17" s="180"/>
      <c r="AI17" s="73" t="s">
        <v>35</v>
      </c>
      <c r="AJ17" s="72"/>
    </row>
    <row r="18" spans="1:36" ht="5.0999999999999996" customHeight="1" x14ac:dyDescent="0.25">
      <c r="A18" s="181"/>
      <c r="B18" s="181"/>
      <c r="C18" s="181"/>
      <c r="D18" s="181"/>
      <c r="E18" s="181"/>
      <c r="F18" s="79"/>
      <c r="G18" s="183"/>
      <c r="H18" s="183"/>
      <c r="I18" s="78"/>
      <c r="J18" s="78"/>
      <c r="K18" s="77"/>
      <c r="L18" s="77"/>
      <c r="M18" s="135"/>
      <c r="N18" s="77"/>
      <c r="O18" s="77"/>
      <c r="P18" s="77"/>
      <c r="Q18" s="77"/>
      <c r="R18" s="77"/>
      <c r="S18" s="77"/>
      <c r="T18" s="77"/>
      <c r="U18" s="77"/>
      <c r="V18" s="137"/>
      <c r="W18" s="87"/>
      <c r="X18" s="87"/>
      <c r="Y18" s="138"/>
      <c r="Z18" s="138"/>
      <c r="AA18" s="184"/>
      <c r="AB18" s="184"/>
      <c r="AC18" s="85"/>
      <c r="AD18" s="180"/>
      <c r="AE18" s="180"/>
      <c r="AF18" s="180"/>
      <c r="AG18" s="180"/>
      <c r="AH18" s="180"/>
      <c r="AI18" s="73" t="s">
        <v>35</v>
      </c>
      <c r="AJ18" s="72"/>
    </row>
    <row r="19" spans="1:36" ht="5.0999999999999996" customHeight="1" x14ac:dyDescent="0.25">
      <c r="A19" s="181"/>
      <c r="B19" s="181"/>
      <c r="C19" s="181"/>
      <c r="D19" s="181"/>
      <c r="E19" s="181"/>
      <c r="F19" s="79"/>
      <c r="G19" s="183"/>
      <c r="H19" s="183"/>
      <c r="I19" s="78"/>
      <c r="J19" s="78"/>
      <c r="K19" s="77"/>
      <c r="L19" s="77"/>
      <c r="M19" s="135"/>
      <c r="N19" s="77"/>
      <c r="O19" s="77"/>
      <c r="P19" s="77"/>
      <c r="Q19" s="77"/>
      <c r="R19" s="77"/>
      <c r="S19" s="77"/>
      <c r="T19" s="77"/>
      <c r="U19" s="77"/>
      <c r="V19" s="137"/>
      <c r="W19" s="87"/>
      <c r="X19" s="87"/>
      <c r="Y19" s="138"/>
      <c r="Z19" s="138"/>
      <c r="AA19" s="184"/>
      <c r="AB19" s="184"/>
      <c r="AC19" s="85"/>
      <c r="AD19" s="180"/>
      <c r="AE19" s="180"/>
      <c r="AF19" s="180"/>
      <c r="AG19" s="180"/>
      <c r="AH19" s="180"/>
      <c r="AI19" s="73" t="s">
        <v>35</v>
      </c>
      <c r="AJ19" s="72"/>
    </row>
    <row r="20" spans="1:36" ht="5.0999999999999996" customHeight="1" x14ac:dyDescent="0.25">
      <c r="A20" s="181"/>
      <c r="B20" s="181"/>
      <c r="C20" s="181"/>
      <c r="D20" s="181"/>
      <c r="E20" s="181"/>
      <c r="F20" s="79"/>
      <c r="G20" s="76"/>
      <c r="H20" s="76"/>
      <c r="I20" s="78"/>
      <c r="J20" s="78"/>
      <c r="K20" s="77"/>
      <c r="L20" s="77"/>
      <c r="M20" s="135"/>
      <c r="N20" s="77"/>
      <c r="O20" s="77"/>
      <c r="P20" s="77"/>
      <c r="Q20" s="77"/>
      <c r="R20" s="77"/>
      <c r="S20" s="77"/>
      <c r="T20" s="77"/>
      <c r="U20" s="77"/>
      <c r="V20" s="137"/>
      <c r="W20" s="87"/>
      <c r="X20" s="87"/>
      <c r="Y20" s="138"/>
      <c r="Z20" s="138"/>
      <c r="AA20" s="139"/>
      <c r="AB20" s="139"/>
      <c r="AC20" s="85"/>
      <c r="AD20" s="180"/>
      <c r="AE20" s="180"/>
      <c r="AF20" s="180"/>
      <c r="AG20" s="180"/>
      <c r="AH20" s="180"/>
      <c r="AI20" s="73" t="s">
        <v>35</v>
      </c>
      <c r="AJ20" s="72"/>
    </row>
    <row r="21" spans="1:36" ht="5.0999999999999996" customHeight="1" x14ac:dyDescent="0.25">
      <c r="A21" s="181"/>
      <c r="B21" s="181"/>
      <c r="C21" s="181"/>
      <c r="D21" s="181"/>
      <c r="E21" s="181"/>
      <c r="F21" s="79"/>
      <c r="G21" s="183">
        <v>7</v>
      </c>
      <c r="H21" s="183"/>
      <c r="I21" s="77"/>
      <c r="J21" s="77"/>
      <c r="K21" s="77"/>
      <c r="L21" s="77"/>
      <c r="M21" s="135"/>
      <c r="N21" s="77"/>
      <c r="O21" s="77"/>
      <c r="P21" s="77"/>
      <c r="Q21" s="77"/>
      <c r="R21" s="77"/>
      <c r="S21" s="77"/>
      <c r="T21" s="77"/>
      <c r="U21" s="77"/>
      <c r="V21" s="137"/>
      <c r="W21" s="87"/>
      <c r="X21" s="87"/>
      <c r="Y21" s="87"/>
      <c r="Z21" s="87"/>
      <c r="AA21" s="184"/>
      <c r="AB21" s="184"/>
      <c r="AC21" s="85"/>
      <c r="AD21" s="180"/>
      <c r="AE21" s="180"/>
      <c r="AF21" s="180"/>
      <c r="AG21" s="180"/>
      <c r="AH21" s="180"/>
      <c r="AI21" s="73" t="s">
        <v>35</v>
      </c>
      <c r="AJ21" s="72"/>
    </row>
    <row r="22" spans="1:36" ht="5.0999999999999996" customHeight="1" x14ac:dyDescent="0.25">
      <c r="A22" s="181"/>
      <c r="B22" s="181"/>
      <c r="C22" s="181"/>
      <c r="D22" s="181"/>
      <c r="E22" s="181"/>
      <c r="F22" s="79"/>
      <c r="G22" s="183"/>
      <c r="H22" s="183"/>
      <c r="I22" s="77"/>
      <c r="J22" s="77"/>
      <c r="K22" s="77"/>
      <c r="L22" s="77"/>
      <c r="M22" s="135"/>
      <c r="N22" s="77"/>
      <c r="O22" s="77"/>
      <c r="P22" s="77"/>
      <c r="Q22" s="77"/>
      <c r="R22" s="77"/>
      <c r="S22" s="77"/>
      <c r="T22" s="77"/>
      <c r="U22" s="77"/>
      <c r="V22" s="137"/>
      <c r="W22" s="87"/>
      <c r="X22" s="87"/>
      <c r="Y22" s="87"/>
      <c r="Z22" s="87"/>
      <c r="AA22" s="184"/>
      <c r="AB22" s="184"/>
      <c r="AC22" s="85"/>
      <c r="AD22" s="180"/>
      <c r="AE22" s="180"/>
      <c r="AF22" s="180"/>
      <c r="AG22" s="180"/>
      <c r="AH22" s="180"/>
      <c r="AI22" s="73" t="s">
        <v>35</v>
      </c>
      <c r="AJ22" s="72"/>
    </row>
    <row r="23" spans="1:36" ht="5.0999999999999996" customHeight="1" x14ac:dyDescent="0.25">
      <c r="A23" s="181"/>
      <c r="B23" s="181"/>
      <c r="C23" s="181"/>
      <c r="D23" s="181"/>
      <c r="E23" s="181"/>
      <c r="F23" s="72"/>
      <c r="G23" s="75"/>
      <c r="H23" s="75"/>
      <c r="I23" s="75"/>
      <c r="J23" s="75"/>
      <c r="K23" s="75"/>
      <c r="L23" s="75"/>
      <c r="M23" s="75"/>
      <c r="N23" s="134"/>
      <c r="O23" s="134"/>
      <c r="P23" s="134"/>
      <c r="Q23" s="134"/>
      <c r="R23" s="134"/>
      <c r="S23" s="134"/>
      <c r="T23" s="134"/>
      <c r="U23" s="134"/>
      <c r="V23" s="75"/>
      <c r="W23" s="75"/>
      <c r="X23" s="75"/>
      <c r="Y23" s="75"/>
      <c r="Z23" s="75"/>
      <c r="AA23" s="75"/>
      <c r="AB23" s="75"/>
      <c r="AC23" s="72"/>
      <c r="AD23" s="180"/>
      <c r="AE23" s="180"/>
      <c r="AF23" s="180"/>
      <c r="AG23" s="180"/>
      <c r="AH23" s="180"/>
      <c r="AI23" s="73" t="s">
        <v>35</v>
      </c>
      <c r="AJ23" s="72"/>
    </row>
    <row r="24" spans="1:36" ht="5.0999999999999996" customHeight="1" x14ac:dyDescent="0.25">
      <c r="A24" s="181"/>
      <c r="B24" s="181"/>
      <c r="C24" s="181"/>
      <c r="D24" s="181"/>
      <c r="E24" s="181"/>
      <c r="F24" s="72"/>
      <c r="G24" s="75"/>
      <c r="H24" s="75"/>
      <c r="I24" s="75"/>
      <c r="J24" s="75"/>
      <c r="K24" s="75"/>
      <c r="L24" s="75"/>
      <c r="M24" s="75"/>
      <c r="N24" s="77"/>
      <c r="O24" s="77"/>
      <c r="P24" s="77"/>
      <c r="Q24" s="77"/>
      <c r="R24" s="77"/>
      <c r="S24" s="77"/>
      <c r="T24" s="77"/>
      <c r="U24" s="77"/>
      <c r="V24" s="75"/>
      <c r="W24" s="75"/>
      <c r="X24" s="75"/>
      <c r="Y24" s="75"/>
      <c r="Z24" s="75"/>
      <c r="AA24" s="75"/>
      <c r="AB24" s="75"/>
      <c r="AC24" s="72"/>
      <c r="AD24" s="180"/>
      <c r="AE24" s="180"/>
      <c r="AF24" s="180"/>
      <c r="AG24" s="180"/>
      <c r="AH24" s="180"/>
      <c r="AI24" s="73" t="s">
        <v>35</v>
      </c>
      <c r="AJ24" s="72"/>
    </row>
    <row r="25" spans="1:36" ht="5.0999999999999996" customHeight="1" x14ac:dyDescent="0.25">
      <c r="A25" s="181"/>
      <c r="B25" s="181"/>
      <c r="C25" s="181"/>
      <c r="D25" s="181"/>
      <c r="E25" s="181"/>
      <c r="F25" s="72"/>
      <c r="G25" s="75"/>
      <c r="H25" s="75"/>
      <c r="I25" s="75"/>
      <c r="J25" s="75"/>
      <c r="K25" s="75"/>
      <c r="L25" s="75"/>
      <c r="M25" s="75"/>
      <c r="N25" s="77"/>
      <c r="O25" s="77"/>
      <c r="P25" s="77"/>
      <c r="Q25" s="77"/>
      <c r="R25" s="77"/>
      <c r="S25" s="77"/>
      <c r="T25" s="77"/>
      <c r="U25" s="77"/>
      <c r="V25" s="75"/>
      <c r="W25" s="75"/>
      <c r="X25" s="75"/>
      <c r="Y25" s="75"/>
      <c r="Z25" s="75"/>
      <c r="AA25" s="75"/>
      <c r="AB25" s="75"/>
      <c r="AC25" s="72"/>
      <c r="AD25" s="180"/>
      <c r="AE25" s="180"/>
      <c r="AF25" s="180"/>
      <c r="AG25" s="180"/>
      <c r="AH25" s="180"/>
      <c r="AI25" s="73" t="s">
        <v>35</v>
      </c>
      <c r="AJ25" s="72"/>
    </row>
    <row r="26" spans="1:36" ht="5.0999999999999996" customHeight="1" x14ac:dyDescent="0.25">
      <c r="A26" s="181"/>
      <c r="B26" s="181"/>
      <c r="C26" s="181"/>
      <c r="D26" s="181"/>
      <c r="E26" s="181"/>
      <c r="F26" s="72"/>
      <c r="G26" s="75"/>
      <c r="H26" s="75"/>
      <c r="I26" s="75"/>
      <c r="J26" s="75"/>
      <c r="K26" s="75"/>
      <c r="L26" s="75"/>
      <c r="M26" s="75"/>
      <c r="N26" s="77"/>
      <c r="O26" s="77"/>
      <c r="P26" s="78"/>
      <c r="Q26" s="78"/>
      <c r="R26" s="78"/>
      <c r="S26" s="78"/>
      <c r="T26" s="77"/>
      <c r="U26" s="77"/>
      <c r="V26" s="75"/>
      <c r="W26" s="75"/>
      <c r="X26" s="75"/>
      <c r="Y26" s="75"/>
      <c r="Z26" s="75"/>
      <c r="AA26" s="75"/>
      <c r="AB26" s="75"/>
      <c r="AC26" s="72"/>
      <c r="AD26" s="180"/>
      <c r="AE26" s="180"/>
      <c r="AF26" s="180"/>
      <c r="AG26" s="180"/>
      <c r="AH26" s="180"/>
      <c r="AI26" s="73" t="s">
        <v>35</v>
      </c>
      <c r="AJ26" s="72"/>
    </row>
    <row r="27" spans="1:36" ht="5.0999999999999996" customHeight="1" x14ac:dyDescent="0.25">
      <c r="A27" s="181"/>
      <c r="B27" s="181"/>
      <c r="C27" s="181"/>
      <c r="D27" s="181"/>
      <c r="E27" s="181"/>
      <c r="F27" s="72"/>
      <c r="G27" s="75"/>
      <c r="H27" s="75"/>
      <c r="I27" s="75"/>
      <c r="J27" s="75"/>
      <c r="K27" s="75"/>
      <c r="L27" s="75"/>
      <c r="M27" s="75"/>
      <c r="N27" s="77"/>
      <c r="O27" s="77"/>
      <c r="P27" s="78"/>
      <c r="Q27" s="78"/>
      <c r="R27" s="78"/>
      <c r="S27" s="78"/>
      <c r="T27" s="77"/>
      <c r="U27" s="77"/>
      <c r="V27" s="75"/>
      <c r="W27" s="75"/>
      <c r="X27" s="75"/>
      <c r="Y27" s="75"/>
      <c r="Z27" s="75"/>
      <c r="AA27" s="75"/>
      <c r="AB27" s="75"/>
      <c r="AC27" s="72"/>
      <c r="AD27" s="180"/>
      <c r="AE27" s="180"/>
      <c r="AF27" s="180"/>
      <c r="AG27" s="180"/>
      <c r="AH27" s="180"/>
      <c r="AI27" s="73" t="s">
        <v>35</v>
      </c>
      <c r="AJ27" s="72"/>
    </row>
    <row r="28" spans="1:36" ht="5.0999999999999996" customHeight="1" x14ac:dyDescent="0.25">
      <c r="A28" s="181"/>
      <c r="B28" s="181"/>
      <c r="C28" s="181"/>
      <c r="D28" s="181"/>
      <c r="E28" s="181"/>
      <c r="F28" s="72"/>
      <c r="G28" s="75"/>
      <c r="H28" s="75"/>
      <c r="I28" s="75"/>
      <c r="J28" s="75"/>
      <c r="K28" s="75"/>
      <c r="L28" s="75"/>
      <c r="M28" s="75"/>
      <c r="N28" s="77"/>
      <c r="O28" s="77"/>
      <c r="P28" s="78"/>
      <c r="Q28" s="78"/>
      <c r="R28" s="78"/>
      <c r="S28" s="78"/>
      <c r="T28" s="77"/>
      <c r="U28" s="77"/>
      <c r="V28" s="75"/>
      <c r="W28" s="75"/>
      <c r="X28" s="75"/>
      <c r="Y28" s="75"/>
      <c r="Z28" s="75"/>
      <c r="AA28" s="75"/>
      <c r="AB28" s="75"/>
      <c r="AC28" s="72"/>
      <c r="AD28" s="180"/>
      <c r="AE28" s="180"/>
      <c r="AF28" s="180"/>
      <c r="AG28" s="180"/>
      <c r="AH28" s="180"/>
      <c r="AI28" s="73" t="s">
        <v>35</v>
      </c>
      <c r="AJ28" s="72"/>
    </row>
    <row r="29" spans="1:36" ht="5.0999999999999996" customHeight="1" x14ac:dyDescent="0.25">
      <c r="A29" s="181"/>
      <c r="B29" s="181"/>
      <c r="C29" s="181"/>
      <c r="D29" s="181"/>
      <c r="E29" s="181"/>
      <c r="F29" s="72"/>
      <c r="G29" s="75"/>
      <c r="H29" s="75"/>
      <c r="I29" s="75"/>
      <c r="J29" s="75"/>
      <c r="K29" s="75"/>
      <c r="L29" s="75"/>
      <c r="M29" s="75"/>
      <c r="N29" s="183"/>
      <c r="O29" s="183"/>
      <c r="P29" s="76"/>
      <c r="Q29" s="183">
        <v>5</v>
      </c>
      <c r="R29" s="183"/>
      <c r="S29" s="76"/>
      <c r="T29" s="183"/>
      <c r="U29" s="183"/>
      <c r="V29" s="75"/>
      <c r="W29" s="75"/>
      <c r="X29" s="75"/>
      <c r="Y29" s="75"/>
      <c r="Z29" s="75"/>
      <c r="AA29" s="75"/>
      <c r="AB29" s="75"/>
      <c r="AC29" s="72"/>
      <c r="AD29" s="180"/>
      <c r="AE29" s="180"/>
      <c r="AF29" s="180"/>
      <c r="AG29" s="180"/>
      <c r="AH29" s="180"/>
      <c r="AI29" s="73" t="s">
        <v>35</v>
      </c>
      <c r="AJ29" s="72"/>
    </row>
    <row r="30" spans="1:36" ht="5.0999999999999996" customHeight="1" x14ac:dyDescent="0.25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183"/>
      <c r="O30" s="183"/>
      <c r="P30" s="74"/>
      <c r="Q30" s="183"/>
      <c r="R30" s="183"/>
      <c r="S30" s="74"/>
      <c r="T30" s="183"/>
      <c r="U30" s="183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3" t="s">
        <v>35</v>
      </c>
      <c r="AJ30" s="72"/>
    </row>
    <row r="31" spans="1:36" ht="5.0999999999999996" customHeight="1" x14ac:dyDescent="0.25">
      <c r="A31" s="72"/>
      <c r="B31" s="72"/>
      <c r="C31" s="72"/>
      <c r="D31" s="72"/>
      <c r="E31" s="72"/>
      <c r="F31" s="72"/>
      <c r="G31" s="182" t="str">
        <f>INFO!B21</f>
        <v>Z. R8 komende van Complex Bissegem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72"/>
      <c r="AD31" s="72"/>
      <c r="AE31" s="72"/>
      <c r="AF31" s="72"/>
      <c r="AG31" s="72"/>
      <c r="AH31" s="72"/>
      <c r="AI31" s="73" t="s">
        <v>35</v>
      </c>
      <c r="AJ31" s="72"/>
    </row>
    <row r="32" spans="1:36" ht="5.0999999999999996" customHeight="1" x14ac:dyDescent="0.25">
      <c r="A32" s="72"/>
      <c r="B32" s="72"/>
      <c r="C32" s="72"/>
      <c r="D32" s="72"/>
      <c r="E32" s="72"/>
      <c r="F32" s="7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72"/>
      <c r="AD32" s="72"/>
      <c r="AE32" s="72"/>
      <c r="AF32" s="72"/>
      <c r="AG32" s="72"/>
      <c r="AH32" s="72"/>
      <c r="AI32" s="73" t="s">
        <v>35</v>
      </c>
      <c r="AJ32" s="72"/>
    </row>
    <row r="33" spans="1:36" ht="5.0999999999999996" customHeight="1" x14ac:dyDescent="0.25">
      <c r="A33" s="72"/>
      <c r="B33" s="72"/>
      <c r="C33" s="72"/>
      <c r="D33" s="72"/>
      <c r="E33" s="72"/>
      <c r="F33" s="7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72"/>
      <c r="AD33" s="72"/>
      <c r="AE33" s="72"/>
      <c r="AF33" s="72"/>
      <c r="AG33" s="72"/>
      <c r="AH33" s="72"/>
      <c r="AI33" s="73" t="s">
        <v>35</v>
      </c>
      <c r="AJ33" s="72"/>
    </row>
    <row r="34" spans="1:36" ht="5.0999999999999996" customHeight="1" x14ac:dyDescent="0.25">
      <c r="A34" s="72"/>
      <c r="B34" s="72"/>
      <c r="C34" s="72"/>
      <c r="D34" s="72"/>
      <c r="E34" s="72"/>
      <c r="F34" s="7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72"/>
      <c r="AD34" s="72"/>
      <c r="AE34" s="72"/>
      <c r="AF34" s="72"/>
      <c r="AG34" s="72"/>
      <c r="AH34" s="72"/>
      <c r="AI34" s="73" t="s">
        <v>35</v>
      </c>
      <c r="AJ34" s="72"/>
    </row>
    <row r="35" spans="1:36" ht="5.0999999999999996" customHeight="1" x14ac:dyDescent="0.25">
      <c r="A35" s="75"/>
      <c r="B35" s="75"/>
      <c r="C35" s="75"/>
      <c r="D35" s="75"/>
      <c r="E35" s="75"/>
      <c r="F35" s="75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75"/>
      <c r="AD35" s="75"/>
      <c r="AE35" s="75"/>
      <c r="AF35" s="75"/>
      <c r="AG35" s="75"/>
      <c r="AH35" s="75"/>
      <c r="AI35" s="80" t="s">
        <v>35</v>
      </c>
      <c r="AJ35" s="72"/>
    </row>
    <row r="36" spans="1:36" ht="5.0999999999999996" customHeight="1" x14ac:dyDescent="0.25">
      <c r="A36" s="81" t="s">
        <v>85</v>
      </c>
      <c r="B36" s="82"/>
      <c r="C36" s="82"/>
      <c r="D36" s="82"/>
      <c r="E36" s="82"/>
      <c r="F36" s="82"/>
      <c r="G36" s="82"/>
      <c r="H36" s="82"/>
      <c r="I36" s="82"/>
      <c r="J36" s="83" t="s">
        <v>35</v>
      </c>
      <c r="K36" s="83" t="s">
        <v>35</v>
      </c>
      <c r="L36" s="83" t="s">
        <v>35</v>
      </c>
      <c r="M36" s="83" t="s">
        <v>35</v>
      </c>
      <c r="N36" s="83" t="s">
        <v>35</v>
      </c>
      <c r="O36" s="83" t="s">
        <v>35</v>
      </c>
      <c r="P36" s="83" t="s">
        <v>35</v>
      </c>
      <c r="Q36" s="83" t="s">
        <v>35</v>
      </c>
      <c r="R36" s="83" t="s">
        <v>35</v>
      </c>
      <c r="S36" s="83" t="s">
        <v>35</v>
      </c>
      <c r="T36" s="83" t="s">
        <v>35</v>
      </c>
      <c r="U36" s="83" t="s">
        <v>35</v>
      </c>
      <c r="V36" s="83" t="s">
        <v>35</v>
      </c>
      <c r="W36" s="83" t="s">
        <v>35</v>
      </c>
      <c r="X36" s="83" t="s">
        <v>35</v>
      </c>
      <c r="Y36" s="83" t="s">
        <v>35</v>
      </c>
      <c r="Z36" s="83" t="s">
        <v>35</v>
      </c>
      <c r="AA36" s="83" t="s">
        <v>35</v>
      </c>
      <c r="AB36" s="83" t="s">
        <v>35</v>
      </c>
      <c r="AC36" s="83" t="s">
        <v>35</v>
      </c>
      <c r="AD36" s="83" t="s">
        <v>35</v>
      </c>
      <c r="AE36" s="83" t="s">
        <v>35</v>
      </c>
      <c r="AF36" s="83" t="s">
        <v>35</v>
      </c>
      <c r="AG36" s="83" t="s">
        <v>35</v>
      </c>
      <c r="AH36" s="84" t="s">
        <v>35</v>
      </c>
      <c r="AI36" s="83" t="s">
        <v>35</v>
      </c>
      <c r="AJ36" s="85"/>
    </row>
    <row r="37" spans="1:36" ht="5.0999999999999996" customHeight="1" x14ac:dyDescent="0.25">
      <c r="A37" s="75"/>
      <c r="B37" s="75"/>
      <c r="C37" s="75"/>
      <c r="D37" s="75"/>
      <c r="E37" s="75"/>
      <c r="F37" s="75"/>
      <c r="G37" s="185" t="str">
        <f>G2</f>
        <v>N. R8 komende van Complex Gullegem</v>
      </c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75"/>
      <c r="AD37" s="75"/>
      <c r="AE37" s="75"/>
      <c r="AF37" s="75"/>
      <c r="AG37" s="75"/>
      <c r="AH37" s="75"/>
      <c r="AI37" s="80" t="s">
        <v>35</v>
      </c>
      <c r="AJ37" s="72"/>
    </row>
    <row r="38" spans="1:36" ht="5.0999999999999996" customHeight="1" x14ac:dyDescent="0.25">
      <c r="A38" s="72"/>
      <c r="B38" s="72"/>
      <c r="C38" s="72"/>
      <c r="D38" s="72"/>
      <c r="E38" s="72"/>
      <c r="F38" s="72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72"/>
      <c r="AD38" s="72"/>
      <c r="AE38" s="72"/>
      <c r="AF38" s="72"/>
      <c r="AG38" s="72"/>
      <c r="AH38" s="72"/>
      <c r="AI38" s="73" t="s">
        <v>35</v>
      </c>
      <c r="AJ38" s="72"/>
    </row>
    <row r="39" spans="1:36" ht="5.0999999999999996" customHeight="1" x14ac:dyDescent="0.25">
      <c r="A39" s="72"/>
      <c r="B39" s="72"/>
      <c r="C39" s="72"/>
      <c r="D39" s="72"/>
      <c r="E39" s="72"/>
      <c r="F39" s="72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72"/>
      <c r="AD39" s="72"/>
      <c r="AE39" s="72"/>
      <c r="AF39" s="72"/>
      <c r="AG39" s="72"/>
      <c r="AH39" s="72"/>
      <c r="AI39" s="73" t="s">
        <v>35</v>
      </c>
      <c r="AJ39" s="72"/>
    </row>
    <row r="40" spans="1:36" ht="5.0999999999999996" customHeight="1" x14ac:dyDescent="0.25">
      <c r="A40" s="72"/>
      <c r="B40" s="72"/>
      <c r="C40" s="72"/>
      <c r="D40" s="72"/>
      <c r="E40" s="72"/>
      <c r="F40" s="72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72"/>
      <c r="AD40" s="72"/>
      <c r="AE40" s="72"/>
      <c r="AF40" s="72"/>
      <c r="AG40" s="72"/>
      <c r="AH40" s="72"/>
      <c r="AI40" s="73" t="s">
        <v>35</v>
      </c>
      <c r="AJ40" s="72"/>
    </row>
    <row r="41" spans="1:36" ht="5.0999999999999996" customHeight="1" x14ac:dyDescent="0.25">
      <c r="A41" s="72"/>
      <c r="B41" s="72"/>
      <c r="C41" s="72"/>
      <c r="D41" s="72"/>
      <c r="E41" s="72"/>
      <c r="F41" s="72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72"/>
      <c r="AD41" s="72"/>
      <c r="AE41" s="72"/>
      <c r="AF41" s="72"/>
      <c r="AG41" s="72"/>
      <c r="AH41" s="72"/>
      <c r="AI41" s="73" t="s">
        <v>35</v>
      </c>
      <c r="AJ41" s="72"/>
    </row>
    <row r="42" spans="1:36" ht="5.0999999999999996" customHeight="1" x14ac:dyDescent="0.25">
      <c r="A42" s="72"/>
      <c r="B42" s="72"/>
      <c r="C42" s="72"/>
      <c r="D42" s="72"/>
      <c r="E42" s="72"/>
      <c r="F42" s="85"/>
      <c r="G42" s="85"/>
      <c r="H42" s="85"/>
      <c r="I42" s="85"/>
      <c r="J42" s="85"/>
      <c r="K42" s="85"/>
      <c r="L42" s="85"/>
      <c r="M42" s="85"/>
      <c r="N42" s="79"/>
      <c r="O42" s="79"/>
      <c r="P42" s="79"/>
      <c r="Q42" s="86"/>
      <c r="R42" s="86"/>
      <c r="S42" s="79"/>
      <c r="T42" s="79"/>
      <c r="U42" s="79"/>
      <c r="V42" s="85"/>
      <c r="W42" s="85"/>
      <c r="X42" s="85"/>
      <c r="Y42" s="85"/>
      <c r="Z42" s="85"/>
      <c r="AA42" s="85"/>
      <c r="AB42" s="85"/>
      <c r="AC42" s="85"/>
      <c r="AD42" s="72"/>
      <c r="AE42" s="72"/>
      <c r="AF42" s="72"/>
      <c r="AG42" s="72"/>
      <c r="AH42" s="72"/>
      <c r="AI42" s="73" t="s">
        <v>35</v>
      </c>
      <c r="AJ42" s="72"/>
    </row>
    <row r="43" spans="1:36" ht="5.0999999999999996" customHeight="1" x14ac:dyDescent="0.25">
      <c r="A43" s="188" t="str">
        <f>A8</f>
        <v>W. Verbindingsboog komende van A19</v>
      </c>
      <c r="B43" s="188"/>
      <c r="C43" s="188"/>
      <c r="D43" s="188"/>
      <c r="E43" s="188"/>
      <c r="F43" s="85"/>
      <c r="G43" s="85"/>
      <c r="H43" s="85"/>
      <c r="I43" s="87"/>
      <c r="J43" s="87"/>
      <c r="K43" s="87"/>
      <c r="L43" s="87"/>
      <c r="M43" s="87"/>
      <c r="N43" s="79"/>
      <c r="O43" s="79"/>
      <c r="P43" s="78"/>
      <c r="Q43" s="86"/>
      <c r="R43" s="86"/>
      <c r="S43" s="78"/>
      <c r="T43" s="79"/>
      <c r="U43" s="79"/>
      <c r="V43" s="87"/>
      <c r="W43" s="87"/>
      <c r="X43" s="87"/>
      <c r="Y43" s="87"/>
      <c r="Z43" s="85"/>
      <c r="AA43" s="85"/>
      <c r="AB43" s="87"/>
      <c r="AC43" s="85"/>
      <c r="AD43" s="187"/>
      <c r="AE43" s="187"/>
      <c r="AF43" s="187"/>
      <c r="AG43" s="187"/>
      <c r="AH43" s="187"/>
      <c r="AI43" s="73" t="s">
        <v>35</v>
      </c>
      <c r="AJ43" s="72"/>
    </row>
    <row r="44" spans="1:36" ht="5.0999999999999996" customHeight="1" x14ac:dyDescent="0.25">
      <c r="A44" s="188"/>
      <c r="B44" s="188"/>
      <c r="C44" s="188"/>
      <c r="D44" s="188"/>
      <c r="E44" s="188"/>
      <c r="F44" s="85"/>
      <c r="G44" s="87"/>
      <c r="H44" s="87"/>
      <c r="I44" s="87"/>
      <c r="J44" s="87"/>
      <c r="K44" s="87"/>
      <c r="L44" s="87"/>
      <c r="M44" s="87"/>
      <c r="N44" s="77"/>
      <c r="O44" s="77"/>
      <c r="P44" s="78"/>
      <c r="Q44" s="186">
        <v>27</v>
      </c>
      <c r="R44" s="186"/>
      <c r="S44" s="78"/>
      <c r="T44" s="77"/>
      <c r="U44" s="77"/>
      <c r="V44" s="87"/>
      <c r="W44" s="87"/>
      <c r="X44" s="87"/>
      <c r="Y44" s="87"/>
      <c r="Z44" s="85"/>
      <c r="AA44" s="85"/>
      <c r="AB44" s="87"/>
      <c r="AC44" s="85"/>
      <c r="AD44" s="187"/>
      <c r="AE44" s="187"/>
      <c r="AF44" s="187"/>
      <c r="AG44" s="187"/>
      <c r="AH44" s="187"/>
      <c r="AI44" s="73" t="s">
        <v>35</v>
      </c>
      <c r="AJ44" s="72"/>
    </row>
    <row r="45" spans="1:36" ht="5.0999999999999996" customHeight="1" x14ac:dyDescent="0.25">
      <c r="A45" s="188"/>
      <c r="B45" s="188"/>
      <c r="C45" s="188"/>
      <c r="D45" s="188"/>
      <c r="E45" s="188"/>
      <c r="F45" s="85"/>
      <c r="G45" s="87"/>
      <c r="H45" s="87"/>
      <c r="I45" s="87"/>
      <c r="J45" s="87"/>
      <c r="K45" s="87"/>
      <c r="L45" s="87"/>
      <c r="M45" s="72"/>
      <c r="N45" s="79"/>
      <c r="O45" s="77"/>
      <c r="P45" s="78"/>
      <c r="Q45" s="186"/>
      <c r="R45" s="186"/>
      <c r="S45" s="78"/>
      <c r="T45" s="77"/>
      <c r="U45" s="77"/>
      <c r="V45" s="87"/>
      <c r="W45" s="87"/>
      <c r="X45" s="87"/>
      <c r="Y45" s="87"/>
      <c r="Z45" s="87"/>
      <c r="AA45" s="87"/>
      <c r="AB45" s="87"/>
      <c r="AC45" s="85"/>
      <c r="AD45" s="187"/>
      <c r="AE45" s="187"/>
      <c r="AF45" s="187"/>
      <c r="AG45" s="187"/>
      <c r="AH45" s="187"/>
      <c r="AI45" s="73" t="s">
        <v>35</v>
      </c>
      <c r="AJ45" s="72"/>
    </row>
    <row r="46" spans="1:36" ht="5.0999999999999996" customHeight="1" x14ac:dyDescent="0.25">
      <c r="A46" s="188"/>
      <c r="B46" s="188"/>
      <c r="C46" s="188"/>
      <c r="D46" s="188"/>
      <c r="E46" s="188"/>
      <c r="F46" s="85"/>
      <c r="G46" s="87"/>
      <c r="H46" s="87"/>
      <c r="I46" s="87"/>
      <c r="J46" s="87"/>
      <c r="K46" s="87"/>
      <c r="L46" s="87"/>
      <c r="M46" s="72"/>
      <c r="N46" s="79"/>
      <c r="O46" s="77"/>
      <c r="P46" s="78"/>
      <c r="Q46" s="78"/>
      <c r="R46" s="78"/>
      <c r="S46" s="78"/>
      <c r="T46" s="77"/>
      <c r="U46" s="77"/>
      <c r="V46" s="72"/>
      <c r="W46" s="72"/>
      <c r="X46" s="87"/>
      <c r="Y46" s="87"/>
      <c r="Z46" s="87"/>
      <c r="AA46" s="87"/>
      <c r="AB46" s="87"/>
      <c r="AC46" s="85"/>
      <c r="AD46" s="187"/>
      <c r="AE46" s="187"/>
      <c r="AF46" s="187"/>
      <c r="AG46" s="187"/>
      <c r="AH46" s="187"/>
      <c r="AI46" s="73" t="s">
        <v>35</v>
      </c>
      <c r="AJ46" s="72"/>
    </row>
    <row r="47" spans="1:36" ht="5.0999999999999996" customHeight="1" x14ac:dyDescent="0.25">
      <c r="A47" s="188"/>
      <c r="B47" s="188"/>
      <c r="C47" s="188"/>
      <c r="D47" s="188"/>
      <c r="E47" s="188"/>
      <c r="F47" s="85"/>
      <c r="G47" s="87"/>
      <c r="H47" s="87"/>
      <c r="I47" s="87"/>
      <c r="J47" s="87"/>
      <c r="K47" s="87"/>
      <c r="L47" s="87"/>
      <c r="M47" s="87"/>
      <c r="N47" s="77"/>
      <c r="O47" s="77"/>
      <c r="P47" s="77"/>
      <c r="Q47" s="186">
        <v>28</v>
      </c>
      <c r="R47" s="186"/>
      <c r="S47" s="79"/>
      <c r="T47" s="77"/>
      <c r="U47" s="77"/>
      <c r="V47" s="72"/>
      <c r="W47" s="72"/>
      <c r="X47" s="87"/>
      <c r="Y47" s="87"/>
      <c r="Z47" s="87"/>
      <c r="AA47" s="85"/>
      <c r="AB47" s="85"/>
      <c r="AC47" s="85"/>
      <c r="AD47" s="187"/>
      <c r="AE47" s="187"/>
      <c r="AF47" s="187"/>
      <c r="AG47" s="187"/>
      <c r="AH47" s="187"/>
      <c r="AI47" s="73" t="s">
        <v>35</v>
      </c>
      <c r="AJ47" s="72"/>
    </row>
    <row r="48" spans="1:36" ht="5.0999999999999996" customHeight="1" x14ac:dyDescent="0.25">
      <c r="A48" s="188"/>
      <c r="B48" s="188"/>
      <c r="C48" s="188"/>
      <c r="D48" s="188"/>
      <c r="E48" s="188"/>
      <c r="F48" s="85"/>
      <c r="G48" s="87"/>
      <c r="H48" s="87"/>
      <c r="I48" s="87"/>
      <c r="J48" s="72"/>
      <c r="K48" s="72"/>
      <c r="L48" s="87"/>
      <c r="M48" s="87"/>
      <c r="N48" s="77"/>
      <c r="O48" s="77"/>
      <c r="P48" s="77"/>
      <c r="Q48" s="186"/>
      <c r="R48" s="186"/>
      <c r="S48" s="79"/>
      <c r="T48" s="77"/>
      <c r="U48" s="77"/>
      <c r="V48" s="87"/>
      <c r="W48" s="87"/>
      <c r="X48" s="87"/>
      <c r="Y48" s="72"/>
      <c r="Z48" s="72"/>
      <c r="AA48" s="85"/>
      <c r="AB48" s="85"/>
      <c r="AC48" s="85"/>
      <c r="AD48" s="187"/>
      <c r="AE48" s="187"/>
      <c r="AF48" s="187"/>
      <c r="AG48" s="187"/>
      <c r="AH48" s="187"/>
      <c r="AI48" s="73" t="s">
        <v>35</v>
      </c>
      <c r="AJ48" s="72"/>
    </row>
    <row r="49" spans="1:36" ht="5.0999999999999996" customHeight="1" x14ac:dyDescent="0.25">
      <c r="A49" s="188"/>
      <c r="B49" s="188"/>
      <c r="C49" s="188"/>
      <c r="D49" s="188"/>
      <c r="E49" s="188"/>
      <c r="F49" s="85"/>
      <c r="G49" s="87"/>
      <c r="H49" s="87"/>
      <c r="I49" s="87"/>
      <c r="J49" s="72"/>
      <c r="K49" s="72"/>
      <c r="L49" s="87"/>
      <c r="M49" s="87"/>
      <c r="N49" s="133"/>
      <c r="O49" s="133"/>
      <c r="P49" s="133"/>
      <c r="Q49" s="133"/>
      <c r="R49" s="133"/>
      <c r="S49" s="133"/>
      <c r="T49" s="133"/>
      <c r="U49" s="133"/>
      <c r="V49" s="87"/>
      <c r="W49" s="87"/>
      <c r="X49" s="87"/>
      <c r="Y49" s="72"/>
      <c r="Z49" s="72"/>
      <c r="AA49" s="87"/>
      <c r="AB49" s="87"/>
      <c r="AC49" s="85"/>
      <c r="AD49" s="187"/>
      <c r="AE49" s="187"/>
      <c r="AF49" s="187"/>
      <c r="AG49" s="187"/>
      <c r="AH49" s="187"/>
      <c r="AI49" s="73" t="s">
        <v>35</v>
      </c>
      <c r="AJ49" s="72"/>
    </row>
    <row r="50" spans="1:36" ht="5.0999999999999996" customHeight="1" x14ac:dyDescent="0.25">
      <c r="A50" s="188"/>
      <c r="B50" s="188"/>
      <c r="C50" s="188"/>
      <c r="D50" s="188"/>
      <c r="E50" s="188"/>
      <c r="F50" s="79"/>
      <c r="G50" s="79"/>
      <c r="H50" s="79"/>
      <c r="I50" s="77"/>
      <c r="J50" s="77"/>
      <c r="K50" s="77"/>
      <c r="L50" s="77"/>
      <c r="M50" s="135"/>
      <c r="N50" s="77"/>
      <c r="O50" s="77"/>
      <c r="P50" s="77"/>
      <c r="Q50" s="77"/>
      <c r="R50" s="77"/>
      <c r="S50" s="77"/>
      <c r="T50" s="77"/>
      <c r="U50" s="77"/>
      <c r="V50" s="137"/>
      <c r="W50" s="87"/>
      <c r="X50" s="87"/>
      <c r="Y50" s="87"/>
      <c r="Z50" s="87"/>
      <c r="AA50" s="85"/>
      <c r="AB50" s="85"/>
      <c r="AC50" s="85"/>
      <c r="AD50" s="187"/>
      <c r="AE50" s="187"/>
      <c r="AF50" s="187"/>
      <c r="AG50" s="187"/>
      <c r="AH50" s="187"/>
      <c r="AI50" s="73" t="s">
        <v>35</v>
      </c>
      <c r="AJ50" s="72"/>
    </row>
    <row r="51" spans="1:36" ht="5.0999999999999996" customHeight="1" x14ac:dyDescent="0.25">
      <c r="A51" s="188"/>
      <c r="B51" s="188"/>
      <c r="C51" s="188"/>
      <c r="D51" s="188"/>
      <c r="E51" s="188"/>
      <c r="F51" s="79"/>
      <c r="G51" s="79"/>
      <c r="H51" s="79"/>
      <c r="I51" s="77"/>
      <c r="J51" s="77"/>
      <c r="K51" s="77"/>
      <c r="L51" s="77"/>
      <c r="M51" s="135"/>
      <c r="N51" s="77"/>
      <c r="O51" s="77"/>
      <c r="P51" s="77"/>
      <c r="Q51" s="77"/>
      <c r="R51" s="77"/>
      <c r="S51" s="77"/>
      <c r="T51" s="77"/>
      <c r="U51" s="77"/>
      <c r="V51" s="137"/>
      <c r="W51" s="87"/>
      <c r="X51" s="87"/>
      <c r="Y51" s="87"/>
      <c r="Z51" s="87"/>
      <c r="AA51" s="85"/>
      <c r="AB51" s="85"/>
      <c r="AC51" s="85"/>
      <c r="AD51" s="187"/>
      <c r="AE51" s="187"/>
      <c r="AF51" s="187"/>
      <c r="AG51" s="187"/>
      <c r="AH51" s="187"/>
      <c r="AI51" s="73" t="s">
        <v>35</v>
      </c>
      <c r="AJ51" s="72"/>
    </row>
    <row r="52" spans="1:36" ht="5.0999999999999996" customHeight="1" x14ac:dyDescent="0.25">
      <c r="A52" s="188"/>
      <c r="B52" s="188"/>
      <c r="C52" s="188"/>
      <c r="D52" s="188"/>
      <c r="E52" s="188"/>
      <c r="F52" s="79"/>
      <c r="G52" s="88"/>
      <c r="H52" s="88"/>
      <c r="I52" s="78"/>
      <c r="J52" s="78"/>
      <c r="K52" s="77"/>
      <c r="L52" s="77"/>
      <c r="M52" s="135"/>
      <c r="N52" s="77"/>
      <c r="O52" s="77"/>
      <c r="P52" s="77"/>
      <c r="Q52" s="77"/>
      <c r="R52" s="77"/>
      <c r="S52" s="77"/>
      <c r="T52" s="77"/>
      <c r="U52" s="77"/>
      <c r="V52" s="137"/>
      <c r="W52" s="87"/>
      <c r="X52" s="87"/>
      <c r="Y52" s="138"/>
      <c r="Z52" s="138"/>
      <c r="AA52" s="140"/>
      <c r="AB52" s="140"/>
      <c r="AC52" s="85"/>
      <c r="AD52" s="187"/>
      <c r="AE52" s="187"/>
      <c r="AF52" s="187"/>
      <c r="AG52" s="187"/>
      <c r="AH52" s="187"/>
      <c r="AI52" s="73" t="s">
        <v>35</v>
      </c>
      <c r="AJ52" s="72"/>
    </row>
    <row r="53" spans="1:36" ht="5.0999999999999996" customHeight="1" x14ac:dyDescent="0.25">
      <c r="A53" s="188"/>
      <c r="B53" s="188"/>
      <c r="C53" s="188"/>
      <c r="D53" s="188"/>
      <c r="E53" s="188"/>
      <c r="F53" s="79"/>
      <c r="G53" s="88"/>
      <c r="H53" s="183">
        <v>25</v>
      </c>
      <c r="I53" s="183"/>
      <c r="J53" s="78"/>
      <c r="K53" s="183">
        <v>26</v>
      </c>
      <c r="L53" s="183"/>
      <c r="M53" s="135"/>
      <c r="N53" s="77"/>
      <c r="O53" s="77"/>
      <c r="P53" s="77"/>
      <c r="Q53" s="77"/>
      <c r="R53" s="77"/>
      <c r="S53" s="77"/>
      <c r="T53" s="77"/>
      <c r="U53" s="77"/>
      <c r="V53" s="137"/>
      <c r="W53" s="184"/>
      <c r="X53" s="184"/>
      <c r="Y53" s="138"/>
      <c r="Z53" s="184"/>
      <c r="AA53" s="184"/>
      <c r="AB53" s="85"/>
      <c r="AC53" s="85"/>
      <c r="AD53" s="187"/>
      <c r="AE53" s="187"/>
      <c r="AF53" s="187"/>
      <c r="AG53" s="187"/>
      <c r="AH53" s="187"/>
      <c r="AI53" s="73" t="s">
        <v>35</v>
      </c>
      <c r="AJ53" s="72"/>
    </row>
    <row r="54" spans="1:36" ht="5.0999999999999996" customHeight="1" x14ac:dyDescent="0.25">
      <c r="A54" s="188"/>
      <c r="B54" s="188"/>
      <c r="C54" s="188"/>
      <c r="D54" s="188"/>
      <c r="E54" s="188"/>
      <c r="F54" s="79"/>
      <c r="G54" s="88"/>
      <c r="H54" s="183"/>
      <c r="I54" s="183"/>
      <c r="J54" s="78"/>
      <c r="K54" s="183"/>
      <c r="L54" s="183"/>
      <c r="M54" s="135"/>
      <c r="N54" s="77"/>
      <c r="O54" s="77"/>
      <c r="P54" s="77"/>
      <c r="Q54" s="77"/>
      <c r="R54" s="77"/>
      <c r="S54" s="77"/>
      <c r="T54" s="77"/>
      <c r="U54" s="77"/>
      <c r="V54" s="137"/>
      <c r="W54" s="184"/>
      <c r="X54" s="184"/>
      <c r="Y54" s="138"/>
      <c r="Z54" s="184"/>
      <c r="AA54" s="184"/>
      <c r="AB54" s="85"/>
      <c r="AC54" s="85"/>
      <c r="AD54" s="187"/>
      <c r="AE54" s="187"/>
      <c r="AF54" s="187"/>
      <c r="AG54" s="187"/>
      <c r="AH54" s="187"/>
      <c r="AI54" s="73" t="s">
        <v>35</v>
      </c>
      <c r="AJ54" s="72"/>
    </row>
    <row r="55" spans="1:36" ht="5.0999999999999996" customHeight="1" x14ac:dyDescent="0.25">
      <c r="A55" s="188"/>
      <c r="B55" s="188"/>
      <c r="C55" s="188"/>
      <c r="D55" s="188"/>
      <c r="E55" s="188"/>
      <c r="F55" s="79"/>
      <c r="G55" s="88"/>
      <c r="H55" s="88"/>
      <c r="I55" s="78"/>
      <c r="J55" s="78"/>
      <c r="K55" s="77"/>
      <c r="L55" s="77"/>
      <c r="M55" s="135"/>
      <c r="N55" s="77"/>
      <c r="O55" s="77"/>
      <c r="P55" s="77"/>
      <c r="Q55" s="77"/>
      <c r="R55" s="77"/>
      <c r="S55" s="77"/>
      <c r="T55" s="77"/>
      <c r="U55" s="77"/>
      <c r="V55" s="137"/>
      <c r="W55" s="87"/>
      <c r="X55" s="87"/>
      <c r="Y55" s="138"/>
      <c r="Z55" s="138"/>
      <c r="AA55" s="140"/>
      <c r="AB55" s="140"/>
      <c r="AC55" s="85"/>
      <c r="AD55" s="187"/>
      <c r="AE55" s="187"/>
      <c r="AF55" s="187"/>
      <c r="AG55" s="187"/>
      <c r="AH55" s="187"/>
      <c r="AI55" s="73" t="s">
        <v>35</v>
      </c>
      <c r="AJ55" s="72"/>
    </row>
    <row r="56" spans="1:36" ht="5.0999999999999996" customHeight="1" x14ac:dyDescent="0.25">
      <c r="A56" s="188"/>
      <c r="B56" s="188"/>
      <c r="C56" s="188"/>
      <c r="D56" s="188"/>
      <c r="E56" s="188"/>
      <c r="F56" s="79"/>
      <c r="G56" s="79"/>
      <c r="H56" s="79"/>
      <c r="I56" s="77"/>
      <c r="J56" s="77"/>
      <c r="K56" s="77"/>
      <c r="L56" s="77"/>
      <c r="M56" s="135"/>
      <c r="N56" s="77"/>
      <c r="O56" s="77"/>
      <c r="P56" s="77"/>
      <c r="Q56" s="77"/>
      <c r="R56" s="77"/>
      <c r="S56" s="77"/>
      <c r="T56" s="77"/>
      <c r="U56" s="77"/>
      <c r="V56" s="137"/>
      <c r="W56" s="87"/>
      <c r="X56" s="87"/>
      <c r="Y56" s="87"/>
      <c r="Z56" s="85"/>
      <c r="AA56" s="85"/>
      <c r="AB56" s="85"/>
      <c r="AC56" s="85"/>
      <c r="AD56" s="187"/>
      <c r="AE56" s="187"/>
      <c r="AF56" s="187"/>
      <c r="AG56" s="187"/>
      <c r="AH56" s="187"/>
      <c r="AI56" s="73" t="s">
        <v>35</v>
      </c>
      <c r="AJ56" s="72"/>
    </row>
    <row r="57" spans="1:36" ht="5.0999999999999996" customHeight="1" x14ac:dyDescent="0.25">
      <c r="A57" s="188"/>
      <c r="B57" s="188"/>
      <c r="C57" s="188"/>
      <c r="D57" s="188"/>
      <c r="E57" s="188"/>
      <c r="F57" s="79"/>
      <c r="G57" s="79"/>
      <c r="H57" s="79"/>
      <c r="I57" s="79"/>
      <c r="J57" s="79"/>
      <c r="K57" s="77"/>
      <c r="L57" s="77"/>
      <c r="M57" s="135"/>
      <c r="N57" s="77"/>
      <c r="O57" s="77"/>
      <c r="P57" s="77"/>
      <c r="Q57" s="77"/>
      <c r="R57" s="77"/>
      <c r="S57" s="77"/>
      <c r="T57" s="77"/>
      <c r="U57" s="77"/>
      <c r="V57" s="137"/>
      <c r="W57" s="87"/>
      <c r="X57" s="85"/>
      <c r="Y57" s="85"/>
      <c r="Z57" s="85"/>
      <c r="AA57" s="85"/>
      <c r="AB57" s="85"/>
      <c r="AC57" s="85"/>
      <c r="AD57" s="187"/>
      <c r="AE57" s="187"/>
      <c r="AF57" s="187"/>
      <c r="AG57" s="187"/>
      <c r="AH57" s="187"/>
      <c r="AI57" s="73" t="s">
        <v>35</v>
      </c>
      <c r="AJ57" s="72"/>
    </row>
    <row r="58" spans="1:36" ht="5.0999999999999996" customHeight="1" x14ac:dyDescent="0.25">
      <c r="A58" s="188"/>
      <c r="B58" s="188"/>
      <c r="C58" s="188"/>
      <c r="D58" s="188"/>
      <c r="E58" s="188"/>
      <c r="F58" s="85"/>
      <c r="G58" s="87"/>
      <c r="H58" s="87"/>
      <c r="I58" s="72"/>
      <c r="J58" s="72"/>
      <c r="K58" s="87"/>
      <c r="L58" s="87"/>
      <c r="M58" s="87"/>
      <c r="N58" s="134"/>
      <c r="O58" s="134"/>
      <c r="P58" s="134"/>
      <c r="Q58" s="134"/>
      <c r="R58" s="134"/>
      <c r="S58" s="134"/>
      <c r="T58" s="134"/>
      <c r="U58" s="134"/>
      <c r="V58" s="87"/>
      <c r="W58" s="85"/>
      <c r="X58" s="72"/>
      <c r="Y58" s="72"/>
      <c r="Z58" s="87"/>
      <c r="AA58" s="87"/>
      <c r="AB58" s="87"/>
      <c r="AC58" s="85"/>
      <c r="AD58" s="187"/>
      <c r="AE58" s="187"/>
      <c r="AF58" s="187"/>
      <c r="AG58" s="187"/>
      <c r="AH58" s="187"/>
      <c r="AI58" s="73" t="s">
        <v>35</v>
      </c>
      <c r="AJ58" s="72"/>
    </row>
    <row r="59" spans="1:36" ht="5.0999999999999996" customHeight="1" x14ac:dyDescent="0.25">
      <c r="A59" s="188"/>
      <c r="B59" s="188"/>
      <c r="C59" s="188"/>
      <c r="D59" s="188"/>
      <c r="E59" s="188"/>
      <c r="F59" s="85"/>
      <c r="G59" s="87"/>
      <c r="H59" s="87"/>
      <c r="I59" s="87"/>
      <c r="J59" s="87"/>
      <c r="K59" s="87"/>
      <c r="L59" s="87"/>
      <c r="M59" s="87"/>
      <c r="N59" s="77"/>
      <c r="O59" s="77"/>
      <c r="P59" s="77"/>
      <c r="Q59" s="183">
        <v>24</v>
      </c>
      <c r="R59" s="183"/>
      <c r="S59" s="77"/>
      <c r="T59" s="77"/>
      <c r="U59" s="77"/>
      <c r="V59" s="87"/>
      <c r="W59" s="85"/>
      <c r="X59" s="85"/>
      <c r="Y59" s="87"/>
      <c r="Z59" s="87"/>
      <c r="AA59" s="87"/>
      <c r="AB59" s="87"/>
      <c r="AC59" s="85"/>
      <c r="AD59" s="187"/>
      <c r="AE59" s="187"/>
      <c r="AF59" s="187"/>
      <c r="AG59" s="187"/>
      <c r="AH59" s="187"/>
      <c r="AI59" s="73" t="s">
        <v>35</v>
      </c>
      <c r="AJ59" s="72"/>
    </row>
    <row r="60" spans="1:36" ht="5.0999999999999996" customHeight="1" x14ac:dyDescent="0.25">
      <c r="A60" s="188"/>
      <c r="B60" s="188"/>
      <c r="C60" s="188"/>
      <c r="D60" s="188"/>
      <c r="E60" s="188"/>
      <c r="F60" s="85"/>
      <c r="G60" s="87"/>
      <c r="H60" s="87"/>
      <c r="I60" s="87"/>
      <c r="J60" s="87"/>
      <c r="K60" s="87"/>
      <c r="L60" s="87"/>
      <c r="M60" s="72"/>
      <c r="N60" s="79"/>
      <c r="O60" s="77"/>
      <c r="P60" s="77"/>
      <c r="Q60" s="183"/>
      <c r="R60" s="183"/>
      <c r="S60" s="77"/>
      <c r="T60" s="77"/>
      <c r="U60" s="77"/>
      <c r="V60" s="87"/>
      <c r="W60" s="85"/>
      <c r="X60" s="85"/>
      <c r="Y60" s="87"/>
      <c r="Z60" s="87"/>
      <c r="AA60" s="87"/>
      <c r="AB60" s="87"/>
      <c r="AC60" s="85"/>
      <c r="AD60" s="187"/>
      <c r="AE60" s="187"/>
      <c r="AF60" s="187"/>
      <c r="AG60" s="187"/>
      <c r="AH60" s="187"/>
      <c r="AI60" s="73" t="s">
        <v>35</v>
      </c>
      <c r="AJ60" s="72"/>
    </row>
    <row r="61" spans="1:36" ht="5.0999999999999996" customHeight="1" x14ac:dyDescent="0.25">
      <c r="A61" s="188"/>
      <c r="B61" s="188"/>
      <c r="C61" s="188"/>
      <c r="D61" s="188"/>
      <c r="E61" s="188"/>
      <c r="F61" s="85"/>
      <c r="G61" s="87"/>
      <c r="H61" s="87"/>
      <c r="I61" s="85"/>
      <c r="J61" s="85"/>
      <c r="K61" s="87"/>
      <c r="L61" s="87"/>
      <c r="M61" s="72"/>
      <c r="N61" s="79"/>
      <c r="O61" s="77"/>
      <c r="P61" s="78"/>
      <c r="Q61" s="78"/>
      <c r="R61" s="78"/>
      <c r="S61" s="78"/>
      <c r="T61" s="77"/>
      <c r="U61" s="77"/>
      <c r="V61" s="72"/>
      <c r="W61" s="72"/>
      <c r="X61" s="85"/>
      <c r="Y61" s="87"/>
      <c r="Z61" s="87"/>
      <c r="AA61" s="87"/>
      <c r="AB61" s="87"/>
      <c r="AC61" s="85"/>
      <c r="AD61" s="187"/>
      <c r="AE61" s="187"/>
      <c r="AF61" s="187"/>
      <c r="AG61" s="187"/>
      <c r="AH61" s="187"/>
      <c r="AI61" s="73" t="s">
        <v>35</v>
      </c>
      <c r="AJ61" s="72"/>
    </row>
    <row r="62" spans="1:36" ht="5.0999999999999996" customHeight="1" x14ac:dyDescent="0.25">
      <c r="A62" s="188"/>
      <c r="B62" s="188"/>
      <c r="C62" s="188"/>
      <c r="D62" s="188"/>
      <c r="E62" s="188"/>
      <c r="F62" s="85"/>
      <c r="G62" s="87"/>
      <c r="H62" s="87"/>
      <c r="I62" s="85"/>
      <c r="J62" s="85"/>
      <c r="K62" s="87"/>
      <c r="L62" s="87"/>
      <c r="M62" s="87"/>
      <c r="N62" s="77"/>
      <c r="O62" s="77"/>
      <c r="P62" s="78"/>
      <c r="Q62" s="183">
        <v>23</v>
      </c>
      <c r="R62" s="183"/>
      <c r="S62" s="78"/>
      <c r="T62" s="77"/>
      <c r="U62" s="77"/>
      <c r="V62" s="72"/>
      <c r="W62" s="72"/>
      <c r="X62" s="85"/>
      <c r="Y62" s="85"/>
      <c r="Z62" s="87"/>
      <c r="AA62" s="87"/>
      <c r="AB62" s="87"/>
      <c r="AC62" s="85"/>
      <c r="AD62" s="187"/>
      <c r="AE62" s="187"/>
      <c r="AF62" s="187"/>
      <c r="AG62" s="187"/>
      <c r="AH62" s="187"/>
      <c r="AI62" s="73" t="s">
        <v>35</v>
      </c>
      <c r="AJ62" s="72"/>
    </row>
    <row r="63" spans="1:36" ht="5.0999999999999996" customHeight="1" x14ac:dyDescent="0.25">
      <c r="A63" s="188"/>
      <c r="B63" s="188"/>
      <c r="C63" s="188"/>
      <c r="D63" s="188"/>
      <c r="E63" s="188"/>
      <c r="F63" s="85"/>
      <c r="G63" s="87"/>
      <c r="H63" s="87"/>
      <c r="I63" s="87"/>
      <c r="J63" s="87"/>
      <c r="K63" s="87"/>
      <c r="L63" s="87"/>
      <c r="M63" s="87"/>
      <c r="N63" s="77"/>
      <c r="O63" s="77"/>
      <c r="P63" s="78"/>
      <c r="Q63" s="183"/>
      <c r="R63" s="183"/>
      <c r="S63" s="78"/>
      <c r="T63" s="77"/>
      <c r="U63" s="77"/>
      <c r="V63" s="87"/>
      <c r="W63" s="87"/>
      <c r="X63" s="85"/>
      <c r="Y63" s="85"/>
      <c r="Z63" s="87"/>
      <c r="AA63" s="87"/>
      <c r="AB63" s="87"/>
      <c r="AC63" s="85"/>
      <c r="AD63" s="187"/>
      <c r="AE63" s="187"/>
      <c r="AF63" s="187"/>
      <c r="AG63" s="187"/>
      <c r="AH63" s="187"/>
      <c r="AI63" s="73" t="s">
        <v>35</v>
      </c>
      <c r="AJ63" s="72"/>
    </row>
    <row r="64" spans="1:36" ht="5.0999999999999996" customHeight="1" x14ac:dyDescent="0.25">
      <c r="A64" s="188"/>
      <c r="B64" s="188"/>
      <c r="C64" s="188"/>
      <c r="D64" s="188"/>
      <c r="E64" s="188"/>
      <c r="F64" s="85"/>
      <c r="G64" s="87"/>
      <c r="H64" s="87"/>
      <c r="I64" s="87"/>
      <c r="J64" s="87"/>
      <c r="K64" s="87"/>
      <c r="L64" s="87"/>
      <c r="M64" s="87"/>
      <c r="N64" s="79"/>
      <c r="O64" s="79"/>
      <c r="P64" s="88"/>
      <c r="Q64" s="88"/>
      <c r="R64" s="88"/>
      <c r="S64" s="88"/>
      <c r="T64" s="79"/>
      <c r="U64" s="79"/>
      <c r="V64" s="87"/>
      <c r="W64" s="87"/>
      <c r="X64" s="87"/>
      <c r="Y64" s="87"/>
      <c r="Z64" s="87"/>
      <c r="AA64" s="87"/>
      <c r="AB64" s="87"/>
      <c r="AC64" s="85"/>
      <c r="AD64" s="187"/>
      <c r="AE64" s="187"/>
      <c r="AF64" s="187"/>
      <c r="AG64" s="187"/>
      <c r="AH64" s="187"/>
      <c r="AI64" s="73" t="s">
        <v>35</v>
      </c>
      <c r="AJ64" s="72"/>
    </row>
    <row r="65" spans="1:36" ht="5.0999999999999996" customHeight="1" x14ac:dyDescent="0.25">
      <c r="A65" s="72"/>
      <c r="B65" s="72"/>
      <c r="C65" s="72"/>
      <c r="D65" s="72"/>
      <c r="E65" s="72"/>
      <c r="F65" s="85"/>
      <c r="G65" s="85"/>
      <c r="H65" s="85"/>
      <c r="I65" s="85"/>
      <c r="J65" s="85"/>
      <c r="K65" s="85"/>
      <c r="L65" s="85"/>
      <c r="M65" s="85"/>
      <c r="N65" s="79"/>
      <c r="O65" s="79"/>
      <c r="P65" s="89"/>
      <c r="Q65" s="88"/>
      <c r="R65" s="88"/>
      <c r="S65" s="89"/>
      <c r="T65" s="79"/>
      <c r="U65" s="79"/>
      <c r="V65" s="85"/>
      <c r="W65" s="85"/>
      <c r="X65" s="85"/>
      <c r="Y65" s="85"/>
      <c r="Z65" s="85"/>
      <c r="AA65" s="85"/>
      <c r="AB65" s="85"/>
      <c r="AC65" s="85"/>
      <c r="AD65" s="72"/>
      <c r="AE65" s="72"/>
      <c r="AF65" s="72"/>
      <c r="AG65" s="72"/>
      <c r="AH65" s="72"/>
      <c r="AI65" s="73" t="s">
        <v>35</v>
      </c>
      <c r="AJ65" s="72"/>
    </row>
    <row r="66" spans="1:36" ht="5.0999999999999996" customHeight="1" x14ac:dyDescent="0.25">
      <c r="A66" s="72"/>
      <c r="B66" s="72"/>
      <c r="C66" s="72"/>
      <c r="D66" s="72"/>
      <c r="E66" s="72"/>
      <c r="F66" s="72"/>
      <c r="G66" s="185" t="str">
        <f>G31</f>
        <v>Z. R8 komende van Complex Bissegem</v>
      </c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72"/>
      <c r="AD66" s="72"/>
      <c r="AE66" s="72"/>
      <c r="AF66" s="72"/>
      <c r="AG66" s="72"/>
      <c r="AH66" s="72"/>
      <c r="AI66" s="73" t="s">
        <v>35</v>
      </c>
      <c r="AJ66" s="72"/>
    </row>
    <row r="67" spans="1:36" ht="5.0999999999999996" customHeight="1" x14ac:dyDescent="0.25">
      <c r="A67" s="72"/>
      <c r="B67" s="72"/>
      <c r="C67" s="72"/>
      <c r="D67" s="72"/>
      <c r="E67" s="72"/>
      <c r="F67" s="72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72"/>
      <c r="AD67" s="72"/>
      <c r="AE67" s="72"/>
      <c r="AF67" s="72"/>
      <c r="AG67" s="72"/>
      <c r="AH67" s="72"/>
      <c r="AI67" s="73" t="s">
        <v>35</v>
      </c>
      <c r="AJ67" s="72"/>
    </row>
    <row r="68" spans="1:36" ht="5.0999999999999996" customHeight="1" x14ac:dyDescent="0.25">
      <c r="A68" s="72"/>
      <c r="B68" s="72"/>
      <c r="C68" s="72"/>
      <c r="D68" s="72"/>
      <c r="E68" s="72"/>
      <c r="F68" s="72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72"/>
      <c r="AD68" s="72"/>
      <c r="AE68" s="72"/>
      <c r="AF68" s="72"/>
      <c r="AG68" s="72"/>
      <c r="AH68" s="72"/>
      <c r="AI68" s="73" t="s">
        <v>35</v>
      </c>
      <c r="AJ68" s="72"/>
    </row>
    <row r="69" spans="1:36" ht="5.0999999999999996" customHeight="1" x14ac:dyDescent="0.25">
      <c r="A69" s="72"/>
      <c r="B69" s="72"/>
      <c r="C69" s="72"/>
      <c r="D69" s="72"/>
      <c r="E69" s="72"/>
      <c r="F69" s="72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72"/>
      <c r="AD69" s="72"/>
      <c r="AE69" s="72"/>
      <c r="AF69" s="72"/>
      <c r="AG69" s="72"/>
      <c r="AH69" s="72"/>
      <c r="AI69" s="73" t="s">
        <v>35</v>
      </c>
      <c r="AJ69" s="72"/>
    </row>
    <row r="70" spans="1:36" ht="5.0999999999999996" customHeight="1" x14ac:dyDescent="0.25">
      <c r="A70" s="75"/>
      <c r="B70" s="75"/>
      <c r="C70" s="75"/>
      <c r="D70" s="75"/>
      <c r="E70" s="75"/>
      <c r="F70" s="7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75"/>
      <c r="AD70" s="75"/>
      <c r="AE70" s="75"/>
      <c r="AF70" s="75"/>
      <c r="AG70" s="75"/>
      <c r="AH70" s="75"/>
      <c r="AI70" s="73" t="s">
        <v>35</v>
      </c>
      <c r="AJ70" s="72"/>
    </row>
    <row r="71" spans="1:36" ht="5.0999999999999996" customHeight="1" x14ac:dyDescent="0.25">
      <c r="A71" s="81" t="s">
        <v>36</v>
      </c>
      <c r="B71" s="90"/>
      <c r="C71" s="90"/>
      <c r="D71" s="90"/>
      <c r="E71" s="90"/>
      <c r="F71" s="90"/>
      <c r="G71" s="90"/>
      <c r="H71" s="90"/>
      <c r="I71" s="90"/>
      <c r="J71" s="83" t="s">
        <v>35</v>
      </c>
      <c r="K71" s="83" t="s">
        <v>35</v>
      </c>
      <c r="L71" s="83" t="s">
        <v>35</v>
      </c>
      <c r="M71" s="83" t="s">
        <v>35</v>
      </c>
      <c r="N71" s="83" t="s">
        <v>35</v>
      </c>
      <c r="O71" s="83" t="s">
        <v>35</v>
      </c>
      <c r="P71" s="83" t="s">
        <v>35</v>
      </c>
      <c r="Q71" s="83" t="s">
        <v>35</v>
      </c>
      <c r="R71" s="83" t="s">
        <v>35</v>
      </c>
      <c r="S71" s="83" t="s">
        <v>35</v>
      </c>
      <c r="T71" s="83" t="s">
        <v>35</v>
      </c>
      <c r="U71" s="83" t="s">
        <v>35</v>
      </c>
      <c r="V71" s="83" t="s">
        <v>35</v>
      </c>
      <c r="W71" s="83" t="s">
        <v>35</v>
      </c>
      <c r="X71" s="83" t="s">
        <v>35</v>
      </c>
      <c r="Y71" s="83" t="s">
        <v>35</v>
      </c>
      <c r="Z71" s="83" t="s">
        <v>35</v>
      </c>
      <c r="AA71" s="83" t="s">
        <v>35</v>
      </c>
      <c r="AB71" s="83" t="s">
        <v>35</v>
      </c>
      <c r="AC71" s="83" t="s">
        <v>35</v>
      </c>
      <c r="AD71" s="83" t="s">
        <v>35</v>
      </c>
      <c r="AE71" s="83" t="s">
        <v>35</v>
      </c>
      <c r="AF71" s="83" t="s">
        <v>35</v>
      </c>
      <c r="AG71" s="83" t="s">
        <v>35</v>
      </c>
      <c r="AH71" s="83" t="s">
        <v>35</v>
      </c>
      <c r="AI71" s="73" t="s">
        <v>35</v>
      </c>
      <c r="AJ71" s="72"/>
    </row>
    <row r="72" spans="1:36" ht="5.0999999999999996" customHeight="1" x14ac:dyDescent="0.25">
      <c r="A72" s="75"/>
      <c r="B72" s="75"/>
      <c r="C72" s="75"/>
      <c r="D72" s="75"/>
      <c r="E72" s="75"/>
      <c r="F72" s="75"/>
      <c r="G72" s="185" t="str">
        <f>G37</f>
        <v>N. R8 komende van Complex Gullegem</v>
      </c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75"/>
      <c r="AD72" s="75"/>
      <c r="AE72" s="75"/>
      <c r="AF72" s="75"/>
      <c r="AG72" s="75"/>
      <c r="AH72" s="75"/>
      <c r="AI72" s="73" t="s">
        <v>35</v>
      </c>
      <c r="AJ72" s="72"/>
    </row>
    <row r="73" spans="1:36" ht="5.0999999999999996" customHeight="1" x14ac:dyDescent="0.25">
      <c r="A73" s="72"/>
      <c r="B73" s="72"/>
      <c r="C73" s="72"/>
      <c r="D73" s="72"/>
      <c r="E73" s="72"/>
      <c r="F73" s="72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72"/>
      <c r="AD73" s="72"/>
      <c r="AE73" s="72"/>
      <c r="AF73" s="72"/>
      <c r="AG73" s="72"/>
      <c r="AH73" s="72"/>
      <c r="AI73" s="73" t="s">
        <v>35</v>
      </c>
      <c r="AJ73" s="72"/>
    </row>
    <row r="74" spans="1:36" ht="5.0999999999999996" customHeight="1" x14ac:dyDescent="0.25">
      <c r="A74" s="72"/>
      <c r="B74" s="72"/>
      <c r="C74" s="72"/>
      <c r="D74" s="72"/>
      <c r="E74" s="72"/>
      <c r="F74" s="72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72"/>
      <c r="AD74" s="72"/>
      <c r="AE74" s="72"/>
      <c r="AF74" s="72"/>
      <c r="AG74" s="72"/>
      <c r="AH74" s="72"/>
      <c r="AI74" s="73" t="s">
        <v>35</v>
      </c>
      <c r="AJ74" s="72"/>
    </row>
    <row r="75" spans="1:36" ht="5.0999999999999996" customHeight="1" x14ac:dyDescent="0.25">
      <c r="A75" s="72"/>
      <c r="B75" s="72"/>
      <c r="C75" s="72"/>
      <c r="D75" s="72"/>
      <c r="E75" s="72"/>
      <c r="F75" s="72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72"/>
      <c r="AD75" s="72"/>
      <c r="AE75" s="72"/>
      <c r="AF75" s="72"/>
      <c r="AG75" s="72"/>
      <c r="AH75" s="72"/>
      <c r="AI75" s="73" t="s">
        <v>35</v>
      </c>
      <c r="AJ75" s="72"/>
    </row>
    <row r="76" spans="1:36" ht="5.0999999999999996" customHeight="1" x14ac:dyDescent="0.25">
      <c r="A76" s="72"/>
      <c r="B76" s="72"/>
      <c r="C76" s="72"/>
      <c r="D76" s="72"/>
      <c r="E76" s="72"/>
      <c r="F76" s="72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72"/>
      <c r="AD76" s="72"/>
      <c r="AE76" s="72"/>
      <c r="AF76" s="72"/>
      <c r="AG76" s="72"/>
      <c r="AH76" s="72"/>
      <c r="AI76" s="73" t="s">
        <v>35</v>
      </c>
      <c r="AJ76" s="72"/>
    </row>
    <row r="77" spans="1:36" ht="5.0999999999999996" customHeight="1" x14ac:dyDescent="0.25">
      <c r="A77" s="72"/>
      <c r="B77" s="72"/>
      <c r="C77" s="72"/>
      <c r="D77" s="72"/>
      <c r="E77" s="72"/>
      <c r="F77" s="85"/>
      <c r="G77" s="85"/>
      <c r="H77" s="85"/>
      <c r="I77" s="85"/>
      <c r="J77" s="85"/>
      <c r="K77" s="85"/>
      <c r="L77" s="85"/>
      <c r="M77" s="85"/>
      <c r="N77" s="79"/>
      <c r="O77" s="79"/>
      <c r="P77" s="79"/>
      <c r="Q77" s="86"/>
      <c r="R77" s="86"/>
      <c r="S77" s="79"/>
      <c r="T77" s="79"/>
      <c r="U77" s="79"/>
      <c r="V77" s="85"/>
      <c r="W77" s="85"/>
      <c r="X77" s="85"/>
      <c r="Y77" s="85"/>
      <c r="Z77" s="85"/>
      <c r="AA77" s="85"/>
      <c r="AB77" s="85"/>
      <c r="AC77" s="85"/>
      <c r="AD77" s="72"/>
      <c r="AE77" s="72"/>
      <c r="AF77" s="72"/>
      <c r="AG77" s="72"/>
      <c r="AH77" s="72"/>
      <c r="AI77" s="73" t="s">
        <v>35</v>
      </c>
      <c r="AJ77" s="72"/>
    </row>
    <row r="78" spans="1:36" ht="5.0999999999999996" customHeight="1" x14ac:dyDescent="0.25">
      <c r="A78" s="188" t="str">
        <f>A43</f>
        <v>W. Verbindingsboog komende van A19</v>
      </c>
      <c r="B78" s="188"/>
      <c r="C78" s="188"/>
      <c r="D78" s="188"/>
      <c r="E78" s="188"/>
      <c r="F78" s="85"/>
      <c r="G78" s="85"/>
      <c r="H78" s="85"/>
      <c r="I78" s="87"/>
      <c r="J78" s="87"/>
      <c r="K78" s="87"/>
      <c r="L78" s="87"/>
      <c r="M78" s="87"/>
      <c r="N78" s="79"/>
      <c r="O78" s="79"/>
      <c r="P78" s="78"/>
      <c r="Q78" s="86"/>
      <c r="R78" s="86"/>
      <c r="S78" s="78"/>
      <c r="T78" s="79"/>
      <c r="U78" s="79"/>
      <c r="V78" s="87"/>
      <c r="W78" s="87"/>
      <c r="X78" s="87"/>
      <c r="Y78" s="87"/>
      <c r="Z78" s="85"/>
      <c r="AA78" s="85"/>
      <c r="AB78" s="87"/>
      <c r="AC78" s="85"/>
      <c r="AD78" s="187"/>
      <c r="AE78" s="187"/>
      <c r="AF78" s="187"/>
      <c r="AG78" s="187"/>
      <c r="AH78" s="187"/>
      <c r="AI78" s="73" t="s">
        <v>35</v>
      </c>
      <c r="AJ78" s="72"/>
    </row>
    <row r="79" spans="1:36" ht="5.0999999999999996" customHeight="1" x14ac:dyDescent="0.25">
      <c r="A79" s="188"/>
      <c r="B79" s="188"/>
      <c r="C79" s="188"/>
      <c r="D79" s="188"/>
      <c r="E79" s="188"/>
      <c r="F79" s="85"/>
      <c r="G79" s="87"/>
      <c r="H79" s="87"/>
      <c r="I79" s="87"/>
      <c r="J79" s="87"/>
      <c r="K79" s="87"/>
      <c r="L79" s="87"/>
      <c r="M79" s="87"/>
      <c r="N79" s="77"/>
      <c r="O79" s="77"/>
      <c r="P79" s="78"/>
      <c r="Q79" s="186">
        <v>37</v>
      </c>
      <c r="R79" s="186"/>
      <c r="S79" s="78"/>
      <c r="T79" s="77"/>
      <c r="U79" s="77"/>
      <c r="V79" s="87"/>
      <c r="W79" s="87"/>
      <c r="X79" s="87"/>
      <c r="Y79" s="87"/>
      <c r="Z79" s="85"/>
      <c r="AA79" s="85"/>
      <c r="AB79" s="87"/>
      <c r="AC79" s="85"/>
      <c r="AD79" s="187"/>
      <c r="AE79" s="187"/>
      <c r="AF79" s="187"/>
      <c r="AG79" s="187"/>
      <c r="AH79" s="187"/>
      <c r="AI79" s="73" t="s">
        <v>35</v>
      </c>
      <c r="AJ79" s="72"/>
    </row>
    <row r="80" spans="1:36" ht="5.0999999999999996" customHeight="1" x14ac:dyDescent="0.25">
      <c r="A80" s="188"/>
      <c r="B80" s="188"/>
      <c r="C80" s="188"/>
      <c r="D80" s="188"/>
      <c r="E80" s="188"/>
      <c r="F80" s="85"/>
      <c r="G80" s="87"/>
      <c r="H80" s="87"/>
      <c r="I80" s="87"/>
      <c r="J80" s="87"/>
      <c r="K80" s="87"/>
      <c r="L80" s="87"/>
      <c r="M80" s="72"/>
      <c r="N80" s="79"/>
      <c r="O80" s="77"/>
      <c r="P80" s="78"/>
      <c r="Q80" s="186"/>
      <c r="R80" s="186"/>
      <c r="S80" s="78"/>
      <c r="T80" s="77"/>
      <c r="U80" s="77"/>
      <c r="V80" s="87"/>
      <c r="W80" s="87"/>
      <c r="X80" s="87"/>
      <c r="Y80" s="87"/>
      <c r="Z80" s="87"/>
      <c r="AA80" s="87"/>
      <c r="AB80" s="87"/>
      <c r="AC80" s="85"/>
      <c r="AD80" s="187"/>
      <c r="AE80" s="187"/>
      <c r="AF80" s="187"/>
      <c r="AG80" s="187"/>
      <c r="AH80" s="187"/>
      <c r="AI80" s="73" t="s">
        <v>35</v>
      </c>
      <c r="AJ80" s="72"/>
    </row>
    <row r="81" spans="1:36" ht="5.0999999999999996" customHeight="1" x14ac:dyDescent="0.25">
      <c r="A81" s="188"/>
      <c r="B81" s="188"/>
      <c r="C81" s="188"/>
      <c r="D81" s="188"/>
      <c r="E81" s="188"/>
      <c r="F81" s="85"/>
      <c r="G81" s="87"/>
      <c r="H81" s="87"/>
      <c r="I81" s="87"/>
      <c r="J81" s="87"/>
      <c r="K81" s="87"/>
      <c r="L81" s="87"/>
      <c r="M81" s="72"/>
      <c r="N81" s="79"/>
      <c r="O81" s="77"/>
      <c r="P81" s="78"/>
      <c r="Q81" s="78"/>
      <c r="R81" s="78"/>
      <c r="S81" s="78"/>
      <c r="T81" s="77"/>
      <c r="U81" s="77"/>
      <c r="V81" s="72"/>
      <c r="W81" s="72"/>
      <c r="X81" s="87"/>
      <c r="Y81" s="87"/>
      <c r="Z81" s="87"/>
      <c r="AA81" s="87"/>
      <c r="AB81" s="87"/>
      <c r="AC81" s="85"/>
      <c r="AD81" s="187"/>
      <c r="AE81" s="187"/>
      <c r="AF81" s="187"/>
      <c r="AG81" s="187"/>
      <c r="AH81" s="187"/>
      <c r="AI81" s="73" t="s">
        <v>35</v>
      </c>
      <c r="AJ81" s="72"/>
    </row>
    <row r="82" spans="1:36" ht="5.0999999999999996" customHeight="1" x14ac:dyDescent="0.25">
      <c r="A82" s="188"/>
      <c r="B82" s="188"/>
      <c r="C82" s="188"/>
      <c r="D82" s="188"/>
      <c r="E82" s="188"/>
      <c r="F82" s="85"/>
      <c r="G82" s="87"/>
      <c r="H82" s="87"/>
      <c r="I82" s="87"/>
      <c r="J82" s="87"/>
      <c r="K82" s="87"/>
      <c r="L82" s="87"/>
      <c r="M82" s="87"/>
      <c r="N82" s="77"/>
      <c r="O82" s="77"/>
      <c r="P82" s="77"/>
      <c r="Q82" s="186">
        <v>38</v>
      </c>
      <c r="R82" s="186"/>
      <c r="S82" s="79"/>
      <c r="T82" s="77"/>
      <c r="U82" s="77"/>
      <c r="V82" s="72"/>
      <c r="W82" s="72"/>
      <c r="X82" s="87"/>
      <c r="Y82" s="87"/>
      <c r="Z82" s="87"/>
      <c r="AA82" s="85"/>
      <c r="AB82" s="85"/>
      <c r="AC82" s="85"/>
      <c r="AD82" s="187"/>
      <c r="AE82" s="187"/>
      <c r="AF82" s="187"/>
      <c r="AG82" s="187"/>
      <c r="AH82" s="187"/>
      <c r="AI82" s="73" t="s">
        <v>35</v>
      </c>
      <c r="AJ82" s="72"/>
    </row>
    <row r="83" spans="1:36" ht="5.0999999999999996" customHeight="1" x14ac:dyDescent="0.25">
      <c r="A83" s="188"/>
      <c r="B83" s="188"/>
      <c r="C83" s="188"/>
      <c r="D83" s="188"/>
      <c r="E83" s="188"/>
      <c r="F83" s="85"/>
      <c r="G83" s="87"/>
      <c r="H83" s="87"/>
      <c r="I83" s="87"/>
      <c r="J83" s="72"/>
      <c r="K83" s="72"/>
      <c r="L83" s="87"/>
      <c r="M83" s="87"/>
      <c r="N83" s="77"/>
      <c r="O83" s="77"/>
      <c r="P83" s="77"/>
      <c r="Q83" s="186"/>
      <c r="R83" s="186"/>
      <c r="S83" s="79"/>
      <c r="T83" s="77"/>
      <c r="U83" s="77"/>
      <c r="V83" s="87"/>
      <c r="W83" s="87"/>
      <c r="X83" s="87"/>
      <c r="Y83" s="72"/>
      <c r="Z83" s="72"/>
      <c r="AA83" s="85"/>
      <c r="AB83" s="85"/>
      <c r="AC83" s="85"/>
      <c r="AD83" s="187"/>
      <c r="AE83" s="187"/>
      <c r="AF83" s="187"/>
      <c r="AG83" s="187"/>
      <c r="AH83" s="187"/>
      <c r="AI83" s="73" t="s">
        <v>35</v>
      </c>
      <c r="AJ83" s="72"/>
    </row>
    <row r="84" spans="1:36" ht="5.0999999999999996" customHeight="1" x14ac:dyDescent="0.25">
      <c r="A84" s="188"/>
      <c r="B84" s="188"/>
      <c r="C84" s="188"/>
      <c r="D84" s="188"/>
      <c r="E84" s="188"/>
      <c r="F84" s="85"/>
      <c r="G84" s="87"/>
      <c r="H84" s="87"/>
      <c r="I84" s="87"/>
      <c r="J84" s="72"/>
      <c r="K84" s="72"/>
      <c r="L84" s="87"/>
      <c r="M84" s="87"/>
      <c r="N84" s="133"/>
      <c r="O84" s="133"/>
      <c r="P84" s="133"/>
      <c r="Q84" s="133"/>
      <c r="R84" s="133"/>
      <c r="S84" s="133"/>
      <c r="T84" s="133"/>
      <c r="U84" s="133"/>
      <c r="V84" s="87"/>
      <c r="W84" s="87"/>
      <c r="X84" s="87"/>
      <c r="Y84" s="72"/>
      <c r="Z84" s="72"/>
      <c r="AA84" s="87"/>
      <c r="AB84" s="87"/>
      <c r="AC84" s="85"/>
      <c r="AD84" s="187"/>
      <c r="AE84" s="187"/>
      <c r="AF84" s="187"/>
      <c r="AG84" s="187"/>
      <c r="AH84" s="187"/>
      <c r="AI84" s="73" t="s">
        <v>35</v>
      </c>
      <c r="AJ84" s="72"/>
    </row>
    <row r="85" spans="1:36" ht="5.0999999999999996" customHeight="1" x14ac:dyDescent="0.25">
      <c r="A85" s="188"/>
      <c r="B85" s="188"/>
      <c r="C85" s="188"/>
      <c r="D85" s="188"/>
      <c r="E85" s="188"/>
      <c r="F85" s="79"/>
      <c r="G85" s="79"/>
      <c r="H85" s="79"/>
      <c r="I85" s="77"/>
      <c r="J85" s="77"/>
      <c r="K85" s="77"/>
      <c r="L85" s="77"/>
      <c r="M85" s="135"/>
      <c r="N85" s="77"/>
      <c r="O85" s="77"/>
      <c r="P85" s="77"/>
      <c r="Q85" s="77"/>
      <c r="R85" s="77"/>
      <c r="S85" s="77"/>
      <c r="T85" s="77"/>
      <c r="U85" s="77"/>
      <c r="V85" s="137"/>
      <c r="W85" s="87"/>
      <c r="X85" s="87"/>
      <c r="Y85" s="87"/>
      <c r="Z85" s="87"/>
      <c r="AA85" s="85"/>
      <c r="AB85" s="85"/>
      <c r="AC85" s="85"/>
      <c r="AD85" s="187"/>
      <c r="AE85" s="187"/>
      <c r="AF85" s="187"/>
      <c r="AG85" s="187"/>
      <c r="AH85" s="187"/>
      <c r="AI85" s="73" t="s">
        <v>35</v>
      </c>
      <c r="AJ85" s="72"/>
    </row>
    <row r="86" spans="1:36" ht="5.0999999999999996" customHeight="1" x14ac:dyDescent="0.25">
      <c r="A86" s="188"/>
      <c r="B86" s="188"/>
      <c r="C86" s="188"/>
      <c r="D86" s="188"/>
      <c r="E86" s="188"/>
      <c r="F86" s="79"/>
      <c r="G86" s="79"/>
      <c r="H86" s="79"/>
      <c r="I86" s="77"/>
      <c r="J86" s="77"/>
      <c r="K86" s="77"/>
      <c r="L86" s="77"/>
      <c r="M86" s="135"/>
      <c r="N86" s="77"/>
      <c r="O86" s="77"/>
      <c r="P86" s="77"/>
      <c r="Q86" s="77"/>
      <c r="R86" s="77"/>
      <c r="S86" s="77"/>
      <c r="T86" s="77"/>
      <c r="U86" s="77"/>
      <c r="V86" s="137"/>
      <c r="W86" s="87"/>
      <c r="X86" s="87"/>
      <c r="Y86" s="87"/>
      <c r="Z86" s="87"/>
      <c r="AA86" s="85"/>
      <c r="AB86" s="85"/>
      <c r="AC86" s="85"/>
      <c r="AD86" s="187"/>
      <c r="AE86" s="187"/>
      <c r="AF86" s="187"/>
      <c r="AG86" s="187"/>
      <c r="AH86" s="187"/>
      <c r="AI86" s="73" t="s">
        <v>35</v>
      </c>
      <c r="AJ86" s="72"/>
    </row>
    <row r="87" spans="1:36" ht="5.0999999999999996" customHeight="1" x14ac:dyDescent="0.25">
      <c r="A87" s="188"/>
      <c r="B87" s="188"/>
      <c r="C87" s="188"/>
      <c r="D87" s="188"/>
      <c r="E87" s="188"/>
      <c r="F87" s="79"/>
      <c r="G87" s="88"/>
      <c r="H87" s="88"/>
      <c r="I87" s="78"/>
      <c r="J87" s="78"/>
      <c r="K87" s="77"/>
      <c r="L87" s="77"/>
      <c r="M87" s="135"/>
      <c r="N87" s="77"/>
      <c r="O87" s="77"/>
      <c r="P87" s="77"/>
      <c r="Q87" s="77"/>
      <c r="R87" s="77"/>
      <c r="S87" s="77"/>
      <c r="T87" s="77"/>
      <c r="U87" s="77"/>
      <c r="V87" s="137"/>
      <c r="W87" s="87"/>
      <c r="X87" s="87"/>
      <c r="Y87" s="138"/>
      <c r="Z87" s="138"/>
      <c r="AA87" s="140"/>
      <c r="AB87" s="140"/>
      <c r="AC87" s="85"/>
      <c r="AD87" s="187"/>
      <c r="AE87" s="187"/>
      <c r="AF87" s="187"/>
      <c r="AG87" s="187"/>
      <c r="AH87" s="187"/>
      <c r="AI87" s="73" t="s">
        <v>35</v>
      </c>
      <c r="AJ87" s="72"/>
    </row>
    <row r="88" spans="1:36" ht="5.0999999999999996" customHeight="1" x14ac:dyDescent="0.25">
      <c r="A88" s="188"/>
      <c r="B88" s="188"/>
      <c r="C88" s="188"/>
      <c r="D88" s="188"/>
      <c r="E88" s="188"/>
      <c r="F88" s="79"/>
      <c r="G88" s="88"/>
      <c r="H88" s="183">
        <v>35</v>
      </c>
      <c r="I88" s="183"/>
      <c r="J88" s="78"/>
      <c r="K88" s="183">
        <v>36</v>
      </c>
      <c r="L88" s="183"/>
      <c r="M88" s="135"/>
      <c r="N88" s="77"/>
      <c r="O88" s="77"/>
      <c r="P88" s="77"/>
      <c r="Q88" s="77"/>
      <c r="R88" s="77"/>
      <c r="S88" s="77"/>
      <c r="T88" s="77"/>
      <c r="U88" s="77"/>
      <c r="V88" s="137"/>
      <c r="W88" s="184"/>
      <c r="X88" s="184"/>
      <c r="Y88" s="138"/>
      <c r="Z88" s="184"/>
      <c r="AA88" s="184"/>
      <c r="AB88" s="85"/>
      <c r="AC88" s="85"/>
      <c r="AD88" s="187"/>
      <c r="AE88" s="187"/>
      <c r="AF88" s="187"/>
      <c r="AG88" s="187"/>
      <c r="AH88" s="187"/>
      <c r="AI88" s="73" t="s">
        <v>35</v>
      </c>
      <c r="AJ88" s="72"/>
    </row>
    <row r="89" spans="1:36" ht="5.0999999999999996" customHeight="1" x14ac:dyDescent="0.25">
      <c r="A89" s="188"/>
      <c r="B89" s="188"/>
      <c r="C89" s="188"/>
      <c r="D89" s="188"/>
      <c r="E89" s="188"/>
      <c r="F89" s="79"/>
      <c r="G89" s="88"/>
      <c r="H89" s="183"/>
      <c r="I89" s="183"/>
      <c r="J89" s="78"/>
      <c r="K89" s="183"/>
      <c r="L89" s="183"/>
      <c r="M89" s="135"/>
      <c r="N89" s="77"/>
      <c r="O89" s="77"/>
      <c r="P89" s="77"/>
      <c r="Q89" s="77"/>
      <c r="R89" s="77"/>
      <c r="S89" s="77"/>
      <c r="T89" s="77"/>
      <c r="U89" s="77"/>
      <c r="V89" s="137"/>
      <c r="W89" s="184"/>
      <c r="X89" s="184"/>
      <c r="Y89" s="138"/>
      <c r="Z89" s="184"/>
      <c r="AA89" s="184"/>
      <c r="AB89" s="85"/>
      <c r="AC89" s="85"/>
      <c r="AD89" s="187"/>
      <c r="AE89" s="187"/>
      <c r="AF89" s="187"/>
      <c r="AG89" s="187"/>
      <c r="AH89" s="187"/>
      <c r="AI89" s="73" t="s">
        <v>35</v>
      </c>
      <c r="AJ89" s="72"/>
    </row>
    <row r="90" spans="1:36" ht="5.0999999999999996" customHeight="1" x14ac:dyDescent="0.25">
      <c r="A90" s="188"/>
      <c r="B90" s="188"/>
      <c r="C90" s="188"/>
      <c r="D90" s="188"/>
      <c r="E90" s="188"/>
      <c r="F90" s="79"/>
      <c r="G90" s="88"/>
      <c r="H90" s="88"/>
      <c r="I90" s="78"/>
      <c r="J90" s="78"/>
      <c r="K90" s="77"/>
      <c r="L90" s="77"/>
      <c r="M90" s="135"/>
      <c r="N90" s="77"/>
      <c r="O90" s="77"/>
      <c r="P90" s="77"/>
      <c r="Q90" s="77"/>
      <c r="R90" s="77"/>
      <c r="S90" s="77"/>
      <c r="T90" s="77"/>
      <c r="U90" s="77"/>
      <c r="V90" s="137"/>
      <c r="W90" s="87"/>
      <c r="X90" s="87"/>
      <c r="Y90" s="138"/>
      <c r="Z90" s="138"/>
      <c r="AA90" s="140"/>
      <c r="AB90" s="140"/>
      <c r="AC90" s="85"/>
      <c r="AD90" s="187"/>
      <c r="AE90" s="187"/>
      <c r="AF90" s="187"/>
      <c r="AG90" s="187"/>
      <c r="AH90" s="187"/>
      <c r="AI90" s="73" t="s">
        <v>35</v>
      </c>
      <c r="AJ90" s="72"/>
    </row>
    <row r="91" spans="1:36" ht="5.0999999999999996" customHeight="1" x14ac:dyDescent="0.25">
      <c r="A91" s="188"/>
      <c r="B91" s="188"/>
      <c r="C91" s="188"/>
      <c r="D91" s="188"/>
      <c r="E91" s="188"/>
      <c r="F91" s="79"/>
      <c r="G91" s="79"/>
      <c r="H91" s="79"/>
      <c r="I91" s="77"/>
      <c r="J91" s="77"/>
      <c r="K91" s="77"/>
      <c r="L91" s="77"/>
      <c r="M91" s="135"/>
      <c r="N91" s="77"/>
      <c r="O91" s="77"/>
      <c r="P91" s="77"/>
      <c r="Q91" s="77"/>
      <c r="R91" s="77"/>
      <c r="S91" s="77"/>
      <c r="T91" s="77"/>
      <c r="U91" s="77"/>
      <c r="V91" s="137"/>
      <c r="W91" s="87"/>
      <c r="X91" s="87"/>
      <c r="Y91" s="87"/>
      <c r="Z91" s="85"/>
      <c r="AA91" s="85"/>
      <c r="AB91" s="85"/>
      <c r="AC91" s="85"/>
      <c r="AD91" s="187"/>
      <c r="AE91" s="187"/>
      <c r="AF91" s="187"/>
      <c r="AG91" s="187"/>
      <c r="AH91" s="187"/>
      <c r="AI91" s="73" t="s">
        <v>35</v>
      </c>
      <c r="AJ91" s="72"/>
    </row>
    <row r="92" spans="1:36" ht="5.0999999999999996" customHeight="1" x14ac:dyDescent="0.25">
      <c r="A92" s="188"/>
      <c r="B92" s="188"/>
      <c r="C92" s="188"/>
      <c r="D92" s="188"/>
      <c r="E92" s="188"/>
      <c r="F92" s="79"/>
      <c r="G92" s="79"/>
      <c r="H92" s="79"/>
      <c r="I92" s="79"/>
      <c r="J92" s="79"/>
      <c r="K92" s="77"/>
      <c r="L92" s="77"/>
      <c r="M92" s="135"/>
      <c r="N92" s="77"/>
      <c r="O92" s="77"/>
      <c r="P92" s="77"/>
      <c r="Q92" s="77"/>
      <c r="R92" s="77"/>
      <c r="S92" s="77"/>
      <c r="T92" s="77"/>
      <c r="U92" s="77"/>
      <c r="V92" s="137"/>
      <c r="W92" s="87"/>
      <c r="X92" s="85"/>
      <c r="Y92" s="85"/>
      <c r="Z92" s="85"/>
      <c r="AA92" s="85"/>
      <c r="AB92" s="85"/>
      <c r="AC92" s="85"/>
      <c r="AD92" s="187"/>
      <c r="AE92" s="187"/>
      <c r="AF92" s="187"/>
      <c r="AG92" s="187"/>
      <c r="AH92" s="187"/>
      <c r="AI92" s="73" t="s">
        <v>35</v>
      </c>
      <c r="AJ92" s="72"/>
    </row>
    <row r="93" spans="1:36" ht="5.0999999999999996" customHeight="1" x14ac:dyDescent="0.25">
      <c r="A93" s="188"/>
      <c r="B93" s="188"/>
      <c r="C93" s="188"/>
      <c r="D93" s="188"/>
      <c r="E93" s="188"/>
      <c r="F93" s="85"/>
      <c r="G93" s="87"/>
      <c r="H93" s="87"/>
      <c r="I93" s="72"/>
      <c r="J93" s="72"/>
      <c r="K93" s="87"/>
      <c r="L93" s="87"/>
      <c r="M93" s="87"/>
      <c r="N93" s="134"/>
      <c r="O93" s="134"/>
      <c r="P93" s="134"/>
      <c r="Q93" s="134"/>
      <c r="R93" s="134"/>
      <c r="S93" s="134"/>
      <c r="T93" s="134"/>
      <c r="U93" s="134"/>
      <c r="V93" s="87"/>
      <c r="W93" s="85"/>
      <c r="X93" s="72"/>
      <c r="Y93" s="72"/>
      <c r="Z93" s="87"/>
      <c r="AA93" s="87"/>
      <c r="AB93" s="87"/>
      <c r="AC93" s="85"/>
      <c r="AD93" s="187"/>
      <c r="AE93" s="187"/>
      <c r="AF93" s="187"/>
      <c r="AG93" s="187"/>
      <c r="AH93" s="187"/>
      <c r="AI93" s="73" t="s">
        <v>35</v>
      </c>
      <c r="AJ93" s="72"/>
    </row>
    <row r="94" spans="1:36" ht="5.0999999999999996" customHeight="1" x14ac:dyDescent="0.25">
      <c r="A94" s="188"/>
      <c r="B94" s="188"/>
      <c r="C94" s="188"/>
      <c r="D94" s="188"/>
      <c r="E94" s="188"/>
      <c r="F94" s="85"/>
      <c r="G94" s="87"/>
      <c r="H94" s="87"/>
      <c r="I94" s="87"/>
      <c r="J94" s="87"/>
      <c r="K94" s="87"/>
      <c r="L94" s="87"/>
      <c r="M94" s="87"/>
      <c r="N94" s="77"/>
      <c r="O94" s="77"/>
      <c r="P94" s="77"/>
      <c r="Q94" s="183">
        <v>34</v>
      </c>
      <c r="R94" s="183"/>
      <c r="S94" s="77"/>
      <c r="T94" s="77"/>
      <c r="U94" s="77"/>
      <c r="V94" s="87"/>
      <c r="W94" s="85"/>
      <c r="X94" s="85"/>
      <c r="Y94" s="87"/>
      <c r="Z94" s="87"/>
      <c r="AA94" s="87"/>
      <c r="AB94" s="87"/>
      <c r="AC94" s="85"/>
      <c r="AD94" s="187"/>
      <c r="AE94" s="187"/>
      <c r="AF94" s="187"/>
      <c r="AG94" s="187"/>
      <c r="AH94" s="187"/>
      <c r="AI94" s="73" t="s">
        <v>35</v>
      </c>
      <c r="AJ94" s="72"/>
    </row>
    <row r="95" spans="1:36" ht="5.0999999999999996" customHeight="1" x14ac:dyDescent="0.25">
      <c r="A95" s="188"/>
      <c r="B95" s="188"/>
      <c r="C95" s="188"/>
      <c r="D95" s="188"/>
      <c r="E95" s="188"/>
      <c r="F95" s="85"/>
      <c r="G95" s="87"/>
      <c r="H95" s="87"/>
      <c r="I95" s="87"/>
      <c r="J95" s="87"/>
      <c r="K95" s="87"/>
      <c r="L95" s="87"/>
      <c r="M95" s="72"/>
      <c r="N95" s="79"/>
      <c r="O95" s="77"/>
      <c r="P95" s="77"/>
      <c r="Q95" s="183"/>
      <c r="R95" s="183"/>
      <c r="S95" s="77"/>
      <c r="T95" s="77"/>
      <c r="U95" s="77"/>
      <c r="V95" s="87"/>
      <c r="W95" s="85"/>
      <c r="X95" s="85"/>
      <c r="Y95" s="87"/>
      <c r="Z95" s="87"/>
      <c r="AA95" s="87"/>
      <c r="AB95" s="87"/>
      <c r="AC95" s="85"/>
      <c r="AD95" s="187"/>
      <c r="AE95" s="187"/>
      <c r="AF95" s="187"/>
      <c r="AG95" s="187"/>
      <c r="AH95" s="187"/>
      <c r="AI95" s="73" t="s">
        <v>35</v>
      </c>
      <c r="AJ95" s="72"/>
    </row>
    <row r="96" spans="1:36" ht="5.0999999999999996" customHeight="1" x14ac:dyDescent="0.25">
      <c r="A96" s="188"/>
      <c r="B96" s="188"/>
      <c r="C96" s="188"/>
      <c r="D96" s="188"/>
      <c r="E96" s="188"/>
      <c r="F96" s="85"/>
      <c r="G96" s="87"/>
      <c r="H96" s="87"/>
      <c r="I96" s="85"/>
      <c r="J96" s="85"/>
      <c r="K96" s="87"/>
      <c r="L96" s="87"/>
      <c r="M96" s="72"/>
      <c r="N96" s="79"/>
      <c r="O96" s="77"/>
      <c r="P96" s="78"/>
      <c r="Q96" s="78"/>
      <c r="R96" s="78"/>
      <c r="S96" s="78"/>
      <c r="T96" s="77"/>
      <c r="U96" s="77"/>
      <c r="V96" s="72"/>
      <c r="W96" s="72"/>
      <c r="X96" s="85"/>
      <c r="Y96" s="87"/>
      <c r="Z96" s="87"/>
      <c r="AA96" s="87"/>
      <c r="AB96" s="87"/>
      <c r="AC96" s="85"/>
      <c r="AD96" s="187"/>
      <c r="AE96" s="187"/>
      <c r="AF96" s="187"/>
      <c r="AG96" s="187"/>
      <c r="AH96" s="187"/>
      <c r="AI96" s="73" t="s">
        <v>35</v>
      </c>
      <c r="AJ96" s="72"/>
    </row>
    <row r="97" spans="1:36" ht="5.0999999999999996" customHeight="1" x14ac:dyDescent="0.25">
      <c r="A97" s="188"/>
      <c r="B97" s="188"/>
      <c r="C97" s="188"/>
      <c r="D97" s="188"/>
      <c r="E97" s="188"/>
      <c r="F97" s="85"/>
      <c r="G97" s="87"/>
      <c r="H97" s="87"/>
      <c r="I97" s="85"/>
      <c r="J97" s="85"/>
      <c r="K97" s="87"/>
      <c r="L97" s="87"/>
      <c r="M97" s="87"/>
      <c r="N97" s="77"/>
      <c r="O97" s="77"/>
      <c r="P97" s="78"/>
      <c r="Q97" s="183">
        <v>33</v>
      </c>
      <c r="R97" s="183"/>
      <c r="S97" s="78"/>
      <c r="T97" s="77"/>
      <c r="U97" s="77"/>
      <c r="V97" s="72"/>
      <c r="W97" s="72"/>
      <c r="X97" s="85"/>
      <c r="Y97" s="85"/>
      <c r="Z97" s="87"/>
      <c r="AA97" s="87"/>
      <c r="AB97" s="87"/>
      <c r="AC97" s="85"/>
      <c r="AD97" s="187"/>
      <c r="AE97" s="187"/>
      <c r="AF97" s="187"/>
      <c r="AG97" s="187"/>
      <c r="AH97" s="187"/>
      <c r="AI97" s="73" t="s">
        <v>35</v>
      </c>
      <c r="AJ97" s="72"/>
    </row>
    <row r="98" spans="1:36" ht="5.0999999999999996" customHeight="1" x14ac:dyDescent="0.25">
      <c r="A98" s="188"/>
      <c r="B98" s="188"/>
      <c r="C98" s="188"/>
      <c r="D98" s="188"/>
      <c r="E98" s="188"/>
      <c r="F98" s="85"/>
      <c r="G98" s="87"/>
      <c r="H98" s="87"/>
      <c r="I98" s="87"/>
      <c r="J98" s="87"/>
      <c r="K98" s="87"/>
      <c r="L98" s="87"/>
      <c r="M98" s="87"/>
      <c r="N98" s="77"/>
      <c r="O98" s="77"/>
      <c r="P98" s="78"/>
      <c r="Q98" s="183"/>
      <c r="R98" s="183"/>
      <c r="S98" s="78"/>
      <c r="T98" s="77"/>
      <c r="U98" s="77"/>
      <c r="V98" s="87"/>
      <c r="W98" s="87"/>
      <c r="X98" s="85"/>
      <c r="Y98" s="85"/>
      <c r="Z98" s="87"/>
      <c r="AA98" s="87"/>
      <c r="AB98" s="87"/>
      <c r="AC98" s="85"/>
      <c r="AD98" s="187"/>
      <c r="AE98" s="187"/>
      <c r="AF98" s="187"/>
      <c r="AG98" s="187"/>
      <c r="AH98" s="187"/>
      <c r="AI98" s="73" t="s">
        <v>35</v>
      </c>
      <c r="AJ98" s="72"/>
    </row>
    <row r="99" spans="1:36" ht="5.0999999999999996" customHeight="1" x14ac:dyDescent="0.25">
      <c r="A99" s="188"/>
      <c r="B99" s="188"/>
      <c r="C99" s="188"/>
      <c r="D99" s="188"/>
      <c r="E99" s="188"/>
      <c r="F99" s="85"/>
      <c r="G99" s="87"/>
      <c r="H99" s="87"/>
      <c r="I99" s="87"/>
      <c r="J99" s="87"/>
      <c r="K99" s="87"/>
      <c r="L99" s="87"/>
      <c r="M99" s="87"/>
      <c r="N99" s="79"/>
      <c r="O99" s="79"/>
      <c r="P99" s="88"/>
      <c r="Q99" s="88"/>
      <c r="R99" s="88"/>
      <c r="S99" s="88"/>
      <c r="T99" s="79"/>
      <c r="U99" s="79"/>
      <c r="V99" s="87"/>
      <c r="W99" s="87"/>
      <c r="X99" s="87"/>
      <c r="Y99" s="87"/>
      <c r="Z99" s="87"/>
      <c r="AA99" s="87"/>
      <c r="AB99" s="87"/>
      <c r="AC99" s="85"/>
      <c r="AD99" s="187"/>
      <c r="AE99" s="187"/>
      <c r="AF99" s="187"/>
      <c r="AG99" s="187"/>
      <c r="AH99" s="187"/>
      <c r="AI99" s="73" t="s">
        <v>35</v>
      </c>
      <c r="AJ99" s="72"/>
    </row>
    <row r="100" spans="1:36" ht="5.0999999999999996" customHeight="1" x14ac:dyDescent="0.25">
      <c r="A100" s="72"/>
      <c r="B100" s="72"/>
      <c r="C100" s="72"/>
      <c r="D100" s="72"/>
      <c r="E100" s="72"/>
      <c r="F100" s="85"/>
      <c r="G100" s="85"/>
      <c r="H100" s="85"/>
      <c r="I100" s="85"/>
      <c r="J100" s="85"/>
      <c r="K100" s="85"/>
      <c r="L100" s="85"/>
      <c r="M100" s="85"/>
      <c r="N100" s="79"/>
      <c r="O100" s="79"/>
      <c r="P100" s="89"/>
      <c r="Q100" s="88"/>
      <c r="R100" s="88"/>
      <c r="S100" s="89"/>
      <c r="T100" s="79"/>
      <c r="U100" s="79"/>
      <c r="V100" s="85"/>
      <c r="W100" s="85"/>
      <c r="X100" s="85"/>
      <c r="Y100" s="85"/>
      <c r="Z100" s="85"/>
      <c r="AA100" s="85"/>
      <c r="AB100" s="85"/>
      <c r="AC100" s="85"/>
      <c r="AD100" s="72"/>
      <c r="AE100" s="72"/>
      <c r="AF100" s="72"/>
      <c r="AG100" s="72"/>
      <c r="AH100" s="72"/>
      <c r="AI100" s="73" t="s">
        <v>35</v>
      </c>
      <c r="AJ100" s="72"/>
    </row>
    <row r="101" spans="1:36" ht="5.0999999999999996" customHeight="1" x14ac:dyDescent="0.25">
      <c r="A101" s="72"/>
      <c r="B101" s="72"/>
      <c r="C101" s="72"/>
      <c r="D101" s="72"/>
      <c r="E101" s="72"/>
      <c r="F101" s="72"/>
      <c r="G101" s="185" t="str">
        <f>G66</f>
        <v>Z. R8 komende van Complex Bissegem</v>
      </c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72"/>
      <c r="AD101" s="72"/>
      <c r="AE101" s="72"/>
      <c r="AF101" s="72"/>
      <c r="AG101" s="72"/>
      <c r="AH101" s="72"/>
      <c r="AI101" s="73" t="s">
        <v>35</v>
      </c>
      <c r="AJ101" s="72"/>
    </row>
    <row r="102" spans="1:36" ht="5.0999999999999996" customHeight="1" x14ac:dyDescent="0.25">
      <c r="A102" s="72"/>
      <c r="B102" s="72"/>
      <c r="C102" s="72"/>
      <c r="D102" s="72"/>
      <c r="E102" s="72"/>
      <c r="F102" s="72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72"/>
      <c r="AD102" s="72"/>
      <c r="AE102" s="72"/>
      <c r="AF102" s="72"/>
      <c r="AG102" s="72"/>
      <c r="AH102" s="72"/>
      <c r="AI102" s="73" t="s">
        <v>35</v>
      </c>
      <c r="AJ102" s="72"/>
    </row>
    <row r="103" spans="1:36" ht="5.0999999999999996" customHeight="1" x14ac:dyDescent="0.25">
      <c r="A103" s="72"/>
      <c r="B103" s="72"/>
      <c r="C103" s="72"/>
      <c r="D103" s="72"/>
      <c r="E103" s="72"/>
      <c r="F103" s="72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72"/>
      <c r="AD103" s="72"/>
      <c r="AE103" s="72"/>
      <c r="AF103" s="72"/>
      <c r="AG103" s="72"/>
      <c r="AH103" s="72"/>
      <c r="AI103" s="73" t="s">
        <v>35</v>
      </c>
      <c r="AJ103" s="72"/>
    </row>
    <row r="104" spans="1:36" ht="5.0999999999999996" customHeight="1" x14ac:dyDescent="0.25">
      <c r="A104" s="72"/>
      <c r="B104" s="72"/>
      <c r="C104" s="72"/>
      <c r="D104" s="72"/>
      <c r="E104" s="72"/>
      <c r="F104" s="72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72"/>
      <c r="AD104" s="72"/>
      <c r="AE104" s="72"/>
      <c r="AF104" s="72"/>
      <c r="AG104" s="72"/>
      <c r="AH104" s="72"/>
      <c r="AI104" s="73" t="s">
        <v>35</v>
      </c>
      <c r="AJ104" s="72"/>
    </row>
    <row r="105" spans="1:36" ht="5.0999999999999996" customHeight="1" x14ac:dyDescent="0.25">
      <c r="A105" s="72"/>
      <c r="B105" s="72"/>
      <c r="C105" s="72"/>
      <c r="D105" s="72"/>
      <c r="E105" s="72"/>
      <c r="F105" s="72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72"/>
      <c r="AD105" s="72"/>
      <c r="AE105" s="72"/>
      <c r="AF105" s="72"/>
      <c r="AG105" s="72"/>
      <c r="AH105" s="72"/>
      <c r="AI105" s="73" t="s">
        <v>35</v>
      </c>
      <c r="AJ105" s="72"/>
    </row>
    <row r="106" spans="1:36" ht="5.0999999999999996" customHeight="1" x14ac:dyDescent="0.25">
      <c r="A106" s="81" t="s">
        <v>88</v>
      </c>
      <c r="B106" s="90"/>
      <c r="C106" s="90"/>
      <c r="D106" s="90"/>
      <c r="E106" s="90"/>
      <c r="F106" s="90"/>
      <c r="G106" s="90"/>
      <c r="H106" s="90"/>
      <c r="I106" s="90"/>
      <c r="J106" s="83" t="s">
        <v>35</v>
      </c>
      <c r="K106" s="83" t="s">
        <v>35</v>
      </c>
      <c r="L106" s="83" t="s">
        <v>35</v>
      </c>
      <c r="M106" s="83" t="s">
        <v>35</v>
      </c>
      <c r="N106" s="83" t="s">
        <v>35</v>
      </c>
      <c r="O106" s="83" t="s">
        <v>35</v>
      </c>
      <c r="P106" s="83" t="s">
        <v>35</v>
      </c>
      <c r="Q106" s="83" t="s">
        <v>35</v>
      </c>
      <c r="R106" s="83" t="s">
        <v>35</v>
      </c>
      <c r="S106" s="83" t="s">
        <v>35</v>
      </c>
      <c r="T106" s="83" t="s">
        <v>35</v>
      </c>
      <c r="U106" s="83" t="s">
        <v>35</v>
      </c>
      <c r="V106" s="83" t="s">
        <v>35</v>
      </c>
      <c r="W106" s="83" t="s">
        <v>35</v>
      </c>
      <c r="X106" s="83" t="s">
        <v>35</v>
      </c>
      <c r="Y106" s="83" t="s">
        <v>35</v>
      </c>
      <c r="Z106" s="83" t="s">
        <v>35</v>
      </c>
      <c r="AA106" s="83" t="s">
        <v>35</v>
      </c>
      <c r="AB106" s="83" t="s">
        <v>35</v>
      </c>
      <c r="AC106" s="83" t="s">
        <v>35</v>
      </c>
      <c r="AD106" s="83" t="s">
        <v>35</v>
      </c>
      <c r="AE106" s="83" t="s">
        <v>35</v>
      </c>
      <c r="AF106" s="83" t="s">
        <v>35</v>
      </c>
      <c r="AG106" s="83" t="s">
        <v>35</v>
      </c>
      <c r="AH106" s="83" t="s">
        <v>35</v>
      </c>
      <c r="AI106" s="73" t="s">
        <v>35</v>
      </c>
      <c r="AJ106" s="72"/>
    </row>
    <row r="107" spans="1:36" ht="5.0999999999999996" customHeight="1" x14ac:dyDescent="0.25">
      <c r="A107" s="75"/>
      <c r="B107" s="75"/>
      <c r="C107" s="75"/>
      <c r="D107" s="75"/>
      <c r="E107" s="75"/>
      <c r="F107" s="75"/>
      <c r="G107" s="185" t="str">
        <f>G72</f>
        <v>N. R8 komende van Complex Gullegem</v>
      </c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75"/>
      <c r="AD107" s="75"/>
      <c r="AE107" s="75"/>
      <c r="AF107" s="75"/>
      <c r="AG107" s="75"/>
      <c r="AH107" s="75"/>
      <c r="AI107" s="73" t="s">
        <v>35</v>
      </c>
      <c r="AJ107" s="72"/>
    </row>
    <row r="108" spans="1:36" ht="5.0999999999999996" customHeight="1" x14ac:dyDescent="0.25">
      <c r="A108" s="72"/>
      <c r="B108" s="72"/>
      <c r="C108" s="72"/>
      <c r="D108" s="72"/>
      <c r="E108" s="72"/>
      <c r="F108" s="72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72"/>
      <c r="AD108" s="72"/>
      <c r="AE108" s="72"/>
      <c r="AF108" s="72"/>
      <c r="AG108" s="72"/>
      <c r="AH108" s="72"/>
      <c r="AI108" s="73" t="s">
        <v>35</v>
      </c>
      <c r="AJ108" s="72"/>
    </row>
    <row r="109" spans="1:36" ht="5.0999999999999996" customHeight="1" x14ac:dyDescent="0.25">
      <c r="A109" s="72"/>
      <c r="B109" s="72"/>
      <c r="C109" s="72"/>
      <c r="D109" s="72"/>
      <c r="E109" s="72"/>
      <c r="F109" s="72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72"/>
      <c r="AD109" s="72"/>
      <c r="AE109" s="72"/>
      <c r="AF109" s="72"/>
      <c r="AG109" s="72"/>
      <c r="AH109" s="72"/>
      <c r="AI109" s="73" t="s">
        <v>35</v>
      </c>
      <c r="AJ109" s="72"/>
    </row>
    <row r="110" spans="1:36" ht="5.0999999999999996" customHeight="1" x14ac:dyDescent="0.25">
      <c r="A110" s="72"/>
      <c r="B110" s="72"/>
      <c r="C110" s="72"/>
      <c r="D110" s="72"/>
      <c r="E110" s="72"/>
      <c r="F110" s="72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72"/>
      <c r="AD110" s="72"/>
      <c r="AE110" s="72"/>
      <c r="AF110" s="72"/>
      <c r="AG110" s="72"/>
      <c r="AH110" s="72"/>
      <c r="AI110" s="73" t="s">
        <v>35</v>
      </c>
      <c r="AJ110" s="72"/>
    </row>
    <row r="111" spans="1:36" ht="5.0999999999999996" customHeight="1" x14ac:dyDescent="0.25">
      <c r="A111" s="72"/>
      <c r="B111" s="72"/>
      <c r="C111" s="72"/>
      <c r="D111" s="72"/>
      <c r="E111" s="72"/>
      <c r="F111" s="72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72"/>
      <c r="AD111" s="72"/>
      <c r="AE111" s="72"/>
      <c r="AF111" s="72"/>
      <c r="AG111" s="72"/>
      <c r="AH111" s="72"/>
      <c r="AI111" s="73" t="s">
        <v>35</v>
      </c>
      <c r="AJ111" s="72"/>
    </row>
    <row r="112" spans="1:36" ht="5.0999999999999996" customHeight="1" x14ac:dyDescent="0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189" t="s">
        <v>89</v>
      </c>
      <c r="O112" s="189"/>
      <c r="P112" s="132"/>
      <c r="Q112" s="189" t="s">
        <v>90</v>
      </c>
      <c r="R112" s="189"/>
      <c r="S112" s="74"/>
      <c r="T112" s="186"/>
      <c r="U112" s="186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3" t="s">
        <v>35</v>
      </c>
      <c r="AJ112" s="72"/>
    </row>
    <row r="113" spans="1:36" ht="5.0999999999999996" customHeight="1" x14ac:dyDescent="0.25">
      <c r="A113" s="188" t="str">
        <f>A78</f>
        <v>W. Verbindingsboog komende van A19</v>
      </c>
      <c r="B113" s="188"/>
      <c r="C113" s="188"/>
      <c r="D113" s="188"/>
      <c r="E113" s="188"/>
      <c r="F113" s="72"/>
      <c r="G113" s="75"/>
      <c r="H113" s="75"/>
      <c r="I113" s="75"/>
      <c r="J113" s="75"/>
      <c r="K113" s="75"/>
      <c r="L113" s="75"/>
      <c r="M113" s="75"/>
      <c r="N113" s="189"/>
      <c r="O113" s="189"/>
      <c r="P113" s="131"/>
      <c r="Q113" s="189"/>
      <c r="R113" s="189"/>
      <c r="S113" s="76"/>
      <c r="T113" s="186"/>
      <c r="U113" s="186"/>
      <c r="V113" s="75"/>
      <c r="W113" s="75"/>
      <c r="X113" s="75"/>
      <c r="Y113" s="75"/>
      <c r="Z113" s="75"/>
      <c r="AA113" s="75"/>
      <c r="AB113" s="75"/>
      <c r="AC113" s="72"/>
      <c r="AD113" s="187"/>
      <c r="AE113" s="187"/>
      <c r="AF113" s="187"/>
      <c r="AG113" s="187"/>
      <c r="AH113" s="187"/>
      <c r="AI113" s="73" t="s">
        <v>35</v>
      </c>
      <c r="AJ113" s="72"/>
    </row>
    <row r="114" spans="1:36" ht="5.0999999999999996" customHeight="1" x14ac:dyDescent="0.25">
      <c r="A114" s="188"/>
      <c r="B114" s="188"/>
      <c r="C114" s="188"/>
      <c r="D114" s="188"/>
      <c r="E114" s="188"/>
      <c r="F114" s="72"/>
      <c r="G114" s="75"/>
      <c r="H114" s="75"/>
      <c r="I114" s="75"/>
      <c r="J114" s="75"/>
      <c r="K114" s="75"/>
      <c r="L114" s="75"/>
      <c r="M114" s="75"/>
      <c r="N114" s="77"/>
      <c r="O114" s="77"/>
      <c r="P114" s="78"/>
      <c r="Q114" s="78"/>
      <c r="R114" s="78"/>
      <c r="S114" s="78"/>
      <c r="T114" s="77"/>
      <c r="U114" s="77"/>
      <c r="V114" s="75"/>
      <c r="W114" s="75"/>
      <c r="X114" s="75"/>
      <c r="Y114" s="75"/>
      <c r="Z114" s="75"/>
      <c r="AA114" s="75"/>
      <c r="AB114" s="75"/>
      <c r="AC114" s="72"/>
      <c r="AD114" s="187"/>
      <c r="AE114" s="187"/>
      <c r="AF114" s="187"/>
      <c r="AG114" s="187"/>
      <c r="AH114" s="187"/>
      <c r="AI114" s="73" t="s">
        <v>35</v>
      </c>
      <c r="AJ114" s="72"/>
    </row>
    <row r="115" spans="1:36" ht="5.0999999999999996" customHeight="1" x14ac:dyDescent="0.25">
      <c r="A115" s="188"/>
      <c r="B115" s="188"/>
      <c r="C115" s="188"/>
      <c r="D115" s="188"/>
      <c r="E115" s="188"/>
      <c r="F115" s="72"/>
      <c r="G115" s="75"/>
      <c r="H115" s="75"/>
      <c r="I115" s="75"/>
      <c r="J115" s="75"/>
      <c r="K115" s="75"/>
      <c r="L115" s="75"/>
      <c r="M115" s="75"/>
      <c r="N115" s="77"/>
      <c r="O115" s="77"/>
      <c r="P115" s="78"/>
      <c r="Q115" s="78"/>
      <c r="R115" s="78"/>
      <c r="S115" s="78"/>
      <c r="T115" s="77"/>
      <c r="U115" s="77"/>
      <c r="V115" s="75"/>
      <c r="W115" s="75"/>
      <c r="X115" s="75"/>
      <c r="Y115" s="75"/>
      <c r="Z115" s="75"/>
      <c r="AA115" s="75"/>
      <c r="AB115" s="75"/>
      <c r="AC115" s="72"/>
      <c r="AD115" s="187"/>
      <c r="AE115" s="187"/>
      <c r="AF115" s="187"/>
      <c r="AG115" s="187"/>
      <c r="AH115" s="187"/>
      <c r="AI115" s="73" t="s">
        <v>35</v>
      </c>
      <c r="AJ115" s="72"/>
    </row>
    <row r="116" spans="1:36" ht="5.0999999999999996" customHeight="1" x14ac:dyDescent="0.25">
      <c r="A116" s="188"/>
      <c r="B116" s="188"/>
      <c r="C116" s="188"/>
      <c r="D116" s="188"/>
      <c r="E116" s="188"/>
      <c r="F116" s="72"/>
      <c r="G116" s="75"/>
      <c r="H116" s="75"/>
      <c r="I116" s="75"/>
      <c r="J116" s="75"/>
      <c r="K116" s="75"/>
      <c r="L116" s="75"/>
      <c r="M116" s="75"/>
      <c r="N116" s="77"/>
      <c r="O116" s="77"/>
      <c r="P116" s="78"/>
      <c r="Q116" s="78"/>
      <c r="R116" s="78"/>
      <c r="S116" s="78"/>
      <c r="T116" s="77"/>
      <c r="U116" s="77"/>
      <c r="V116" s="75"/>
      <c r="W116" s="75"/>
      <c r="X116" s="75"/>
      <c r="Y116" s="75"/>
      <c r="Z116" s="75"/>
      <c r="AA116" s="75"/>
      <c r="AB116" s="75"/>
      <c r="AC116" s="72"/>
      <c r="AD116" s="187"/>
      <c r="AE116" s="187"/>
      <c r="AF116" s="187"/>
      <c r="AG116" s="187"/>
      <c r="AH116" s="187"/>
      <c r="AI116" s="73" t="s">
        <v>35</v>
      </c>
      <c r="AJ116" s="72"/>
    </row>
    <row r="117" spans="1:36" ht="5.0999999999999996" customHeight="1" x14ac:dyDescent="0.25">
      <c r="A117" s="188"/>
      <c r="B117" s="188"/>
      <c r="C117" s="188"/>
      <c r="D117" s="188"/>
      <c r="E117" s="188"/>
      <c r="F117" s="72"/>
      <c r="G117" s="75"/>
      <c r="H117" s="75"/>
      <c r="I117" s="75"/>
      <c r="J117" s="75"/>
      <c r="K117" s="75"/>
      <c r="L117" s="75"/>
      <c r="M117" s="75"/>
      <c r="N117" s="77"/>
      <c r="O117" s="77"/>
      <c r="P117" s="77"/>
      <c r="Q117" s="77"/>
      <c r="R117" s="77"/>
      <c r="S117" s="77"/>
      <c r="T117" s="77"/>
      <c r="U117" s="77"/>
      <c r="V117" s="75"/>
      <c r="W117" s="75"/>
      <c r="X117" s="75"/>
      <c r="Y117" s="75"/>
      <c r="Z117" s="75"/>
      <c r="AA117" s="75"/>
      <c r="AB117" s="75"/>
      <c r="AC117" s="72"/>
      <c r="AD117" s="187"/>
      <c r="AE117" s="187"/>
      <c r="AF117" s="187"/>
      <c r="AG117" s="187"/>
      <c r="AH117" s="187"/>
      <c r="AI117" s="73" t="s">
        <v>35</v>
      </c>
      <c r="AJ117" s="72"/>
    </row>
    <row r="118" spans="1:36" ht="5.0999999999999996" customHeight="1" x14ac:dyDescent="0.25">
      <c r="A118" s="188"/>
      <c r="B118" s="188"/>
      <c r="C118" s="188"/>
      <c r="D118" s="188"/>
      <c r="E118" s="188"/>
      <c r="F118" s="72"/>
      <c r="G118" s="75"/>
      <c r="H118" s="75"/>
      <c r="I118" s="75"/>
      <c r="J118" s="75"/>
      <c r="K118" s="75"/>
      <c r="L118" s="75"/>
      <c r="M118" s="75"/>
      <c r="N118" s="77"/>
      <c r="O118" s="77"/>
      <c r="P118" s="77"/>
      <c r="Q118" s="77"/>
      <c r="R118" s="77"/>
      <c r="S118" s="77"/>
      <c r="T118" s="77"/>
      <c r="U118" s="77"/>
      <c r="V118" s="75"/>
      <c r="W118" s="75"/>
      <c r="X118" s="75"/>
      <c r="Y118" s="75"/>
      <c r="Z118" s="75"/>
      <c r="AA118" s="75"/>
      <c r="AB118" s="75"/>
      <c r="AC118" s="72"/>
      <c r="AD118" s="187"/>
      <c r="AE118" s="187"/>
      <c r="AF118" s="187"/>
      <c r="AG118" s="187"/>
      <c r="AH118" s="187"/>
      <c r="AI118" s="73" t="s">
        <v>35</v>
      </c>
      <c r="AJ118" s="72"/>
    </row>
    <row r="119" spans="1:36" ht="5.0999999999999996" customHeight="1" x14ac:dyDescent="0.25">
      <c r="A119" s="188"/>
      <c r="B119" s="188"/>
      <c r="C119" s="188"/>
      <c r="D119" s="188"/>
      <c r="E119" s="188"/>
      <c r="F119" s="72"/>
      <c r="G119" s="75"/>
      <c r="H119" s="75"/>
      <c r="I119" s="75"/>
      <c r="J119" s="75"/>
      <c r="K119" s="75"/>
      <c r="L119" s="75"/>
      <c r="M119" s="75"/>
      <c r="N119" s="133"/>
      <c r="O119" s="133"/>
      <c r="P119" s="133"/>
      <c r="Q119" s="133"/>
      <c r="R119" s="133"/>
      <c r="S119" s="133"/>
      <c r="T119" s="133"/>
      <c r="U119" s="133"/>
      <c r="V119" s="75"/>
      <c r="W119" s="75"/>
      <c r="X119" s="75"/>
      <c r="Y119" s="75"/>
      <c r="Z119" s="75"/>
      <c r="AA119" s="75"/>
      <c r="AB119" s="75"/>
      <c r="AC119" s="72"/>
      <c r="AD119" s="187"/>
      <c r="AE119" s="187"/>
      <c r="AF119" s="187"/>
      <c r="AG119" s="187"/>
      <c r="AH119" s="187"/>
      <c r="AI119" s="73" t="s">
        <v>35</v>
      </c>
      <c r="AJ119" s="72"/>
    </row>
    <row r="120" spans="1:36" ht="5.0999999999999996" customHeight="1" x14ac:dyDescent="0.25">
      <c r="A120" s="188"/>
      <c r="B120" s="188"/>
      <c r="C120" s="188"/>
      <c r="D120" s="188"/>
      <c r="E120" s="188"/>
      <c r="F120" s="79"/>
      <c r="G120" s="190"/>
      <c r="H120" s="190"/>
      <c r="I120" s="77"/>
      <c r="J120" s="77"/>
      <c r="K120" s="77"/>
      <c r="L120" s="77"/>
      <c r="M120" s="135"/>
      <c r="N120" s="77"/>
      <c r="O120" s="77"/>
      <c r="P120" s="77"/>
      <c r="Q120" s="77"/>
      <c r="R120" s="77"/>
      <c r="S120" s="77"/>
      <c r="T120" s="77"/>
      <c r="U120" s="77"/>
      <c r="V120" s="137"/>
      <c r="W120" s="87"/>
      <c r="X120" s="87"/>
      <c r="Y120" s="87"/>
      <c r="Z120" s="87"/>
      <c r="AA120" s="191"/>
      <c r="AB120" s="191"/>
      <c r="AC120" s="85"/>
      <c r="AD120" s="187"/>
      <c r="AE120" s="187"/>
      <c r="AF120" s="187"/>
      <c r="AG120" s="187"/>
      <c r="AH120" s="187"/>
      <c r="AI120" s="73" t="s">
        <v>35</v>
      </c>
      <c r="AJ120" s="72"/>
    </row>
    <row r="121" spans="1:36" ht="5.0999999999999996" customHeight="1" x14ac:dyDescent="0.25">
      <c r="A121" s="188"/>
      <c r="B121" s="188"/>
      <c r="C121" s="188"/>
      <c r="D121" s="188"/>
      <c r="E121" s="188"/>
      <c r="F121" s="79"/>
      <c r="G121" s="190"/>
      <c r="H121" s="190"/>
      <c r="I121" s="77"/>
      <c r="J121" s="77"/>
      <c r="K121" s="77"/>
      <c r="L121" s="77"/>
      <c r="M121" s="135"/>
      <c r="N121" s="77"/>
      <c r="O121" s="77"/>
      <c r="P121" s="77"/>
      <c r="Q121" s="77"/>
      <c r="R121" s="77"/>
      <c r="S121" s="77"/>
      <c r="T121" s="77"/>
      <c r="U121" s="77"/>
      <c r="V121" s="137"/>
      <c r="W121" s="87"/>
      <c r="X121" s="87"/>
      <c r="Y121" s="87"/>
      <c r="Z121" s="87"/>
      <c r="AA121" s="191"/>
      <c r="AB121" s="191"/>
      <c r="AC121" s="85"/>
      <c r="AD121" s="187"/>
      <c r="AE121" s="187"/>
      <c r="AF121" s="187"/>
      <c r="AG121" s="187"/>
      <c r="AH121" s="187"/>
      <c r="AI121" s="73" t="s">
        <v>35</v>
      </c>
      <c r="AJ121" s="72"/>
    </row>
    <row r="122" spans="1:36" ht="5.0999999999999996" customHeight="1" x14ac:dyDescent="0.25">
      <c r="A122" s="188"/>
      <c r="B122" s="188"/>
      <c r="C122" s="188"/>
      <c r="D122" s="188"/>
      <c r="E122" s="188"/>
      <c r="F122" s="79"/>
      <c r="G122" s="131"/>
      <c r="H122" s="131"/>
      <c r="I122" s="78"/>
      <c r="J122" s="78"/>
      <c r="K122" s="77"/>
      <c r="L122" s="77"/>
      <c r="M122" s="135"/>
      <c r="N122" s="77"/>
      <c r="O122" s="77"/>
      <c r="P122" s="77"/>
      <c r="Q122" s="77"/>
      <c r="R122" s="77"/>
      <c r="S122" s="77"/>
      <c r="T122" s="77"/>
      <c r="U122" s="77"/>
      <c r="V122" s="137"/>
      <c r="W122" s="87"/>
      <c r="X122" s="87"/>
      <c r="Y122" s="138"/>
      <c r="Z122" s="138"/>
      <c r="AA122" s="139"/>
      <c r="AB122" s="139"/>
      <c r="AC122" s="85"/>
      <c r="AD122" s="187"/>
      <c r="AE122" s="187"/>
      <c r="AF122" s="187"/>
      <c r="AG122" s="187"/>
      <c r="AH122" s="187"/>
      <c r="AI122" s="73" t="s">
        <v>35</v>
      </c>
      <c r="AJ122" s="72"/>
    </row>
    <row r="123" spans="1:36" ht="5.0999999999999996" customHeight="1" x14ac:dyDescent="0.25">
      <c r="A123" s="188"/>
      <c r="B123" s="188"/>
      <c r="C123" s="188"/>
      <c r="D123" s="188"/>
      <c r="E123" s="188"/>
      <c r="F123" s="79"/>
      <c r="G123" s="190" t="s">
        <v>90</v>
      </c>
      <c r="H123" s="190"/>
      <c r="I123" s="78"/>
      <c r="J123" s="78"/>
      <c r="K123" s="77"/>
      <c r="L123" s="77"/>
      <c r="M123" s="135"/>
      <c r="N123" s="77"/>
      <c r="O123" s="77"/>
      <c r="P123" s="77"/>
      <c r="Q123" s="77"/>
      <c r="R123" s="77"/>
      <c r="S123" s="77"/>
      <c r="T123" s="77"/>
      <c r="U123" s="77"/>
      <c r="V123" s="137"/>
      <c r="W123" s="87"/>
      <c r="X123" s="87"/>
      <c r="Y123" s="138"/>
      <c r="Z123" s="138"/>
      <c r="AA123" s="191"/>
      <c r="AB123" s="191"/>
      <c r="AC123" s="85"/>
      <c r="AD123" s="187"/>
      <c r="AE123" s="187"/>
      <c r="AF123" s="187"/>
      <c r="AG123" s="187"/>
      <c r="AH123" s="187"/>
      <c r="AI123" s="73" t="s">
        <v>35</v>
      </c>
      <c r="AJ123" s="72"/>
    </row>
    <row r="124" spans="1:36" ht="5.0999999999999996" customHeight="1" x14ac:dyDescent="0.25">
      <c r="A124" s="188"/>
      <c r="B124" s="188"/>
      <c r="C124" s="188"/>
      <c r="D124" s="188"/>
      <c r="E124" s="188"/>
      <c r="F124" s="79"/>
      <c r="G124" s="190"/>
      <c r="H124" s="190"/>
      <c r="I124" s="78"/>
      <c r="J124" s="78"/>
      <c r="K124" s="77"/>
      <c r="L124" s="77"/>
      <c r="M124" s="135"/>
      <c r="N124" s="77"/>
      <c r="O124" s="77"/>
      <c r="P124" s="77"/>
      <c r="Q124" s="77"/>
      <c r="R124" s="77"/>
      <c r="S124" s="77"/>
      <c r="T124" s="77"/>
      <c r="U124" s="77"/>
      <c r="V124" s="137"/>
      <c r="W124" s="87"/>
      <c r="X124" s="87"/>
      <c r="Y124" s="138"/>
      <c r="Z124" s="138"/>
      <c r="AA124" s="191"/>
      <c r="AB124" s="191"/>
      <c r="AC124" s="85"/>
      <c r="AD124" s="187"/>
      <c r="AE124" s="187"/>
      <c r="AF124" s="187"/>
      <c r="AG124" s="187"/>
      <c r="AH124" s="187"/>
      <c r="AI124" s="73" t="s">
        <v>35</v>
      </c>
      <c r="AJ124" s="72"/>
    </row>
    <row r="125" spans="1:36" ht="5.0999999999999996" customHeight="1" x14ac:dyDescent="0.25">
      <c r="A125" s="188"/>
      <c r="B125" s="188"/>
      <c r="C125" s="188"/>
      <c r="D125" s="188"/>
      <c r="E125" s="188"/>
      <c r="F125" s="79"/>
      <c r="G125" s="131"/>
      <c r="H125" s="131"/>
      <c r="I125" s="78"/>
      <c r="J125" s="78"/>
      <c r="K125" s="77"/>
      <c r="L125" s="77"/>
      <c r="M125" s="135"/>
      <c r="N125" s="77"/>
      <c r="O125" s="77"/>
      <c r="P125" s="77"/>
      <c r="Q125" s="77"/>
      <c r="R125" s="77"/>
      <c r="S125" s="77"/>
      <c r="T125" s="77"/>
      <c r="U125" s="77"/>
      <c r="V125" s="137"/>
      <c r="W125" s="87"/>
      <c r="X125" s="87"/>
      <c r="Y125" s="138"/>
      <c r="Z125" s="138"/>
      <c r="AA125" s="139"/>
      <c r="AB125" s="139"/>
      <c r="AC125" s="85"/>
      <c r="AD125" s="187"/>
      <c r="AE125" s="187"/>
      <c r="AF125" s="187"/>
      <c r="AG125" s="187"/>
      <c r="AH125" s="187"/>
      <c r="AI125" s="73" t="s">
        <v>35</v>
      </c>
      <c r="AJ125" s="72"/>
    </row>
    <row r="126" spans="1:36" ht="5.0999999999999996" customHeight="1" x14ac:dyDescent="0.25">
      <c r="A126" s="188"/>
      <c r="B126" s="188"/>
      <c r="C126" s="188"/>
      <c r="D126" s="188"/>
      <c r="E126" s="188"/>
      <c r="F126" s="79"/>
      <c r="G126" s="190" t="s">
        <v>89</v>
      </c>
      <c r="H126" s="190"/>
      <c r="I126" s="77"/>
      <c r="J126" s="77"/>
      <c r="K126" s="77"/>
      <c r="L126" s="77"/>
      <c r="M126" s="135"/>
      <c r="N126" s="77"/>
      <c r="O126" s="77"/>
      <c r="P126" s="77"/>
      <c r="Q126" s="77"/>
      <c r="R126" s="77"/>
      <c r="S126" s="77"/>
      <c r="T126" s="77"/>
      <c r="U126" s="77"/>
      <c r="V126" s="137"/>
      <c r="W126" s="87"/>
      <c r="X126" s="87"/>
      <c r="Y126" s="87"/>
      <c r="Z126" s="87"/>
      <c r="AA126" s="191"/>
      <c r="AB126" s="191"/>
      <c r="AC126" s="85"/>
      <c r="AD126" s="187"/>
      <c r="AE126" s="187"/>
      <c r="AF126" s="187"/>
      <c r="AG126" s="187"/>
      <c r="AH126" s="187"/>
      <c r="AI126" s="73" t="s">
        <v>35</v>
      </c>
      <c r="AJ126" s="72"/>
    </row>
    <row r="127" spans="1:36" ht="5.0999999999999996" customHeight="1" x14ac:dyDescent="0.25">
      <c r="A127" s="188"/>
      <c r="B127" s="188"/>
      <c r="C127" s="188"/>
      <c r="D127" s="188"/>
      <c r="E127" s="188"/>
      <c r="F127" s="79"/>
      <c r="G127" s="190"/>
      <c r="H127" s="190"/>
      <c r="I127" s="77"/>
      <c r="J127" s="77"/>
      <c r="K127" s="77"/>
      <c r="L127" s="77"/>
      <c r="M127" s="135"/>
      <c r="N127" s="77"/>
      <c r="O127" s="77"/>
      <c r="P127" s="77"/>
      <c r="Q127" s="77"/>
      <c r="R127" s="77"/>
      <c r="S127" s="77"/>
      <c r="T127" s="77"/>
      <c r="U127" s="77"/>
      <c r="V127" s="137"/>
      <c r="W127" s="87"/>
      <c r="X127" s="87"/>
      <c r="Y127" s="87"/>
      <c r="Z127" s="87"/>
      <c r="AA127" s="191"/>
      <c r="AB127" s="191"/>
      <c r="AC127" s="85"/>
      <c r="AD127" s="187"/>
      <c r="AE127" s="187"/>
      <c r="AF127" s="187"/>
      <c r="AG127" s="187"/>
      <c r="AH127" s="187"/>
      <c r="AI127" s="73" t="s">
        <v>35</v>
      </c>
      <c r="AJ127" s="72"/>
    </row>
    <row r="128" spans="1:36" ht="5.0999999999999996" customHeight="1" x14ac:dyDescent="0.25">
      <c r="A128" s="188"/>
      <c r="B128" s="188"/>
      <c r="C128" s="188"/>
      <c r="D128" s="188"/>
      <c r="E128" s="188"/>
      <c r="F128" s="72"/>
      <c r="G128" s="75"/>
      <c r="H128" s="75"/>
      <c r="I128" s="75"/>
      <c r="J128" s="75"/>
      <c r="K128" s="75"/>
      <c r="L128" s="75"/>
      <c r="M128" s="75"/>
      <c r="N128" s="134"/>
      <c r="O128" s="134"/>
      <c r="P128" s="134"/>
      <c r="Q128" s="134"/>
      <c r="R128" s="134"/>
      <c r="S128" s="134"/>
      <c r="T128" s="134"/>
      <c r="U128" s="134"/>
      <c r="V128" s="75"/>
      <c r="W128" s="75"/>
      <c r="X128" s="75"/>
      <c r="Y128" s="75"/>
      <c r="Z128" s="75"/>
      <c r="AA128" s="75"/>
      <c r="AB128" s="75"/>
      <c r="AC128" s="72"/>
      <c r="AD128" s="187"/>
      <c r="AE128" s="187"/>
      <c r="AF128" s="187"/>
      <c r="AG128" s="187"/>
      <c r="AH128" s="187"/>
      <c r="AI128" s="73" t="s">
        <v>35</v>
      </c>
      <c r="AJ128" s="72"/>
    </row>
    <row r="129" spans="1:36" ht="5.0999999999999996" customHeight="1" x14ac:dyDescent="0.25">
      <c r="A129" s="188"/>
      <c r="B129" s="188"/>
      <c r="C129" s="188"/>
      <c r="D129" s="188"/>
      <c r="E129" s="188"/>
      <c r="F129" s="72"/>
      <c r="G129" s="75"/>
      <c r="H129" s="75"/>
      <c r="I129" s="75"/>
      <c r="J129" s="75"/>
      <c r="K129" s="75"/>
      <c r="L129" s="75"/>
      <c r="M129" s="75"/>
      <c r="N129" s="77"/>
      <c r="O129" s="77"/>
      <c r="P129" s="77"/>
      <c r="Q129" s="77"/>
      <c r="R129" s="77"/>
      <c r="S129" s="77"/>
      <c r="T129" s="77"/>
      <c r="U129" s="77"/>
      <c r="V129" s="75"/>
      <c r="W129" s="75"/>
      <c r="X129" s="75"/>
      <c r="Y129" s="75"/>
      <c r="Z129" s="75"/>
      <c r="AA129" s="75"/>
      <c r="AB129" s="75"/>
      <c r="AC129" s="72"/>
      <c r="AD129" s="187"/>
      <c r="AE129" s="187"/>
      <c r="AF129" s="187"/>
      <c r="AG129" s="187"/>
      <c r="AH129" s="187"/>
      <c r="AI129" s="73" t="s">
        <v>35</v>
      </c>
      <c r="AJ129" s="72"/>
    </row>
    <row r="130" spans="1:36" ht="5.0999999999999996" customHeight="1" x14ac:dyDescent="0.25">
      <c r="A130" s="188"/>
      <c r="B130" s="188"/>
      <c r="C130" s="188"/>
      <c r="D130" s="188"/>
      <c r="E130" s="188"/>
      <c r="F130" s="72"/>
      <c r="G130" s="75"/>
      <c r="H130" s="75"/>
      <c r="I130" s="75"/>
      <c r="J130" s="75"/>
      <c r="K130" s="75"/>
      <c r="L130" s="75"/>
      <c r="M130" s="75"/>
      <c r="N130" s="77"/>
      <c r="O130" s="77"/>
      <c r="P130" s="77"/>
      <c r="Q130" s="77"/>
      <c r="R130" s="77"/>
      <c r="S130" s="77"/>
      <c r="T130" s="77"/>
      <c r="U130" s="77"/>
      <c r="V130" s="75"/>
      <c r="W130" s="75"/>
      <c r="X130" s="75"/>
      <c r="Y130" s="75"/>
      <c r="Z130" s="75"/>
      <c r="AA130" s="75"/>
      <c r="AB130" s="75"/>
      <c r="AC130" s="72"/>
      <c r="AD130" s="187"/>
      <c r="AE130" s="187"/>
      <c r="AF130" s="187"/>
      <c r="AG130" s="187"/>
      <c r="AH130" s="187"/>
      <c r="AI130" s="73" t="s">
        <v>35</v>
      </c>
      <c r="AJ130" s="72"/>
    </row>
    <row r="131" spans="1:36" ht="5.0999999999999996" customHeight="1" x14ac:dyDescent="0.25">
      <c r="A131" s="188"/>
      <c r="B131" s="188"/>
      <c r="C131" s="188"/>
      <c r="D131" s="188"/>
      <c r="E131" s="188"/>
      <c r="F131" s="72"/>
      <c r="G131" s="75"/>
      <c r="H131" s="75"/>
      <c r="I131" s="75"/>
      <c r="J131" s="75"/>
      <c r="K131" s="75"/>
      <c r="L131" s="75"/>
      <c r="M131" s="75"/>
      <c r="N131" s="77"/>
      <c r="O131" s="77"/>
      <c r="P131" s="78"/>
      <c r="Q131" s="78"/>
      <c r="R131" s="78"/>
      <c r="S131" s="78"/>
      <c r="T131" s="77"/>
      <c r="U131" s="77"/>
      <c r="V131" s="75"/>
      <c r="W131" s="75"/>
      <c r="X131" s="75"/>
      <c r="Y131" s="75"/>
      <c r="Z131" s="75"/>
      <c r="AA131" s="75"/>
      <c r="AB131" s="75"/>
      <c r="AC131" s="72"/>
      <c r="AD131" s="187"/>
      <c r="AE131" s="187"/>
      <c r="AF131" s="187"/>
      <c r="AG131" s="187"/>
      <c r="AH131" s="187"/>
      <c r="AI131" s="73" t="s">
        <v>35</v>
      </c>
      <c r="AJ131" s="72"/>
    </row>
    <row r="132" spans="1:36" ht="5.0999999999999996" customHeight="1" x14ac:dyDescent="0.25">
      <c r="A132" s="188"/>
      <c r="B132" s="188"/>
      <c r="C132" s="188"/>
      <c r="D132" s="188"/>
      <c r="E132" s="188"/>
      <c r="F132" s="72"/>
      <c r="G132" s="75"/>
      <c r="H132" s="75"/>
      <c r="I132" s="75"/>
      <c r="J132" s="75"/>
      <c r="K132" s="75"/>
      <c r="L132" s="75"/>
      <c r="M132" s="75"/>
      <c r="N132" s="77"/>
      <c r="O132" s="77"/>
      <c r="P132" s="78"/>
      <c r="Q132" s="78"/>
      <c r="R132" s="78"/>
      <c r="S132" s="78"/>
      <c r="T132" s="77"/>
      <c r="U132" s="77"/>
      <c r="V132" s="75"/>
      <c r="W132" s="75"/>
      <c r="X132" s="75"/>
      <c r="Y132" s="75"/>
      <c r="Z132" s="75"/>
      <c r="AA132" s="75"/>
      <c r="AB132" s="75"/>
      <c r="AC132" s="72"/>
      <c r="AD132" s="187"/>
      <c r="AE132" s="187"/>
      <c r="AF132" s="187"/>
      <c r="AG132" s="187"/>
      <c r="AH132" s="187"/>
      <c r="AI132" s="73" t="s">
        <v>35</v>
      </c>
      <c r="AJ132" s="72"/>
    </row>
    <row r="133" spans="1:36" ht="5.0999999999999996" customHeight="1" x14ac:dyDescent="0.25">
      <c r="A133" s="188"/>
      <c r="B133" s="188"/>
      <c r="C133" s="188"/>
      <c r="D133" s="188"/>
      <c r="E133" s="188"/>
      <c r="F133" s="72"/>
      <c r="G133" s="75"/>
      <c r="H133" s="75"/>
      <c r="I133" s="75"/>
      <c r="J133" s="75"/>
      <c r="K133" s="75"/>
      <c r="L133" s="75"/>
      <c r="M133" s="75"/>
      <c r="N133" s="77"/>
      <c r="O133" s="77"/>
      <c r="P133" s="78"/>
      <c r="Q133" s="78"/>
      <c r="R133" s="78"/>
      <c r="S133" s="78"/>
      <c r="T133" s="77"/>
      <c r="U133" s="77"/>
      <c r="V133" s="75"/>
      <c r="W133" s="75"/>
      <c r="X133" s="75"/>
      <c r="Y133" s="75"/>
      <c r="Z133" s="75"/>
      <c r="AA133" s="75"/>
      <c r="AB133" s="75"/>
      <c r="AC133" s="72"/>
      <c r="AD133" s="187"/>
      <c r="AE133" s="187"/>
      <c r="AF133" s="187"/>
      <c r="AG133" s="187"/>
      <c r="AH133" s="187"/>
      <c r="AI133" s="73" t="s">
        <v>35</v>
      </c>
      <c r="AJ133" s="72"/>
    </row>
    <row r="134" spans="1:36" ht="5.0999999999999996" customHeight="1" x14ac:dyDescent="0.25">
      <c r="A134" s="188"/>
      <c r="B134" s="188"/>
      <c r="C134" s="188"/>
      <c r="D134" s="188"/>
      <c r="E134" s="188"/>
      <c r="F134" s="72"/>
      <c r="G134" s="75"/>
      <c r="H134" s="75"/>
      <c r="I134" s="75"/>
      <c r="J134" s="75"/>
      <c r="K134" s="75"/>
      <c r="L134" s="75"/>
      <c r="M134" s="75"/>
      <c r="N134" s="183"/>
      <c r="O134" s="183"/>
      <c r="P134" s="76"/>
      <c r="Q134" s="190" t="s">
        <v>90</v>
      </c>
      <c r="R134" s="190"/>
      <c r="S134" s="131"/>
      <c r="T134" s="190" t="s">
        <v>89</v>
      </c>
      <c r="U134" s="190"/>
      <c r="V134" s="75"/>
      <c r="W134" s="75"/>
      <c r="X134" s="75"/>
      <c r="Y134" s="75"/>
      <c r="Z134" s="75"/>
      <c r="AA134" s="75"/>
      <c r="AB134" s="75"/>
      <c r="AC134" s="72"/>
      <c r="AD134" s="187"/>
      <c r="AE134" s="187"/>
      <c r="AF134" s="187"/>
      <c r="AG134" s="187"/>
      <c r="AH134" s="187"/>
      <c r="AI134" s="73" t="s">
        <v>35</v>
      </c>
      <c r="AJ134" s="72"/>
    </row>
    <row r="135" spans="1:36" ht="5.0999999999999996" customHeight="1" x14ac:dyDescent="0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183"/>
      <c r="O135" s="183"/>
      <c r="P135" s="74"/>
      <c r="Q135" s="190"/>
      <c r="R135" s="190"/>
      <c r="S135" s="132"/>
      <c r="T135" s="190"/>
      <c r="U135" s="190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3" t="s">
        <v>35</v>
      </c>
      <c r="AJ135" s="72"/>
    </row>
    <row r="136" spans="1:36" ht="5.0999999999999996" customHeight="1" x14ac:dyDescent="0.25">
      <c r="A136" s="72"/>
      <c r="B136" s="72"/>
      <c r="C136" s="72"/>
      <c r="D136" s="72"/>
      <c r="E136" s="72"/>
      <c r="F136" s="72"/>
      <c r="G136" s="185" t="str">
        <f>G101</f>
        <v>Z. R8 komende van Complex Bissegem</v>
      </c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72"/>
      <c r="AD136" s="72"/>
      <c r="AE136" s="72"/>
      <c r="AF136" s="72"/>
      <c r="AG136" s="72"/>
      <c r="AH136" s="72"/>
      <c r="AI136" s="73" t="s">
        <v>35</v>
      </c>
      <c r="AJ136" s="72"/>
    </row>
    <row r="137" spans="1:36" ht="5.0999999999999996" customHeight="1" x14ac:dyDescent="0.25">
      <c r="A137" s="72"/>
      <c r="B137" s="72"/>
      <c r="C137" s="72"/>
      <c r="D137" s="72"/>
      <c r="E137" s="72"/>
      <c r="F137" s="72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72"/>
      <c r="AD137" s="72"/>
      <c r="AE137" s="72"/>
      <c r="AF137" s="72"/>
      <c r="AG137" s="72"/>
      <c r="AH137" s="72"/>
      <c r="AI137" s="73" t="s">
        <v>35</v>
      </c>
      <c r="AJ137" s="72"/>
    </row>
    <row r="138" spans="1:36" ht="5.0999999999999996" customHeight="1" x14ac:dyDescent="0.25">
      <c r="A138" s="72"/>
      <c r="B138" s="72"/>
      <c r="C138" s="72"/>
      <c r="D138" s="72"/>
      <c r="E138" s="72"/>
      <c r="F138" s="72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72"/>
      <c r="AD138" s="72"/>
      <c r="AE138" s="72"/>
      <c r="AF138" s="72"/>
      <c r="AG138" s="72"/>
      <c r="AH138" s="72"/>
      <c r="AI138" s="73" t="s">
        <v>35</v>
      </c>
      <c r="AJ138" s="72"/>
    </row>
    <row r="139" spans="1:36" ht="5.0999999999999996" customHeight="1" x14ac:dyDescent="0.25">
      <c r="A139" s="72"/>
      <c r="B139" s="72"/>
      <c r="C139" s="72"/>
      <c r="D139" s="72"/>
      <c r="E139" s="72"/>
      <c r="F139" s="72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72"/>
      <c r="AD139" s="72"/>
      <c r="AE139" s="72"/>
      <c r="AF139" s="72"/>
      <c r="AG139" s="72"/>
      <c r="AH139" s="72"/>
      <c r="AI139" s="73" t="s">
        <v>35</v>
      </c>
      <c r="AJ139" s="72"/>
    </row>
    <row r="140" spans="1:36" ht="5.0999999999999996" customHeight="1" x14ac:dyDescent="0.25">
      <c r="A140" s="72"/>
      <c r="B140" s="72"/>
      <c r="C140" s="72"/>
      <c r="D140" s="72"/>
      <c r="E140" s="72"/>
      <c r="F140" s="72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72"/>
      <c r="AD140" s="72"/>
      <c r="AE140" s="72"/>
      <c r="AF140" s="72"/>
      <c r="AG140" s="72"/>
      <c r="AH140" s="72"/>
      <c r="AI140" s="73" t="s">
        <v>35</v>
      </c>
      <c r="AJ140" s="72"/>
    </row>
    <row r="141" spans="1:36" ht="5.0999999999999996" customHeight="1" x14ac:dyDescent="0.25">
      <c r="A141" s="83" t="s">
        <v>35</v>
      </c>
      <c r="B141" s="73" t="s">
        <v>35</v>
      </c>
      <c r="C141" s="73" t="s">
        <v>35</v>
      </c>
      <c r="D141" s="73" t="s">
        <v>35</v>
      </c>
      <c r="E141" s="73" t="s">
        <v>35</v>
      </c>
      <c r="F141" s="73" t="s">
        <v>35</v>
      </c>
      <c r="G141" s="73" t="s">
        <v>35</v>
      </c>
      <c r="H141" s="73" t="s">
        <v>35</v>
      </c>
      <c r="I141" s="73" t="s">
        <v>35</v>
      </c>
      <c r="J141" s="73" t="s">
        <v>35</v>
      </c>
      <c r="K141" s="73" t="s">
        <v>35</v>
      </c>
      <c r="L141" s="73" t="s">
        <v>35</v>
      </c>
      <c r="M141" s="73" t="s">
        <v>35</v>
      </c>
      <c r="N141" s="73" t="s">
        <v>35</v>
      </c>
      <c r="O141" s="73" t="s">
        <v>35</v>
      </c>
      <c r="P141" s="73" t="s">
        <v>35</v>
      </c>
      <c r="Q141" s="73" t="s">
        <v>35</v>
      </c>
      <c r="R141" s="73" t="s">
        <v>35</v>
      </c>
      <c r="S141" s="73" t="s">
        <v>35</v>
      </c>
      <c r="T141" s="73" t="s">
        <v>35</v>
      </c>
      <c r="U141" s="73" t="s">
        <v>35</v>
      </c>
      <c r="V141" s="73" t="s">
        <v>35</v>
      </c>
      <c r="W141" s="73" t="s">
        <v>35</v>
      </c>
      <c r="X141" s="73" t="s">
        <v>35</v>
      </c>
      <c r="Y141" s="73" t="s">
        <v>35</v>
      </c>
      <c r="Z141" s="73" t="s">
        <v>35</v>
      </c>
      <c r="AA141" s="73" t="s">
        <v>35</v>
      </c>
      <c r="AB141" s="73" t="s">
        <v>35</v>
      </c>
      <c r="AC141" s="73" t="s">
        <v>35</v>
      </c>
      <c r="AD141" s="73" t="s">
        <v>35</v>
      </c>
      <c r="AE141" s="73" t="s">
        <v>35</v>
      </c>
      <c r="AF141" s="73" t="s">
        <v>35</v>
      </c>
      <c r="AG141" s="73" t="s">
        <v>35</v>
      </c>
      <c r="AH141" s="73" t="s">
        <v>35</v>
      </c>
      <c r="AI141" s="73" t="s">
        <v>35</v>
      </c>
      <c r="AJ141" s="91"/>
    </row>
    <row r="142" spans="1:36" ht="5.0999999999999996" customHeight="1" x14ac:dyDescent="0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92"/>
      <c r="AJ142" s="72"/>
    </row>
    <row r="143" spans="1:36" ht="5.0999999999999996" customHeight="1" x14ac:dyDescent="0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92"/>
      <c r="AJ143" s="72"/>
    </row>
    <row r="144" spans="1:36" ht="5.0999999999999996" customHeight="1" x14ac:dyDescent="0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92"/>
      <c r="AJ144" s="72"/>
    </row>
    <row r="145" spans="1:36" ht="5.0999999999999996" customHeight="1" x14ac:dyDescent="0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92"/>
      <c r="AJ145" s="72"/>
    </row>
    <row r="146" spans="1:36" ht="5.0999999999999996" customHeight="1" x14ac:dyDescent="0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92"/>
      <c r="AJ146" s="72"/>
    </row>
    <row r="147" spans="1:36" ht="5.0999999999999996" customHeight="1" x14ac:dyDescent="0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92"/>
      <c r="AJ147" s="72"/>
    </row>
    <row r="148" spans="1:36" ht="5.0999999999999996" customHeight="1" x14ac:dyDescent="0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92"/>
      <c r="AJ148" s="72"/>
    </row>
  </sheetData>
  <mergeCells count="56">
    <mergeCell ref="G136:AB140"/>
    <mergeCell ref="N112:O113"/>
    <mergeCell ref="Q112:R113"/>
    <mergeCell ref="T112:U113"/>
    <mergeCell ref="G120:H121"/>
    <mergeCell ref="AA120:AB121"/>
    <mergeCell ref="G123:H124"/>
    <mergeCell ref="AA123:AB124"/>
    <mergeCell ref="G126:H127"/>
    <mergeCell ref="AA126:AB127"/>
    <mergeCell ref="N134:O135"/>
    <mergeCell ref="Q134:R135"/>
    <mergeCell ref="T134:U135"/>
    <mergeCell ref="G107:AB111"/>
    <mergeCell ref="A113:E134"/>
    <mergeCell ref="AD113:AH134"/>
    <mergeCell ref="A43:E64"/>
    <mergeCell ref="G101:AB105"/>
    <mergeCell ref="A78:E99"/>
    <mergeCell ref="G72:AB76"/>
    <mergeCell ref="Q79:R80"/>
    <mergeCell ref="Q82:R83"/>
    <mergeCell ref="H88:I89"/>
    <mergeCell ref="K88:L89"/>
    <mergeCell ref="W88:X89"/>
    <mergeCell ref="Z88:AA89"/>
    <mergeCell ref="Q94:R95"/>
    <mergeCell ref="Q97:R98"/>
    <mergeCell ref="AD78:AH99"/>
    <mergeCell ref="Z53:AA54"/>
    <mergeCell ref="Q59:R60"/>
    <mergeCell ref="AD43:AH64"/>
    <mergeCell ref="Q62:R63"/>
    <mergeCell ref="G66:AB70"/>
    <mergeCell ref="Q44:R45"/>
    <mergeCell ref="Q47:R48"/>
    <mergeCell ref="H53:I54"/>
    <mergeCell ref="K53:L54"/>
    <mergeCell ref="W53:X54"/>
    <mergeCell ref="G37:AB41"/>
    <mergeCell ref="N7:O8"/>
    <mergeCell ref="Q7:R8"/>
    <mergeCell ref="T7:U8"/>
    <mergeCell ref="G21:H22"/>
    <mergeCell ref="AA21:AB22"/>
    <mergeCell ref="N29:O30"/>
    <mergeCell ref="Q29:R30"/>
    <mergeCell ref="T29:U30"/>
    <mergeCell ref="G31:AB35"/>
    <mergeCell ref="AD8:AH29"/>
    <mergeCell ref="A8:E29"/>
    <mergeCell ref="G2:AB6"/>
    <mergeCell ref="G15:H16"/>
    <mergeCell ref="AA15:AB16"/>
    <mergeCell ref="G18:H19"/>
    <mergeCell ref="AA18:AB19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7707535C0C5E46B0BF20980BDECC7F" ma:contentTypeVersion="70" ma:contentTypeDescription="Een nieuw document maken." ma:contentTypeScope="" ma:versionID="cbc1ffb7438d6a869f74c372200b8fb6">
  <xsd:schema xmlns:xsd="http://www.w3.org/2001/XMLSchema" xmlns:xs="http://www.w3.org/2001/XMLSchema" xmlns:p="http://schemas.microsoft.com/office/2006/metadata/properties" xmlns:ns1="http://schemas.microsoft.com/sharepoint/v3" xmlns:ns2="9a9ec0f0-7796-43d0-ac1f-4c8c46ee0bd1" xmlns:ns3="0d10f22a-0b98-420c-b42f-363b5690eeb4" xmlns:ns4="87cf7145-f4dc-42b7-abd6-b5202e7aa2bd" targetNamespace="http://schemas.microsoft.com/office/2006/metadata/properties" ma:root="true" ma:fieldsID="b42652384b2c2075f97ed423198dc244" ns1:_="" ns2:_="" ns3:_="" ns4:_="">
    <xsd:import namespace="http://schemas.microsoft.com/sharepoint/v3"/>
    <xsd:import namespace="9a9ec0f0-7796-43d0-ac1f-4c8c46ee0bd1"/>
    <xsd:import namespace="0d10f22a-0b98-420c-b42f-363b5690eeb4"/>
    <xsd:import namespace="87cf7145-f4dc-42b7-abd6-b5202e7aa2bd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Vraagsteller" minOccurs="0"/>
                <xsd:element ref="ns3:MOWElementenDoor" minOccurs="0"/>
                <xsd:element ref="ns3:MOWGecoordineerdDoor" minOccurs="0"/>
                <xsd:element ref="ns3:MOWNrSV" minOccurs="0"/>
                <xsd:element ref="ns3:MOWNrVOU" minOccurs="0"/>
                <xsd:element ref="ns3:MOWDatumVraag" minOccurs="0"/>
                <xsd:element ref="ns3:MOWDatumGecoordineerdTegen" minOccurs="0"/>
                <xsd:element ref="ns3:MOWDatumElementenTegen" minOccurs="0"/>
                <xsd:element ref="ns4:Elementen_x0020_door_x0020_verwittigen" minOccurs="0"/>
                <xsd:element ref="ns4:Geco_x00f6_rdineerd_x0020_door_x0020_verwittigen_x0028_1_x0029_" minOccurs="0"/>
                <xsd:element ref="ns4:Betrokken_x0020_medewerkers_x0020_verwittigen_x0028_1_x0029_" minOccurs="0"/>
                <xsd:element ref="ns4:Elementen_x0020_door_x0020_verwittigen_x0020__x0028_vraag_x0020_om_x0020_uitleg_x0029_" minOccurs="0"/>
                <xsd:element ref="ns4:Elementen_x0020_door_x0020_verwittigen_x0028_1_x0029_" minOccurs="0"/>
                <xsd:element ref="ns1:DocumentSetDescription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22" nillable="true" ma:displayName="Beschrijving" ma:description="Een beschrijving van de documentenset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ec0f0-7796-43d0-ac1f-4c8c46ee0bd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388b38f6-4d68-4f45-877b-9a8fc48f6ea8}" ma:internalName="TaxCatchAll" ma:showField="CatchAllData" ma:web="0d10f22a-0b98-420c-b42f-363b5690ee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10f22a-0b98-420c-b42f-363b5690eeb4" elementFormDefault="qualified">
    <xsd:import namespace="http://schemas.microsoft.com/office/2006/documentManagement/types"/>
    <xsd:import namespace="http://schemas.microsoft.com/office/infopath/2007/PartnerControls"/>
    <xsd:element name="Vraagsteller" ma:index="9" nillable="true" ma:displayName="Vraagsteller" ma:format="Dropdown" ma:internalName="Vraagsteller">
      <xsd:simpleType>
        <xsd:restriction base="dms:Choice">
          <xsd:enumeration value="Hannes Anaf"/>
          <xsd:enumeration value="Imade Annouri"/>
          <xsd:enumeration value="Björn Anseeuw"/>
          <xsd:enumeration value="Filip Anthuenis"/>
          <xsd:enumeration value="Erik Arckens"/>
          <xsd:enumeration value="Lionel Bajart"/>
          <xsd:enumeration value="Caroline Bastiaens"/>
          <xsd:enumeration value="Rob Beenders"/>
          <xsd:enumeration value="Jan Bertels"/>
          <xsd:enumeration value="Stijn Bex"/>
          <xsd:enumeration value="Barbara Bonte"/>
          <xsd:enumeration value="Robrecht Bothuyne"/>
          <xsd:enumeration value="Boudewijn Bouckaert"/>
          <xsd:enumeration value="Karin Brouwers"/>
          <xsd:enumeration value="Ann Brusseel"/>
          <xsd:enumeration value="Filip Brusselmans"/>
          <xsd:enumeration value="Agnes Bruyninckx-Vandenhoudt"/>
          <xsd:enumeration value="Karlos Callens"/>
          <xsd:enumeration value="Ludwig Caluwé"/>
          <xsd:enumeration value="Bart Caron"/>
          <xsd:enumeration value="Vera Celis"/>
          <xsd:enumeration value="Patricia Ceysens"/>
          <xsd:enumeration value="Lode Ceyssens"/>
          <xsd:enumeration value="An Christiaens"/>
          <xsd:enumeration value="Sonja Claes"/>
          <xsd:enumeration value="Bart Claes"/>
          <xsd:enumeration value="Griet Coppé"/>
          <xsd:enumeration value="Cathy Coudyser"/>
          <xsd:enumeration value="Frank Creyelman"/>
          <xsd:enumeration value="John Crombez"/>
          <xsd:enumeration value="Johan Daenen"/>
          <xsd:enumeration value="Rik Daems"/>
          <xsd:enumeration value="Steve D'Hulster"/>
          <xsd:enumeration value="Jos D'Haese"/>
          <xsd:enumeration value="Guy D'Haeseleer"/>
          <xsd:enumeration value="Stephanie D'Hose"/>
          <xsd:enumeration value="Sabine De Bethune"/>
          <xsd:enumeration value="Koen Daniëls"/>
          <xsd:enumeration value="Carl Decaluwe"/>
          <xsd:enumeration value="Herman De Croo"/>
          <xsd:enumeration value="Johan Deckmyn"/>
          <xsd:enumeration value="Kathleen Deckx"/>
          <xsd:enumeration value="Piet De Bruyn"/>
          <xsd:enumeration value="Mathias De Clercq"/>
          <xsd:enumeration value="Philippe De Coene"/>
          <xsd:enumeration value="Inez De Coninck"/>
          <xsd:enumeration value="Jean-Jacques De Gucht"/>
          <xsd:enumeration value="Tom Dehaene"/>
          <xsd:enumeration value="Lieven Dehandschutter"/>
          <xsd:enumeration value="Irina De Knop"/>
          <xsd:enumeration value="Dirk de Kort"/>
          <xsd:enumeration value="Kurt De Loor"/>
          <xsd:enumeration value="Jenne De Potter"/>
          <xsd:enumeration value="Ortwin Depoortere"/>
          <xsd:enumeration value="Paul Delva"/>
          <xsd:enumeration value="Mark Demesmaeker"/>
          <xsd:enumeration value="Ingeborg De Meulemeester"/>
          <xsd:enumeration value="Marnic De Meulemeester"/>
          <xsd:enumeration value="Jos De Meyer"/>
          <xsd:enumeration value="Immanuel De Reuse"/>
          <xsd:enumeration value="Annick De Ridder"/>
          <xsd:enumeration value="Jo De Ro"/>
          <xsd:enumeration value="Maarten De Veuster"/>
          <xsd:enumeration value="Mia De Vits"/>
          <xsd:enumeration value="Maaike De Vreese"/>
          <xsd:enumeration value="Gwenny De Vroe"/>
          <xsd:enumeration value="Else De Wachter"/>
          <xsd:enumeration value="Patricia De Waele"/>
          <xsd:enumeration value="Bart De Wever"/>
          <xsd:enumeration value="Filip Dewinter"/>
          <xsd:enumeration value="Sophie De Wit"/>
          <xsd:enumeration value="Matthias Diependaele"/>
          <xsd:enumeration value="Marijke Dillen"/>
          <xsd:enumeration value="Bart Dochy"/>
          <xsd:enumeration value="Michel Doomst"/>
          <xsd:enumeration value="Jan Durnez"/>
          <xsd:enumeration value="Jelle Engelbosch"/>
          <xsd:enumeration value="Tine Eerlingen"/>
          <xsd:enumeration value="Martine Fournier"/>
          <xsd:enumeration value="Cindy Franssen"/>
          <xsd:enumeration value="Sven Gatz"/>
          <xsd:enumeration value="Caroline Gennez"/>
          <xsd:enumeration value="Danielle Godderis-T'Jonck"/>
          <xsd:enumeration value="Andries Gryffroy"/>
          <xsd:enumeration value="Peter Gysbrechts"/>
          <xsd:enumeration value="Veerle Heeren"/>
          <xsd:enumeration value="Kathleen Helsen"/>
          <xsd:enumeration value="Marc Hendrickx"/>
          <xsd:enumeration value="Jan Hofkens"/>
          <xsd:enumeration value="Liesbeth Homans"/>
          <xsd:enumeration value="Michèle Hostekint"/>
          <xsd:enumeration value="Pieter Huybrechts"/>
          <xsd:enumeration value="Yamila Idrissi"/>
          <xsd:enumeration value="Lies Jans"/>
          <xsd:enumeration value="Vera Jans"/>
          <xsd:enumeration value="Chris Janssens"/>
          <xsd:enumeration value="Patrick Janssens"/>
          <xsd:enumeration value="Sofie Joosen"/>
          <xsd:enumeration value="Ward Kennes"/>
          <xsd:enumeration value="Marino Keulen"/>
          <xsd:enumeration value="Yasmine Kherbache"/>
          <xsd:enumeration value="Els Kindt"/>
          <xsd:enumeration value="Kathleen Krekels"/>
          <xsd:enumeration value="Annick Lambrecht"/>
          <xsd:enumeration value="Jan Laeremans"/>
          <xsd:enumeration value="Egbert Lachaert"/>
          <xsd:enumeration value="Renaat Landuyt"/>
          <xsd:enumeration value="Jos Lantmeeters"/>
          <xsd:enumeration value="Jan Laurys"/>
          <xsd:enumeration value="Ingrid Lieten"/>
          <xsd:enumeration value="Marcel Logist"/>
          <xsd:enumeration value="Chokri Mahassine"/>
          <xsd:enumeration value="Bert Maertens"/>
          <xsd:enumeration value="Lieve Maes"/>
          <xsd:enumeration value="Bart Martens"/>
          <xsd:enumeration value="Katleen Martens"/>
          <xsd:enumeration value="Marius Meremans"/>
          <xsd:enumeration value="Elisabeth Meuleman"/>
          <xsd:enumeration value="An Michiels"/>
          <xsd:enumeration value="An Moerenhout"/>
          <xsd:enumeration value="Fientje Moerman"/>
          <xsd:enumeration value="Bart Nevens"/>
          <xsd:enumeration value="Tom Ongena"/>
          <xsd:enumeration value="Lorin Parys"/>
          <xsd:enumeration value="Katrien Partyka"/>
          <xsd:enumeration value="Dirk Peeters"/>
          <xsd:enumeration value="Lydia Peeters"/>
          <xsd:enumeration value="Fatma Pehlivan"/>
          <xsd:enumeration value="Jan Penris"/>
          <xsd:enumeration value="Freya Perdaens"/>
          <xsd:enumeration value="Jan Peumans"/>
          <xsd:enumeration value="Ingrid Pira"/>
          <xsd:enumeration value="Sabine Poleyn"/>
          <xsd:enumeration value="Joris Poschet"/>
          <xsd:enumeration value="Peter Reekmans"/>
          <xsd:enumeration value="Grete Remen"/>
          <xsd:enumeration value="Gwendolyn Rutten"/>
          <xsd:enumeration value="Els Robeyns"/>
          <xsd:enumeration value="Jan Roegiers"/>
          <xsd:enumeration value="Tinne Rombouts"/>
          <xsd:enumeration value="Axel Ronse"/>
          <xsd:enumeration value="Carmen Ryheul"/>
          <xsd:enumeration value="Björn Rzoska"/>
          <xsd:enumeration value="Ivan Sabbe"/>
          <xsd:enumeration value="Freya Saeys"/>
          <xsd:enumeration value="Hermes Sanctorum"/>
          <xsd:enumeration value="Ludo Sannen"/>
          <xsd:enumeration value="Johan Sauwens"/>
          <xsd:enumeration value="Joke Schauvliege"/>
          <xsd:enumeration value="Willem-Frederik Schiltz"/>
          <xsd:enumeration value="Katrien Schryvers"/>
          <xsd:enumeration value="Herman Schueremans"/>
          <xsd:enumeration value="Katia Segers"/>
          <xsd:enumeration value="Willy Segers"/>
          <xsd:enumeration value="Stefaan Sintobin"/>
          <xsd:enumeration value="Elke Sleurs"/>
          <xsd:enumeration value="Griet Smaers"/>
          <xsd:enumeration value="Tine Soens"/>
          <xsd:enumeration value="Ann Soete"/>
          <xsd:enumeration value="Bart Somers"/>
          <xsd:enumeration value="Helga Stevens"/>
          <xsd:enumeration value="Felix Strackx"/>
          <xsd:enumeration value="Nadia Sminate"/>
          <xsd:enumeration value="Erik Tack"/>
          <xsd:enumeration value="Valerie Taeldeman"/>
          <xsd:enumeration value="Martine Taeleman"/>
          <xsd:enumeration value="Emmily Talpe"/>
          <xsd:enumeration value="Bruno Tobback"/>
          <xsd:enumeration value="Bart Tommelein"/>
          <xsd:enumeration value="Güler Turan"/>
          <xsd:enumeration value="Wouter Vanbesien"/>
          <xsd:enumeration value="Wilfried Vandaele"/>
          <xsd:enumeration value="Steve Vandenberghe"/>
          <xsd:enumeration value="Frank Vandenbroucke"/>
          <xsd:enumeration value="Joris Vandenbroucke"/>
          <xsd:enumeration value="Ludo Van Campenhout"/>
          <xsd:enumeration value="Marcus Vanden Bussche"/>
          <xsd:enumeration value="Anke Van Dermeersch"/>
          <xsd:enumeration value="Marleen Van den Eynde"/>
          <xsd:enumeration value="Koen Van den Heuvel"/>
          <xsd:enumeration value="Ludwig Vandenhove"/>
          <xsd:enumeration value="Steven Vandeput"/>
          <xsd:enumeration value="Vera Van der Borght"/>
          <xsd:enumeration value="Maurits Vande Reyde"/>
          <xsd:enumeration value="Francesco Vanderjeugd"/>
          <xsd:enumeration value="Marleen Vanderpoorten"/>
          <xsd:enumeration value="Luckas Van Der Taelen"/>
          <xsd:enumeration value="Marc Van de Vijver"/>
          <xsd:enumeration value="Orry Van De Wauwer"/>
          <xsd:enumeration value="Kris Van Dijck"/>
          <xsd:enumeration value="Miranda Van Eetvelde"/>
          <xsd:enumeration value="Jan Van Esbroeck"/>
          <xsd:enumeration value="Christian Van Eyken"/>
          <xsd:enumeration value="Tom Van Grieken"/>
          <xsd:enumeration value="Joris Van Hauthem"/>
          <xsd:enumeration value="Karl Vanlouwe"/>
          <xsd:enumeration value="Jurgen Vanlerberghe"/>
          <xsd:enumeration value="Bart Van Malderen"/>
          <xsd:enumeration value="Dirk Van Mechelen"/>
          <xsd:enumeration value="Paul Van Miert"/>
          <xsd:enumeration value="Karim Van Overmeire"/>
          <xsd:enumeration value="Eric Van Rompuy"/>
          <xsd:enumeration value="Peter Van Rompuy"/>
          <xsd:enumeration value="Axel Ronse"/>
          <xsd:enumeration value="Sas van Rouveroij"/>
          <xsd:enumeration value="Kurt Vanryckeghem"/>
          <xsd:enumeration value="Gerda Van Steenberge"/>
          <xsd:enumeration value="Manuela Van Werde"/>
          <xsd:enumeration value="Peter Vanvelthoven"/>
          <xsd:enumeration value="Mercedes Van Volcem"/>
          <xsd:enumeration value="Daniëlle Vanwesenbeeck"/>
          <xsd:enumeration value="Lode Vereeck"/>
          <xsd:enumeration value="Jan Verfaillie"/>
          <xsd:enumeration value="Willem Verheyden"/>
          <xsd:enumeration value="Goedele Vermeiren"/>
          <xsd:enumeration value="Sabine Vermeulen"/>
          <xsd:enumeration value="Christian Verougstraete"/>
          <xsd:enumeration value="Johan Verstreken"/>
          <xsd:enumeration value="Jurgen Verstrepen"/>
          <xsd:enumeration value="Maxim Veys"/>
          <xsd:enumeration value="Linda Vissers"/>
          <xsd:enumeration value="Mieke Vogels"/>
          <xsd:enumeration value="Filip Watteeuw"/>
          <xsd:enumeration value="Ulla Werbrouck"/>
          <xsd:enumeration value="Wim Wienen"/>
          <xsd:enumeration value="Peter Wouters"/>
          <xsd:enumeration value="Herman Wynants"/>
          <xsd:enumeration value="Veli Yüksel"/>
        </xsd:restriction>
      </xsd:simpleType>
    </xsd:element>
    <xsd:element name="MOWElementenDoor" ma:index="10" nillable="true" ma:displayName="Elementen van antwoord door" ma:list="UserInfo" ma:SearchPeopleOnly="false" ma:SharePointGroup="0" ma:internalName="MOWElementenDoo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OWGecoordineerdDoor" ma:index="11" nillable="true" ma:displayName="Gecoördineerd door" ma:list="UserInfo" ma:SearchPeopleOnly="false" ma:SharePointGroup="0" ma:internalName="MOWGecoordineerdDoo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OWNrSV" ma:index="12" nillable="true" ma:displayName="Nr SV" ma:indexed="true" ma:internalName="MOWNrSV" ma:readOnly="false">
      <xsd:simpleType>
        <xsd:restriction base="dms:Text">
          <xsd:maxLength value="255"/>
        </xsd:restriction>
      </xsd:simpleType>
    </xsd:element>
    <xsd:element name="MOWNrVOU" ma:index="13" nillable="true" ma:displayName="Nr VOU" ma:indexed="true" ma:internalName="MOWNrVOU" ma:readOnly="false">
      <xsd:simpleType>
        <xsd:restriction base="dms:Text">
          <xsd:maxLength value="255"/>
        </xsd:restriction>
      </xsd:simpleType>
    </xsd:element>
    <xsd:element name="MOWDatumVraag" ma:index="14" nillable="true" ma:displayName="Datum" ma:format="DateOnly" ma:internalName="MOWDatumVraag" ma:readOnly="false">
      <xsd:simpleType>
        <xsd:restriction base="dms:DateTime"/>
      </xsd:simpleType>
    </xsd:element>
    <xsd:element name="MOWDatumGecoordineerdTegen" ma:index="15" nillable="true" ma:displayName="Gecoördineerd tegen" ma:format="DateOnly" ma:internalName="MOWDatumGecoordineerdTegen" ma:readOnly="false">
      <xsd:simpleType>
        <xsd:restriction base="dms:DateTime"/>
      </xsd:simpleType>
    </xsd:element>
    <xsd:element name="MOWDatumElementenTegen" ma:index="16" nillable="true" ma:displayName="Elementen tegen" ma:format="DateOnly" ma:internalName="MOWDatumElementenTegen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cf7145-f4dc-42b7-abd6-b5202e7aa2bd" elementFormDefault="qualified">
    <xsd:import namespace="http://schemas.microsoft.com/office/2006/documentManagement/types"/>
    <xsd:import namespace="http://schemas.microsoft.com/office/infopath/2007/PartnerControls"/>
    <xsd:element name="Elementen_x0020_door_x0020_verwittigen" ma:index="17" nillable="true" ma:displayName="Elementen door verwittigen" ma:format="Hyperlink" ma:internalName="Elementen_x0020_door_x0020_verwittigen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eco_x00f6_rdineerd_x0020_door_x0020_verwittigen_x0028_1_x0029_" ma:index="18" nillable="true" ma:displayName="Gecoördineerd door verwittigen" ma:internalName="Geco_x00f6_rdineerd_x0020_door_x0020_verwittigen_x0028_1_x0029_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Betrokken_x0020_medewerkers_x0020_verwittigen_x0028_1_x0029_" ma:index="19" nillable="true" ma:displayName="Betrokken medewerkers verwittigen" ma:internalName="Betrokken_x0020_medewerkers_x0020_verwittigen_x0028_1_x0029_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lementen_x0020_door_x0020_verwittigen_x0020__x0028_vraag_x0020_om_x0020_uitleg_x0029_" ma:index="20" nillable="true" ma:displayName="Elementen door verwittigen (vraag om uitleg)" ma:internalName="Elementen_x0020_door_x0020_verwittigen_x0020__x0028_vraag_x0020_om_x0020_uitleg_x0029_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lementen_x0020_door_x0020_verwittigen_x0028_1_x0029_" ma:index="21" nillable="true" ma:displayName="Elementen door verwittigen" ma:internalName="Elementen_x0020_door_x0020_verwittigen_x0028_1_x0029_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2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OWDatumVraag xmlns="0d10f22a-0b98-420c-b42f-363b5690eeb4" xsi:nil="true"/>
    <Geco_x00f6_rdineerd_x0020_door_x0020_verwittigen_x0028_1_x0029_ xmlns="87cf7145-f4dc-42b7-abd6-b5202e7aa2bd">
      <Url xsi:nil="true"/>
      <Description xsi:nil="true"/>
    </Geco_x00f6_rdineerd_x0020_door_x0020_verwittigen_x0028_1_x0029_>
    <Betrokken_x0020_medewerkers_x0020_verwittigen_x0028_1_x0029_ xmlns="87cf7145-f4dc-42b7-abd6-b5202e7aa2bd">
      <Url xsi:nil="true"/>
      <Description xsi:nil="true"/>
    </Betrokken_x0020_medewerkers_x0020_verwittigen_x0028_1_x0029_>
    <DocumentSetDescription xmlns="http://schemas.microsoft.com/sharepoint/v3">Complex A19-R8 Kortrijk  -  Herinrichting</DocumentSetDescription>
    <Elementen_x0020_door_x0020_verwittigen_x0020__x0028_vraag_x0020_om_x0020_uitleg_x0029_ xmlns="87cf7145-f4dc-42b7-abd6-b5202e7aa2bd">
      <Url xsi:nil="true"/>
      <Description xsi:nil="true"/>
    </Elementen_x0020_door_x0020_verwittigen_x0020__x0028_vraag_x0020_om_x0020_uitleg_x0029_>
    <MOWElementenDoor xmlns="0d10f22a-0b98-420c-b42f-363b5690eeb4">
      <UserInfo>
        <DisplayName/>
        <AccountId xsi:nil="true"/>
        <AccountType/>
      </UserInfo>
    </MOWElementenDoor>
    <MOWGecoordineerdDoor xmlns="0d10f22a-0b98-420c-b42f-363b5690eeb4">
      <UserInfo>
        <DisplayName>AWV - Coördinatie PV</DisplayName>
        <AccountId>30</AccountId>
        <AccountType/>
      </UserInfo>
    </MOWGecoordineerdDoor>
    <Elementen_x0020_door_x0020_verwittigen_x0028_1_x0029_ xmlns="87cf7145-f4dc-42b7-abd6-b5202e7aa2bd">
      <Url xsi:nil="true"/>
      <Description xsi:nil="true"/>
    </Elementen_x0020_door_x0020_verwittigen_x0028_1_x0029_>
    <Vraagsteller xmlns="0d10f22a-0b98-420c-b42f-363b5690eeb4" xsi:nil="true"/>
    <MOWDatumElementenTegen xmlns="0d10f22a-0b98-420c-b42f-363b5690eeb4" xsi:nil="true"/>
    <MOWDatumGecoordineerdTegen xmlns="0d10f22a-0b98-420c-b42f-363b5690eeb4">2019-12-10T23:00:00+00:00</MOWDatumGecoordineerdTegen>
    <Elementen_x0020_door_x0020_verwittigen xmlns="87cf7145-f4dc-42b7-abd6-b5202e7aa2bd">
      <Url xsi:nil="true"/>
      <Description xsi:nil="true"/>
    </Elementen_x0020_door_x0020_verwittigen>
    <TaxCatchAll xmlns="9a9ec0f0-7796-43d0-ac1f-4c8c46ee0bd1">
      <Value>15</Value>
    </TaxCatchAll>
    <MOWNrSV xmlns="0d10f22a-0b98-420c-b42f-363b5690eeb4">183</MOWNrSV>
    <MOWNrVOU xmlns="0d10f22a-0b98-420c-b42f-363b5690eeb4" xsi:nil="true"/>
  </documentManagement>
</p:properties>
</file>

<file path=customXml/itemProps1.xml><?xml version="1.0" encoding="utf-8"?>
<ds:datastoreItem xmlns:ds="http://schemas.openxmlformats.org/officeDocument/2006/customXml" ds:itemID="{22CDBDD2-FED0-4311-9D54-52D6B7F884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4D5B0D-E821-4EA5-BE7C-D635DF69F8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a9ec0f0-7796-43d0-ac1f-4c8c46ee0bd1"/>
    <ds:schemaRef ds:uri="0d10f22a-0b98-420c-b42f-363b5690eeb4"/>
    <ds:schemaRef ds:uri="87cf7145-f4dc-42b7-abd6-b5202e7aa2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C123DC-B60A-4427-9290-DB0DF2BB1438}">
  <ds:schemaRefs>
    <ds:schemaRef ds:uri="http://schemas.microsoft.com/sharepoint/v3"/>
    <ds:schemaRef ds:uri="http://purl.org/dc/terms/"/>
    <ds:schemaRef ds:uri="9a9ec0f0-7796-43d0-ac1f-4c8c46ee0bd1"/>
    <ds:schemaRef ds:uri="87cf7145-f4dc-42b7-abd6-b5202e7aa2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0d10f22a-0b98-420c-b42f-363b5690eeb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10</vt:i4>
      </vt:variant>
    </vt:vector>
  </HeadingPairs>
  <TitlesOfParts>
    <vt:vector size="18" baseType="lpstr">
      <vt:lpstr>Knoop.Mvt_Str</vt:lpstr>
      <vt:lpstr>Knoop.Mvt_Tot</vt:lpstr>
      <vt:lpstr>Kpt.PAE_Str</vt:lpstr>
      <vt:lpstr>Kpt.PAE_Tot</vt:lpstr>
      <vt:lpstr>Kpt.Mvt_Catri</vt:lpstr>
      <vt:lpstr>Kpt.Mvt_Cattak</vt:lpstr>
      <vt:lpstr>INFO</vt:lpstr>
      <vt:lpstr>SCH</vt:lpstr>
      <vt:lpstr>Knoop.Mvt_Str!Afdrukbereik</vt:lpstr>
      <vt:lpstr>Knoop.Mvt_Tot!Afdrukbereik</vt:lpstr>
      <vt:lpstr>Kpt.Mvt_Catri!Afdrukbereik</vt:lpstr>
      <vt:lpstr>Kpt.Mvt_Cattak!Afdrukbereik</vt:lpstr>
      <vt:lpstr>Kpt.PAE_Str!Afdrukbereik</vt:lpstr>
      <vt:lpstr>Kpt.PAE_Tot!Afdrukbereik</vt:lpstr>
      <vt:lpstr>Knoop.Mvt_Tot!Afdruktitels</vt:lpstr>
      <vt:lpstr>Kpt.Mvt_Catri!Afdruktitels</vt:lpstr>
      <vt:lpstr>Kpt.Mvt_Cattak!Afdruktitels</vt:lpstr>
      <vt:lpstr>Kpt.PAE_Tot!Afdruktitels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Mulders | Dufec</dc:creator>
  <cp:lastModifiedBy>Van Tilborg, Michaël</cp:lastModifiedBy>
  <cp:lastPrinted>2019-12-20T12:43:01Z</cp:lastPrinted>
  <dcterms:created xsi:type="dcterms:W3CDTF">2016-12-02T15:38:16Z</dcterms:created>
  <dcterms:modified xsi:type="dcterms:W3CDTF">2019-12-20T12:43:10Z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0x010100707707535C0C5E46B0BF20980BDECC7F</vt:lpwstr>
  </property>
  <property fmtid="{D5CDD505-2E9C-101B-9397-08002B2CF9AE}" pid="3" name="b380ef9a484045d6b3fcbe0714e202bd">
    <vt:lpwstr>Peeters|98b2696d-7aa3-47fa-aa32-5ffbaf44ef5d</vt:lpwstr>
  </property>
</Properties>
</file>