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9/SV 019 Centra algemeen welzijnswerk (CAW's) - Werking en subsidiëring/"/>
    </mc:Choice>
  </mc:AlternateContent>
  <xr:revisionPtr revIDLastSave="0" documentId="8_{DD67566E-2E2F-4825-9145-E1963A7F5BA8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CAW_Antwerpen_2017" sheetId="1" r:id="rId1"/>
    <sheet name="CAW_Antwerpen_2018" sheetId="2" r:id="rId2"/>
    <sheet name="CAW_BML_2017" sheetId="3" r:id="rId3"/>
    <sheet name="CAW_BML_2018" sheetId="4" r:id="rId4"/>
    <sheet name="CAW_Brussel_2017" sheetId="5" r:id="rId5"/>
    <sheet name="CAW_CWVL_2017" sheetId="6" r:id="rId6"/>
    <sheet name="CAW_CWVL_2018" sheetId="7" r:id="rId7"/>
    <sheet name="CAW_De_Kempen_2017" sheetId="8" r:id="rId8"/>
    <sheet name="CAW_De_Kempen_2018" sheetId="9" r:id="rId9"/>
    <sheet name="CAW_HV_2017" sheetId="10" r:id="rId10"/>
    <sheet name="CAW_HV_2018" sheetId="11" r:id="rId11"/>
    <sheet name="CAW_Limburg_2017" sheetId="12" r:id="rId12"/>
    <sheet name="CAW_Limburg_2018" sheetId="13" r:id="rId13"/>
    <sheet name="CAW_NWVL_2017" sheetId="14" r:id="rId14"/>
    <sheet name="CAW_NWVL_2018" sheetId="15" r:id="rId15"/>
    <sheet name="CAW_Oost-Brabant_2017" sheetId="16" r:id="rId16"/>
    <sheet name="CAW_Oost-Brabant_2018" sheetId="17" r:id="rId17"/>
    <sheet name="CAW_Oost-Vlaanderen_2017" sheetId="18" r:id="rId18"/>
    <sheet name="CAW_Oost-Vlaanderen_2018" sheetId="19" r:id="rId19"/>
    <sheet name="CAW_ZWVL_2017" sheetId="20" r:id="rId20"/>
    <sheet name="CAW_ZWVL_2018" sheetId="21" r:id="rId21"/>
    <sheet name="RR_Antwerpen_2018" sheetId="22" r:id="rId22"/>
    <sheet name="RR_BML_2018" sheetId="23" r:id="rId23"/>
    <sheet name="RR_CWVL_2018" sheetId="24" r:id="rId24"/>
    <sheet name="RR_De_Kempen_2018" sheetId="25" r:id="rId25"/>
    <sheet name="RR_HV_2018" sheetId="26" r:id="rId26"/>
    <sheet name="RR_Limburg_2018" sheetId="27" r:id="rId27"/>
    <sheet name="RR_NWVL_2018" sheetId="28" r:id="rId28"/>
    <sheet name="RR_Oost-Brabant_2018" sheetId="29" r:id="rId29"/>
    <sheet name="RR_Oost-Vlaanderen_2018" sheetId="30" r:id="rId30"/>
    <sheet name="RR_ZWVL_2018" sheetId="31" r:id="rId31"/>
  </sheets>
  <externalReferences>
    <externalReference r:id="rId32"/>
    <externalReference r:id="rId3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1" i="22" l="1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I3" i="22"/>
  <c r="A1" i="2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1" i="2"/>
  <c r="F101" i="2"/>
  <c r="G100" i="2"/>
  <c r="F100" i="2"/>
  <c r="G99" i="2"/>
  <c r="F99" i="2"/>
  <c r="G98" i="2"/>
  <c r="F98" i="2"/>
  <c r="G95" i="2"/>
  <c r="F95" i="2"/>
  <c r="G94" i="2"/>
  <c r="F94" i="2"/>
  <c r="G93" i="2"/>
  <c r="F93" i="2"/>
  <c r="G92" i="2"/>
  <c r="F92" i="2"/>
  <c r="G91" i="2"/>
  <c r="F91" i="2"/>
  <c r="G90" i="2"/>
  <c r="F90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2" i="2"/>
  <c r="F52" i="2"/>
  <c r="G51" i="2"/>
  <c r="F51" i="2"/>
  <c r="G50" i="2"/>
  <c r="F50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5" i="2"/>
  <c r="F5" i="2"/>
  <c r="G2" i="2"/>
  <c r="F2" i="2"/>
  <c r="S33" i="31"/>
  <c r="AC31" i="31"/>
  <c r="AC29" i="31"/>
  <c r="AA27" i="31"/>
  <c r="AA33" i="31" s="1"/>
  <c r="W27" i="31"/>
  <c r="W33" i="31" s="1"/>
  <c r="K27" i="31"/>
  <c r="K33" i="31" s="1"/>
  <c r="AC25" i="31"/>
  <c r="AC23" i="31"/>
  <c r="AB21" i="31"/>
  <c r="AB27" i="31" s="1"/>
  <c r="AB33" i="31" s="1"/>
  <c r="X21" i="31"/>
  <c r="X27" i="31" s="1"/>
  <c r="X33" i="31" s="1"/>
  <c r="T21" i="31"/>
  <c r="T27" i="31" s="1"/>
  <c r="T33" i="31" s="1"/>
  <c r="P21" i="31"/>
  <c r="P27" i="31" s="1"/>
  <c r="P33" i="31" s="1"/>
  <c r="L21" i="31"/>
  <c r="L27" i="31" s="1"/>
  <c r="L33" i="31" s="1"/>
  <c r="J21" i="31"/>
  <c r="J27" i="31" s="1"/>
  <c r="J33" i="31" s="1"/>
  <c r="AC19" i="31"/>
  <c r="AC18" i="31"/>
  <c r="AC17" i="31"/>
  <c r="AC16" i="31"/>
  <c r="AC15" i="31"/>
  <c r="AC14" i="31"/>
  <c r="AC13" i="31"/>
  <c r="AC12" i="31"/>
  <c r="AC11" i="31"/>
  <c r="R10" i="31"/>
  <c r="O10" i="31"/>
  <c r="AB9" i="31"/>
  <c r="AA9" i="31"/>
  <c r="AA21" i="31" s="1"/>
  <c r="Z9" i="31"/>
  <c r="Z21" i="31" s="1"/>
  <c r="Z27" i="31" s="1"/>
  <c r="Z33" i="31" s="1"/>
  <c r="Y9" i="31"/>
  <c r="Y21" i="31" s="1"/>
  <c r="Y27" i="31" s="1"/>
  <c r="Y33" i="31" s="1"/>
  <c r="X9" i="31"/>
  <c r="W9" i="31"/>
  <c r="W21" i="31" s="1"/>
  <c r="V9" i="31"/>
  <c r="V21" i="31" s="1"/>
  <c r="V27" i="31" s="1"/>
  <c r="V33" i="31" s="1"/>
  <c r="U9" i="31"/>
  <c r="U21" i="31" s="1"/>
  <c r="U27" i="31" s="1"/>
  <c r="U33" i="31" s="1"/>
  <c r="T9" i="31"/>
  <c r="S9" i="31"/>
  <c r="S21" i="31" s="1"/>
  <c r="S27" i="31" s="1"/>
  <c r="R9" i="31"/>
  <c r="R21" i="31" s="1"/>
  <c r="R27" i="31" s="1"/>
  <c r="R33" i="31" s="1"/>
  <c r="Q9" i="31"/>
  <c r="Q21" i="31" s="1"/>
  <c r="Q27" i="31" s="1"/>
  <c r="Q33" i="31" s="1"/>
  <c r="P9" i="31"/>
  <c r="N9" i="31"/>
  <c r="N21" i="31" s="1"/>
  <c r="N27" i="31" s="1"/>
  <c r="N33" i="31" s="1"/>
  <c r="M9" i="31"/>
  <c r="M21" i="31" s="1"/>
  <c r="M27" i="31" s="1"/>
  <c r="M33" i="31" s="1"/>
  <c r="L9" i="31"/>
  <c r="K9" i="31"/>
  <c r="K21" i="31" s="1"/>
  <c r="J9" i="31"/>
  <c r="I9" i="31"/>
  <c r="I21" i="31" s="1"/>
  <c r="I27" i="31" s="1"/>
  <c r="I33" i="31" s="1"/>
  <c r="AC5" i="31"/>
  <c r="BM35" i="30"/>
  <c r="BU34" i="30"/>
  <c r="L34" i="30"/>
  <c r="BU33" i="30" s="1"/>
  <c r="BV33" i="30"/>
  <c r="AH33" i="30"/>
  <c r="AF33" i="30"/>
  <c r="AE33" i="30"/>
  <c r="BV31" i="30"/>
  <c r="BU31" i="30"/>
  <c r="AD31" i="30"/>
  <c r="L31" i="30" s="1"/>
  <c r="BW31" i="30" s="1"/>
  <c r="BK29" i="30"/>
  <c r="BK35" i="30" s="1"/>
  <c r="BH29" i="30"/>
  <c r="BH35" i="30" s="1"/>
  <c r="BV27" i="30"/>
  <c r="L27" i="30"/>
  <c r="BW27" i="30" s="1"/>
  <c r="BV25" i="30"/>
  <c r="L25" i="30"/>
  <c r="BW25" i="30" s="1"/>
  <c r="BT23" i="30"/>
  <c r="BT29" i="30" s="1"/>
  <c r="BT35" i="30" s="1"/>
  <c r="BP23" i="30"/>
  <c r="BP29" i="30" s="1"/>
  <c r="BP35" i="30" s="1"/>
  <c r="BK23" i="30"/>
  <c r="BG23" i="30"/>
  <c r="BG29" i="30" s="1"/>
  <c r="BG35" i="30" s="1"/>
  <c r="AZ23" i="30"/>
  <c r="AZ29" i="30" s="1"/>
  <c r="AZ35" i="30" s="1"/>
  <c r="AS23" i="30"/>
  <c r="AS29" i="30" s="1"/>
  <c r="AS35" i="30" s="1"/>
  <c r="X23" i="30"/>
  <c r="X29" i="30" s="1"/>
  <c r="X35" i="30" s="1"/>
  <c r="M23" i="30"/>
  <c r="M29" i="30" s="1"/>
  <c r="M35" i="30" s="1"/>
  <c r="BV21" i="30"/>
  <c r="L21" i="30"/>
  <c r="BU21" i="30" s="1"/>
  <c r="BV20" i="30"/>
  <c r="BD20" i="30"/>
  <c r="AY20" i="30"/>
  <c r="AH20" i="30"/>
  <c r="AE20" i="30"/>
  <c r="AD20" i="30"/>
  <c r="P20" i="30"/>
  <c r="L20" i="30" s="1"/>
  <c r="BW20" i="30" s="1"/>
  <c r="K20" i="30"/>
  <c r="K19" i="30"/>
  <c r="I19" i="30"/>
  <c r="L18" i="30"/>
  <c r="K18" i="30"/>
  <c r="BV18" i="30" s="1"/>
  <c r="BV17" i="30"/>
  <c r="L17" i="30"/>
  <c r="I17" i="30"/>
  <c r="BV16" i="30"/>
  <c r="BH16" i="30"/>
  <c r="BF16" i="30"/>
  <c r="BD16" i="30"/>
  <c r="BC16" i="30"/>
  <c r="AZ16" i="30"/>
  <c r="AY16" i="30"/>
  <c r="AW16" i="30"/>
  <c r="AU16" i="30"/>
  <c r="AS16" i="30"/>
  <c r="AQ16" i="30"/>
  <c r="AP16" i="30"/>
  <c r="AG16" i="30"/>
  <c r="AF16" i="30"/>
  <c r="P16" i="30"/>
  <c r="BH15" i="30"/>
  <c r="BH11" i="30" s="1"/>
  <c r="BH23" i="30" s="1"/>
  <c r="BF15" i="30"/>
  <c r="BE15" i="30"/>
  <c r="BE11" i="30" s="1"/>
  <c r="BE23" i="30" s="1"/>
  <c r="BE29" i="30" s="1"/>
  <c r="BE35" i="30" s="1"/>
  <c r="BC15" i="30"/>
  <c r="BB15" i="30"/>
  <c r="AW15" i="30"/>
  <c r="AV15" i="30"/>
  <c r="AV11" i="30" s="1"/>
  <c r="AV23" i="30" s="1"/>
  <c r="AV29" i="30" s="1"/>
  <c r="AV35" i="30" s="1"/>
  <c r="AP15" i="30"/>
  <c r="AM15" i="30"/>
  <c r="AI15" i="30"/>
  <c r="AH15" i="30"/>
  <c r="AG15" i="30"/>
  <c r="AF15" i="30"/>
  <c r="AE15" i="30"/>
  <c r="Z15" i="30"/>
  <c r="V15" i="30"/>
  <c r="Q15" i="30"/>
  <c r="P15" i="30"/>
  <c r="O15" i="30"/>
  <c r="O11" i="30" s="1"/>
  <c r="O23" i="30" s="1"/>
  <c r="O29" i="30" s="1"/>
  <c r="O35" i="30" s="1"/>
  <c r="N15" i="30"/>
  <c r="M15" i="30"/>
  <c r="K15" i="30"/>
  <c r="L15" i="30" s="1"/>
  <c r="I15" i="30"/>
  <c r="BV14" i="30"/>
  <c r="BI14" i="30"/>
  <c r="AW14" i="30"/>
  <c r="AW12" i="30" s="1"/>
  <c r="AU14" i="30"/>
  <c r="AT14" i="30"/>
  <c r="AR14" i="30"/>
  <c r="AR12" i="30" s="1"/>
  <c r="AP14" i="30"/>
  <c r="AP12" i="30" s="1"/>
  <c r="AP11" i="30" s="1"/>
  <c r="AP23" i="30" s="1"/>
  <c r="AP29" i="30" s="1"/>
  <c r="AP35" i="30" s="1"/>
  <c r="AD14" i="30"/>
  <c r="AA14" i="30"/>
  <c r="Z14" i="30"/>
  <c r="U14" i="30"/>
  <c r="P14" i="30"/>
  <c r="BW13" i="30"/>
  <c r="BV13" i="30"/>
  <c r="BU13" i="30"/>
  <c r="L13" i="30"/>
  <c r="BM12" i="30"/>
  <c r="BL12" i="30"/>
  <c r="BL11" i="30" s="1"/>
  <c r="BL23" i="30" s="1"/>
  <c r="BL29" i="30" s="1"/>
  <c r="BL35" i="30" s="1"/>
  <c r="BJ12" i="30"/>
  <c r="BI12" i="30"/>
  <c r="BH12" i="30"/>
  <c r="BG12" i="30"/>
  <c r="BG11" i="30" s="1"/>
  <c r="BF12" i="30"/>
  <c r="BF11" i="30" s="1"/>
  <c r="BF23" i="30" s="1"/>
  <c r="BF29" i="30" s="1"/>
  <c r="BF35" i="30" s="1"/>
  <c r="BE12" i="30"/>
  <c r="BD12" i="30"/>
  <c r="BC12" i="30"/>
  <c r="BC11" i="30" s="1"/>
  <c r="BB12" i="30"/>
  <c r="BB11" i="30" s="1"/>
  <c r="BB23" i="30" s="1"/>
  <c r="BB29" i="30" s="1"/>
  <c r="BB35" i="30" s="1"/>
  <c r="BA12" i="30"/>
  <c r="AZ12" i="30"/>
  <c r="AY12" i="30"/>
  <c r="AY11" i="30" s="1"/>
  <c r="AX12" i="30"/>
  <c r="AX11" i="30" s="1"/>
  <c r="AX23" i="30" s="1"/>
  <c r="AX29" i="30" s="1"/>
  <c r="AX35" i="30" s="1"/>
  <c r="AV12" i="30"/>
  <c r="AU12" i="30"/>
  <c r="AT12" i="30"/>
  <c r="AT11" i="30" s="1"/>
  <c r="AT23" i="30" s="1"/>
  <c r="AT29" i="30" s="1"/>
  <c r="AT35" i="30" s="1"/>
  <c r="AS12" i="30"/>
  <c r="AQ12" i="30"/>
  <c r="AQ11" i="30" s="1"/>
  <c r="AO12" i="30"/>
  <c r="AO11" i="30" s="1"/>
  <c r="AO23" i="30" s="1"/>
  <c r="AO29" i="30" s="1"/>
  <c r="AO35" i="30" s="1"/>
  <c r="AN12" i="30"/>
  <c r="AM12" i="30"/>
  <c r="AM11" i="30" s="1"/>
  <c r="AM23" i="30" s="1"/>
  <c r="AM29" i="30" s="1"/>
  <c r="AM35" i="30" s="1"/>
  <c r="AL12" i="30"/>
  <c r="AK12" i="30"/>
  <c r="AK11" i="30" s="1"/>
  <c r="AK23" i="30" s="1"/>
  <c r="AK29" i="30" s="1"/>
  <c r="AK35" i="30" s="1"/>
  <c r="AJ12" i="30"/>
  <c r="AI12" i="30"/>
  <c r="AI11" i="30" s="1"/>
  <c r="AI23" i="30" s="1"/>
  <c r="AI29" i="30" s="1"/>
  <c r="AI35" i="30" s="1"/>
  <c r="AH12" i="30"/>
  <c r="AG12" i="30"/>
  <c r="AG11" i="30" s="1"/>
  <c r="AF12" i="30"/>
  <c r="AE12" i="30"/>
  <c r="AD12" i="30"/>
  <c r="AD11" i="30" s="1"/>
  <c r="AD23" i="30" s="1"/>
  <c r="AD29" i="30" s="1"/>
  <c r="AC12" i="30"/>
  <c r="AC11" i="30" s="1"/>
  <c r="AC23" i="30" s="1"/>
  <c r="AC29" i="30" s="1"/>
  <c r="AC35" i="30" s="1"/>
  <c r="AB12" i="30"/>
  <c r="AA12" i="30"/>
  <c r="AA11" i="30" s="1"/>
  <c r="AA23" i="30" s="1"/>
  <c r="AA29" i="30" s="1"/>
  <c r="AA35" i="30" s="1"/>
  <c r="Z12" i="30"/>
  <c r="Y12" i="30"/>
  <c r="Y11" i="30" s="1"/>
  <c r="Y23" i="30" s="1"/>
  <c r="Y29" i="30" s="1"/>
  <c r="Y35" i="30" s="1"/>
  <c r="X12" i="30"/>
  <c r="W12" i="30"/>
  <c r="V12" i="30"/>
  <c r="U12" i="30"/>
  <c r="U11" i="30" s="1"/>
  <c r="U23" i="30" s="1"/>
  <c r="U29" i="30" s="1"/>
  <c r="U35" i="30" s="1"/>
  <c r="T12" i="30"/>
  <c r="S12" i="30"/>
  <c r="S11" i="30" s="1"/>
  <c r="S23" i="30" s="1"/>
  <c r="S29" i="30" s="1"/>
  <c r="S35" i="30" s="1"/>
  <c r="R12" i="30"/>
  <c r="Q12" i="30"/>
  <c r="Q11" i="30" s="1"/>
  <c r="Q23" i="30" s="1"/>
  <c r="Q29" i="30" s="1"/>
  <c r="Q35" i="30" s="1"/>
  <c r="O12" i="30"/>
  <c r="N12" i="30"/>
  <c r="N11" i="30" s="1"/>
  <c r="N23" i="30" s="1"/>
  <c r="N29" i="30" s="1"/>
  <c r="N35" i="30" s="1"/>
  <c r="M12" i="30"/>
  <c r="M11" i="30" s="1"/>
  <c r="K12" i="30"/>
  <c r="J12" i="30"/>
  <c r="I12" i="30"/>
  <c r="BT11" i="30"/>
  <c r="BS11" i="30"/>
  <c r="BS23" i="30" s="1"/>
  <c r="BS29" i="30" s="1"/>
  <c r="BS35" i="30" s="1"/>
  <c r="BR11" i="30"/>
  <c r="BR23" i="30" s="1"/>
  <c r="BR29" i="30" s="1"/>
  <c r="BR35" i="30" s="1"/>
  <c r="BQ11" i="30"/>
  <c r="BQ23" i="30" s="1"/>
  <c r="BQ29" i="30" s="1"/>
  <c r="BQ35" i="30" s="1"/>
  <c r="BP11" i="30"/>
  <c r="BO11" i="30"/>
  <c r="BO23" i="30" s="1"/>
  <c r="BO29" i="30" s="1"/>
  <c r="BO35" i="30" s="1"/>
  <c r="BN11" i="30"/>
  <c r="BN23" i="30" s="1"/>
  <c r="BN29" i="30" s="1"/>
  <c r="BN35" i="30" s="1"/>
  <c r="BM11" i="30"/>
  <c r="BM23" i="30" s="1"/>
  <c r="BM29" i="30" s="1"/>
  <c r="BK11" i="30"/>
  <c r="BJ11" i="30"/>
  <c r="BJ23" i="30" s="1"/>
  <c r="BJ29" i="30" s="1"/>
  <c r="BJ35" i="30" s="1"/>
  <c r="BI11" i="30"/>
  <c r="BI23" i="30" s="1"/>
  <c r="BI29" i="30" s="1"/>
  <c r="BI35" i="30" s="1"/>
  <c r="BD11" i="30"/>
  <c r="BD23" i="30" s="1"/>
  <c r="BD29" i="30" s="1"/>
  <c r="BD35" i="30" s="1"/>
  <c r="BA11" i="30"/>
  <c r="BA23" i="30" s="1"/>
  <c r="BA29" i="30" s="1"/>
  <c r="BA35" i="30" s="1"/>
  <c r="AZ11" i="30"/>
  <c r="AU11" i="30"/>
  <c r="AS11" i="30"/>
  <c r="AR11" i="30"/>
  <c r="AR23" i="30" s="1"/>
  <c r="AR29" i="30" s="1"/>
  <c r="AR35" i="30" s="1"/>
  <c r="AN11" i="30"/>
  <c r="AN23" i="30" s="1"/>
  <c r="AN29" i="30" s="1"/>
  <c r="AN35" i="30" s="1"/>
  <c r="AL11" i="30"/>
  <c r="AL23" i="30" s="1"/>
  <c r="AL29" i="30" s="1"/>
  <c r="AL35" i="30" s="1"/>
  <c r="AJ11" i="30"/>
  <c r="AJ23" i="30" s="1"/>
  <c r="AJ29" i="30" s="1"/>
  <c r="AJ35" i="30" s="1"/>
  <c r="AH11" i="30"/>
  <c r="AH23" i="30" s="1"/>
  <c r="AH29" i="30" s="1"/>
  <c r="AH35" i="30" s="1"/>
  <c r="AF11" i="30"/>
  <c r="AF23" i="30" s="1"/>
  <c r="AF29" i="30" s="1"/>
  <c r="AE11" i="30"/>
  <c r="AE23" i="30" s="1"/>
  <c r="AE29" i="30" s="1"/>
  <c r="AE35" i="30" s="1"/>
  <c r="AB11" i="30"/>
  <c r="AB23" i="30" s="1"/>
  <c r="AB29" i="30" s="1"/>
  <c r="AB35" i="30" s="1"/>
  <c r="Z11" i="30"/>
  <c r="Z23" i="30" s="1"/>
  <c r="Z29" i="30" s="1"/>
  <c r="Z35" i="30" s="1"/>
  <c r="X11" i="30"/>
  <c r="W11" i="30"/>
  <c r="W23" i="30" s="1"/>
  <c r="W29" i="30" s="1"/>
  <c r="W35" i="30" s="1"/>
  <c r="V11" i="30"/>
  <c r="V23" i="30" s="1"/>
  <c r="T11" i="30"/>
  <c r="T23" i="30" s="1"/>
  <c r="T29" i="30" s="1"/>
  <c r="T35" i="30" s="1"/>
  <c r="R11" i="30"/>
  <c r="R23" i="30" s="1"/>
  <c r="R29" i="30" s="1"/>
  <c r="R35" i="30" s="1"/>
  <c r="J11" i="30"/>
  <c r="J23" i="30" s="1"/>
  <c r="J29" i="30" s="1"/>
  <c r="J35" i="30" s="1"/>
  <c r="BV7" i="30"/>
  <c r="BQ7" i="30"/>
  <c r="BL7" i="30"/>
  <c r="BD7" i="30"/>
  <c r="AZ7" i="30"/>
  <c r="AS7" i="30"/>
  <c r="AF7" i="30"/>
  <c r="V7" i="30"/>
  <c r="R7" i="30"/>
  <c r="Z31" i="29"/>
  <c r="Z29" i="29"/>
  <c r="X27" i="29"/>
  <c r="X33" i="29" s="1"/>
  <c r="Z25" i="29"/>
  <c r="R25" i="29"/>
  <c r="Z23" i="29"/>
  <c r="S23" i="29"/>
  <c r="X21" i="29"/>
  <c r="P21" i="29"/>
  <c r="P27" i="29" s="1"/>
  <c r="P33" i="29" s="1"/>
  <c r="O21" i="29"/>
  <c r="O27" i="29" s="1"/>
  <c r="O33" i="29" s="1"/>
  <c r="L21" i="29"/>
  <c r="L27" i="29" s="1"/>
  <c r="L33" i="29" s="1"/>
  <c r="Z19" i="29"/>
  <c r="T18" i="29"/>
  <c r="R18" i="29"/>
  <c r="Z18" i="29" s="1"/>
  <c r="Q18" i="29"/>
  <c r="Z17" i="29"/>
  <c r="Z16" i="29"/>
  <c r="Q15" i="29"/>
  <c r="Z15" i="29" s="1"/>
  <c r="T14" i="29"/>
  <c r="T21" i="29" s="1"/>
  <c r="T27" i="29" s="1"/>
  <c r="T33" i="29" s="1"/>
  <c r="L14" i="29"/>
  <c r="J14" i="29"/>
  <c r="V13" i="29"/>
  <c r="L13" i="29"/>
  <c r="Q12" i="29"/>
  <c r="O12" i="29"/>
  <c r="Z12" i="29" s="1"/>
  <c r="Z11" i="29"/>
  <c r="Q10" i="29"/>
  <c r="O10" i="29"/>
  <c r="J10" i="29"/>
  <c r="I10" i="29"/>
  <c r="Y9" i="29"/>
  <c r="Y21" i="29" s="1"/>
  <c r="Y27" i="29" s="1"/>
  <c r="Y33" i="29" s="1"/>
  <c r="X9" i="29"/>
  <c r="W9" i="29"/>
  <c r="W21" i="29" s="1"/>
  <c r="W27" i="29" s="1"/>
  <c r="W33" i="29" s="1"/>
  <c r="U9" i="29"/>
  <c r="U21" i="29" s="1"/>
  <c r="U27" i="29" s="1"/>
  <c r="U33" i="29" s="1"/>
  <c r="T9" i="29"/>
  <c r="S9" i="29"/>
  <c r="S21" i="29" s="1"/>
  <c r="S27" i="29" s="1"/>
  <c r="S33" i="29" s="1"/>
  <c r="R9" i="29"/>
  <c r="R21" i="29" s="1"/>
  <c r="R27" i="29" s="1"/>
  <c r="R33" i="29" s="1"/>
  <c r="Q9" i="29"/>
  <c r="P9" i="29"/>
  <c r="O9" i="29"/>
  <c r="N9" i="29"/>
  <c r="N21" i="29" s="1"/>
  <c r="N27" i="29" s="1"/>
  <c r="N33" i="29" s="1"/>
  <c r="M9" i="29"/>
  <c r="M21" i="29" s="1"/>
  <c r="M27" i="29" s="1"/>
  <c r="M33" i="29" s="1"/>
  <c r="L9" i="29"/>
  <c r="K9" i="29"/>
  <c r="K21" i="29" s="1"/>
  <c r="K27" i="29" s="1"/>
  <c r="K33" i="29" s="1"/>
  <c r="J9" i="29"/>
  <c r="J21" i="29" s="1"/>
  <c r="J27" i="29" s="1"/>
  <c r="J33" i="29" s="1"/>
  <c r="I9" i="29"/>
  <c r="Z5" i="29"/>
  <c r="AA31" i="28"/>
  <c r="J31" i="28"/>
  <c r="AA29" i="28"/>
  <c r="J29" i="28"/>
  <c r="W27" i="28"/>
  <c r="W33" i="28" s="1"/>
  <c r="O27" i="28"/>
  <c r="O33" i="28" s="1"/>
  <c r="J25" i="28"/>
  <c r="AA25" i="28" s="1"/>
  <c r="J23" i="28"/>
  <c r="AA23" i="28" s="1"/>
  <c r="Z21" i="28"/>
  <c r="Z27" i="28" s="1"/>
  <c r="Z33" i="28" s="1"/>
  <c r="U21" i="28"/>
  <c r="U27" i="28" s="1"/>
  <c r="U33" i="28" s="1"/>
  <c r="N21" i="28"/>
  <c r="N27" i="28" s="1"/>
  <c r="N33" i="28" s="1"/>
  <c r="L21" i="28"/>
  <c r="L27" i="28" s="1"/>
  <c r="L33" i="28" s="1"/>
  <c r="AA19" i="28"/>
  <c r="J19" i="28"/>
  <c r="Y18" i="28"/>
  <c r="J18" i="28" s="1"/>
  <c r="AA18" i="28" s="1"/>
  <c r="J17" i="28"/>
  <c r="AA17" i="28" s="1"/>
  <c r="J16" i="28"/>
  <c r="AA16" i="28" s="1"/>
  <c r="P15" i="28"/>
  <c r="J15" i="28" s="1"/>
  <c r="AA15" i="28" s="1"/>
  <c r="Y14" i="28"/>
  <c r="T14" i="28"/>
  <c r="J14" i="28" s="1"/>
  <c r="AA14" i="28" s="1"/>
  <c r="I13" i="28"/>
  <c r="Y12" i="28"/>
  <c r="S12" i="28"/>
  <c r="Q12" i="28"/>
  <c r="J11" i="28"/>
  <c r="AA11" i="28" s="1"/>
  <c r="Y10" i="28"/>
  <c r="Y9" i="28" s="1"/>
  <c r="S10" i="28"/>
  <c r="S9" i="28" s="1"/>
  <c r="S21" i="28" s="1"/>
  <c r="S27" i="28" s="1"/>
  <c r="S33" i="28" s="1"/>
  <c r="L10" i="28"/>
  <c r="J10" i="28"/>
  <c r="AA10" i="28" s="1"/>
  <c r="Z9" i="28"/>
  <c r="X9" i="28"/>
  <c r="X21" i="28" s="1"/>
  <c r="X27" i="28" s="1"/>
  <c r="X33" i="28" s="1"/>
  <c r="W9" i="28"/>
  <c r="W21" i="28" s="1"/>
  <c r="V9" i="28"/>
  <c r="V21" i="28" s="1"/>
  <c r="V27" i="28" s="1"/>
  <c r="V33" i="28" s="1"/>
  <c r="U9" i="28"/>
  <c r="T9" i="28"/>
  <c r="T21" i="28" s="1"/>
  <c r="T27" i="28" s="1"/>
  <c r="T33" i="28" s="1"/>
  <c r="R9" i="28"/>
  <c r="R21" i="28" s="1"/>
  <c r="R27" i="28" s="1"/>
  <c r="R33" i="28" s="1"/>
  <c r="Q9" i="28"/>
  <c r="Q21" i="28" s="1"/>
  <c r="Q27" i="28" s="1"/>
  <c r="Q33" i="28" s="1"/>
  <c r="P9" i="28"/>
  <c r="O9" i="28"/>
  <c r="O21" i="28" s="1"/>
  <c r="N9" i="28"/>
  <c r="M9" i="28"/>
  <c r="M21" i="28" s="1"/>
  <c r="M27" i="28" s="1"/>
  <c r="M33" i="28" s="1"/>
  <c r="L9" i="28"/>
  <c r="K9" i="28"/>
  <c r="K21" i="28" s="1"/>
  <c r="K27" i="28" s="1"/>
  <c r="K33" i="28" s="1"/>
  <c r="M5" i="28"/>
  <c r="J5" i="28" s="1"/>
  <c r="AA5" i="28" s="1"/>
  <c r="J40" i="27"/>
  <c r="AW40" i="27" s="1"/>
  <c r="J38" i="27"/>
  <c r="AW38" i="27" s="1"/>
  <c r="AW33" i="27"/>
  <c r="J33" i="27"/>
  <c r="J31" i="27"/>
  <c r="AW31" i="27" s="1"/>
  <c r="J29" i="27"/>
  <c r="AW29" i="27" s="1"/>
  <c r="J25" i="27"/>
  <c r="AW25" i="27" s="1"/>
  <c r="J23" i="27"/>
  <c r="AW23" i="27" s="1"/>
  <c r="AW22" i="27"/>
  <c r="L21" i="27"/>
  <c r="L27" i="27" s="1"/>
  <c r="L35" i="27" s="1"/>
  <c r="L42" i="27" s="1"/>
  <c r="AW19" i="27"/>
  <c r="J19" i="27"/>
  <c r="AV18" i="27"/>
  <c r="AT18" i="27"/>
  <c r="AQ18" i="27"/>
  <c r="J18" i="27" s="1"/>
  <c r="AW18" i="27" s="1"/>
  <c r="AO18" i="27"/>
  <c r="J17" i="27"/>
  <c r="AW17" i="27" s="1"/>
  <c r="J16" i="27"/>
  <c r="AW16" i="27" s="1"/>
  <c r="AV15" i="27"/>
  <c r="AU15" i="27"/>
  <c r="AT15" i="27"/>
  <c r="AQ15" i="27"/>
  <c r="AO15" i="27"/>
  <c r="AM15" i="27"/>
  <c r="AL15" i="27"/>
  <c r="AK15" i="27"/>
  <c r="AJ15" i="27"/>
  <c r="AF15" i="27"/>
  <c r="AC15" i="27"/>
  <c r="R15" i="27"/>
  <c r="P15" i="27"/>
  <c r="O15" i="27"/>
  <c r="K15" i="27"/>
  <c r="J15" i="27" s="1"/>
  <c r="AW15" i="27" s="1"/>
  <c r="AV14" i="27"/>
  <c r="AU14" i="27"/>
  <c r="AT14" i="27"/>
  <c r="AS14" i="27"/>
  <c r="AR14" i="27"/>
  <c r="AQ14" i="27"/>
  <c r="AO14" i="27"/>
  <c r="AN14" i="27"/>
  <c r="AM14" i="27"/>
  <c r="AL14" i="27"/>
  <c r="AK14" i="27"/>
  <c r="AJ14" i="27"/>
  <c r="AH14" i="27"/>
  <c r="AF14" i="27"/>
  <c r="AE14" i="27"/>
  <c r="AD14" i="27"/>
  <c r="AD21" i="27" s="1"/>
  <c r="AD27" i="27" s="1"/>
  <c r="AD35" i="27" s="1"/>
  <c r="AD42" i="27" s="1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M14" i="27"/>
  <c r="K14" i="27"/>
  <c r="AO13" i="27"/>
  <c r="AM13" i="27"/>
  <c r="AF13" i="27"/>
  <c r="AE13" i="27"/>
  <c r="AD13" i="27"/>
  <c r="AC13" i="27"/>
  <c r="AA13" i="27"/>
  <c r="AA9" i="27" s="1"/>
  <c r="AA21" i="27" s="1"/>
  <c r="AA27" i="27" s="1"/>
  <c r="AA35" i="27" s="1"/>
  <c r="AA42" i="27" s="1"/>
  <c r="Y13" i="27"/>
  <c r="X13" i="27"/>
  <c r="T13" i="27"/>
  <c r="T9" i="27" s="1"/>
  <c r="T21" i="27" s="1"/>
  <c r="T27" i="27" s="1"/>
  <c r="T35" i="27" s="1"/>
  <c r="T42" i="27" s="1"/>
  <c r="S13" i="27"/>
  <c r="R13" i="27"/>
  <c r="R9" i="27" s="1"/>
  <c r="Q13" i="27"/>
  <c r="P13" i="27"/>
  <c r="P9" i="27" s="1"/>
  <c r="P21" i="27" s="1"/>
  <c r="P27" i="27" s="1"/>
  <c r="P35" i="27" s="1"/>
  <c r="P42" i="27" s="1"/>
  <c r="O13" i="27"/>
  <c r="O9" i="27" s="1"/>
  <c r="O21" i="27" s="1"/>
  <c r="O27" i="27" s="1"/>
  <c r="O35" i="27" s="1"/>
  <c r="O42" i="27" s="1"/>
  <c r="AT12" i="27"/>
  <c r="AN12" i="27"/>
  <c r="AM12" i="27"/>
  <c r="AM10" i="27" s="1"/>
  <c r="AL12" i="27"/>
  <c r="AL10" i="27" s="1"/>
  <c r="AL9" i="27" s="1"/>
  <c r="AL21" i="27" s="1"/>
  <c r="AL27" i="27" s="1"/>
  <c r="AL35" i="27" s="1"/>
  <c r="AL42" i="27" s="1"/>
  <c r="AK12" i="27"/>
  <c r="AJ12" i="27"/>
  <c r="AJ10" i="27" s="1"/>
  <c r="AJ9" i="27" s="1"/>
  <c r="AF12" i="27"/>
  <c r="AF10" i="27" s="1"/>
  <c r="AC12" i="27"/>
  <c r="N12" i="27"/>
  <c r="K12" i="27"/>
  <c r="K10" i="27" s="1"/>
  <c r="J11" i="27"/>
  <c r="AW11" i="27" s="1"/>
  <c r="AV10" i="27"/>
  <c r="AV9" i="27" s="1"/>
  <c r="AV21" i="27" s="1"/>
  <c r="AV27" i="27" s="1"/>
  <c r="AV35" i="27" s="1"/>
  <c r="AV42" i="27" s="1"/>
  <c r="AU10" i="27"/>
  <c r="AT10" i="27"/>
  <c r="AS10" i="27"/>
  <c r="AR10" i="27"/>
  <c r="AR9" i="27" s="1"/>
  <c r="AR21" i="27" s="1"/>
  <c r="AR27" i="27" s="1"/>
  <c r="AR35" i="27" s="1"/>
  <c r="AR42" i="27" s="1"/>
  <c r="AQ10" i="27"/>
  <c r="AP10" i="27"/>
  <c r="AO10" i="27"/>
  <c r="AN10" i="27"/>
  <c r="AN9" i="27" s="1"/>
  <c r="AN21" i="27" s="1"/>
  <c r="AN27" i="27" s="1"/>
  <c r="AN35" i="27" s="1"/>
  <c r="AN42" i="27" s="1"/>
  <c r="AK10" i="27"/>
  <c r="AI10" i="27"/>
  <c r="AH10" i="27"/>
  <c r="AH9" i="27" s="1"/>
  <c r="AH21" i="27" s="1"/>
  <c r="AH27" i="27" s="1"/>
  <c r="AH35" i="27" s="1"/>
  <c r="AH42" i="27" s="1"/>
  <c r="AG10" i="27"/>
  <c r="AE10" i="27"/>
  <c r="AD10" i="27"/>
  <c r="AC10" i="27"/>
  <c r="AC9" i="27" s="1"/>
  <c r="AC21" i="27" s="1"/>
  <c r="AC27" i="27" s="1"/>
  <c r="AC35" i="27" s="1"/>
  <c r="AC42" i="27" s="1"/>
  <c r="AB10" i="27"/>
  <c r="AA10" i="27"/>
  <c r="Z10" i="27"/>
  <c r="Y10" i="27"/>
  <c r="Y9" i="27" s="1"/>
  <c r="Y21" i="27" s="1"/>
  <c r="Y27" i="27" s="1"/>
  <c r="Y35" i="27" s="1"/>
  <c r="Y42" i="27" s="1"/>
  <c r="X10" i="27"/>
  <c r="W10" i="27"/>
  <c r="V10" i="27"/>
  <c r="U10" i="27"/>
  <c r="U9" i="27" s="1"/>
  <c r="U21" i="27" s="1"/>
  <c r="U27" i="27" s="1"/>
  <c r="U35" i="27" s="1"/>
  <c r="U42" i="27" s="1"/>
  <c r="T10" i="27"/>
  <c r="S10" i="27"/>
  <c r="R10" i="27"/>
  <c r="Q10" i="27"/>
  <c r="Q9" i="27" s="1"/>
  <c r="Q21" i="27" s="1"/>
  <c r="Q27" i="27" s="1"/>
  <c r="Q35" i="27" s="1"/>
  <c r="Q42" i="27" s="1"/>
  <c r="P10" i="27"/>
  <c r="O10" i="27"/>
  <c r="N10" i="27"/>
  <c r="M10" i="27"/>
  <c r="L10" i="27"/>
  <c r="AU9" i="27"/>
  <c r="AU21" i="27" s="1"/>
  <c r="AU27" i="27" s="1"/>
  <c r="AU35" i="27" s="1"/>
  <c r="AU42" i="27" s="1"/>
  <c r="AT9" i="27"/>
  <c r="AS9" i="27"/>
  <c r="AS21" i="27" s="1"/>
  <c r="AS27" i="27" s="1"/>
  <c r="AS35" i="27" s="1"/>
  <c r="AS42" i="27" s="1"/>
  <c r="AQ9" i="27"/>
  <c r="AP9" i="27"/>
  <c r="AP21" i="27" s="1"/>
  <c r="AP27" i="27" s="1"/>
  <c r="AP35" i="27" s="1"/>
  <c r="AP42" i="27" s="1"/>
  <c r="AO9" i="27"/>
  <c r="AK9" i="27"/>
  <c r="AK21" i="27" s="1"/>
  <c r="AK27" i="27" s="1"/>
  <c r="AK35" i="27" s="1"/>
  <c r="AK42" i="27" s="1"/>
  <c r="AI9" i="27"/>
  <c r="AI21" i="27" s="1"/>
  <c r="AI27" i="27" s="1"/>
  <c r="AI35" i="27" s="1"/>
  <c r="AI42" i="27" s="1"/>
  <c r="AG9" i="27"/>
  <c r="AG21" i="27" s="1"/>
  <c r="AG27" i="27" s="1"/>
  <c r="AG35" i="27" s="1"/>
  <c r="AG42" i="27" s="1"/>
  <c r="AE9" i="27"/>
  <c r="AE21" i="27" s="1"/>
  <c r="AE27" i="27" s="1"/>
  <c r="AE35" i="27" s="1"/>
  <c r="AE42" i="27" s="1"/>
  <c r="AD9" i="27"/>
  <c r="AB9" i="27"/>
  <c r="AB21" i="27" s="1"/>
  <c r="AB27" i="27" s="1"/>
  <c r="AB35" i="27" s="1"/>
  <c r="AB42" i="27" s="1"/>
  <c r="Z9" i="27"/>
  <c r="X9" i="27"/>
  <c r="X21" i="27" s="1"/>
  <c r="X27" i="27" s="1"/>
  <c r="X35" i="27" s="1"/>
  <c r="X42" i="27" s="1"/>
  <c r="W9" i="27"/>
  <c r="W21" i="27" s="1"/>
  <c r="W27" i="27" s="1"/>
  <c r="W35" i="27" s="1"/>
  <c r="W42" i="27" s="1"/>
  <c r="V9" i="27"/>
  <c r="V21" i="27" s="1"/>
  <c r="V27" i="27" s="1"/>
  <c r="V35" i="27" s="1"/>
  <c r="V42" i="27" s="1"/>
  <c r="S9" i="27"/>
  <c r="S21" i="27" s="1"/>
  <c r="S27" i="27" s="1"/>
  <c r="S35" i="27" s="1"/>
  <c r="S42" i="27" s="1"/>
  <c r="N9" i="27"/>
  <c r="N21" i="27" s="1"/>
  <c r="N27" i="27" s="1"/>
  <c r="N35" i="27" s="1"/>
  <c r="N42" i="27" s="1"/>
  <c r="M9" i="27"/>
  <c r="M21" i="27" s="1"/>
  <c r="M27" i="27" s="1"/>
  <c r="M35" i="27" s="1"/>
  <c r="M42" i="27" s="1"/>
  <c r="L9" i="27"/>
  <c r="K9" i="27"/>
  <c r="I9" i="27"/>
  <c r="J5" i="27"/>
  <c r="AW5" i="27" s="1"/>
  <c r="AG31" i="25"/>
  <c r="AG29" i="25"/>
  <c r="AG25" i="25"/>
  <c r="AG23" i="25"/>
  <c r="AD21" i="25"/>
  <c r="AD27" i="25" s="1"/>
  <c r="AD33" i="25" s="1"/>
  <c r="Z21" i="25"/>
  <c r="Z27" i="25" s="1"/>
  <c r="Z33" i="25" s="1"/>
  <c r="V21" i="25"/>
  <c r="V27" i="25" s="1"/>
  <c r="V33" i="25" s="1"/>
  <c r="R21" i="25"/>
  <c r="R27" i="25" s="1"/>
  <c r="R33" i="25" s="1"/>
  <c r="N21" i="25"/>
  <c r="N27" i="25" s="1"/>
  <c r="N33" i="25" s="1"/>
  <c r="J21" i="25"/>
  <c r="J27" i="25" s="1"/>
  <c r="J33" i="25" s="1"/>
  <c r="AG19" i="25"/>
  <c r="AG18" i="25"/>
  <c r="AG17" i="25"/>
  <c r="AG16" i="25"/>
  <c r="AG15" i="25"/>
  <c r="AG14" i="25"/>
  <c r="AG13" i="25"/>
  <c r="AG12" i="25"/>
  <c r="AG11" i="25"/>
  <c r="AG10" i="25"/>
  <c r="AF9" i="25"/>
  <c r="AF21" i="25" s="1"/>
  <c r="AF27" i="25" s="1"/>
  <c r="AF33" i="25" s="1"/>
  <c r="AE9" i="25"/>
  <c r="AE21" i="25" s="1"/>
  <c r="AE27" i="25" s="1"/>
  <c r="AE33" i="25" s="1"/>
  <c r="AD9" i="25"/>
  <c r="AC9" i="25"/>
  <c r="AC21" i="25" s="1"/>
  <c r="AC27" i="25" s="1"/>
  <c r="AC33" i="25" s="1"/>
  <c r="AB9" i="25"/>
  <c r="AB21" i="25" s="1"/>
  <c r="AB27" i="25" s="1"/>
  <c r="AB33" i="25" s="1"/>
  <c r="AA9" i="25"/>
  <c r="AA21" i="25" s="1"/>
  <c r="AA27" i="25" s="1"/>
  <c r="AA33" i="25" s="1"/>
  <c r="Z9" i="25"/>
  <c r="Y9" i="25"/>
  <c r="Y21" i="25" s="1"/>
  <c r="Y27" i="25" s="1"/>
  <c r="Y33" i="25" s="1"/>
  <c r="X9" i="25"/>
  <c r="X21" i="25" s="1"/>
  <c r="X27" i="25" s="1"/>
  <c r="X33" i="25" s="1"/>
  <c r="W9" i="25"/>
  <c r="W21" i="25" s="1"/>
  <c r="W27" i="25" s="1"/>
  <c r="W33" i="25" s="1"/>
  <c r="V9" i="25"/>
  <c r="U9" i="25"/>
  <c r="U21" i="25" s="1"/>
  <c r="U27" i="25" s="1"/>
  <c r="U33" i="25" s="1"/>
  <c r="T9" i="25"/>
  <c r="T21" i="25" s="1"/>
  <c r="T27" i="25" s="1"/>
  <c r="T33" i="25" s="1"/>
  <c r="S9" i="25"/>
  <c r="S21" i="25" s="1"/>
  <c r="S27" i="25" s="1"/>
  <c r="S33" i="25" s="1"/>
  <c r="R9" i="25"/>
  <c r="Q9" i="25"/>
  <c r="Q21" i="25" s="1"/>
  <c r="Q27" i="25" s="1"/>
  <c r="Q33" i="25" s="1"/>
  <c r="P9" i="25"/>
  <c r="P21" i="25" s="1"/>
  <c r="P27" i="25" s="1"/>
  <c r="P33" i="25" s="1"/>
  <c r="O9" i="25"/>
  <c r="O21" i="25" s="1"/>
  <c r="O27" i="25" s="1"/>
  <c r="O33" i="25" s="1"/>
  <c r="N9" i="25"/>
  <c r="M9" i="25"/>
  <c r="M21" i="25" s="1"/>
  <c r="M27" i="25" s="1"/>
  <c r="M33" i="25" s="1"/>
  <c r="L9" i="25"/>
  <c r="L21" i="25" s="1"/>
  <c r="L27" i="25" s="1"/>
  <c r="L33" i="25" s="1"/>
  <c r="K9" i="25"/>
  <c r="K21" i="25" s="1"/>
  <c r="K27" i="25" s="1"/>
  <c r="K33" i="25" s="1"/>
  <c r="J9" i="25"/>
  <c r="I9" i="25"/>
  <c r="I21" i="25" s="1"/>
  <c r="I27" i="25" s="1"/>
  <c r="I33" i="25" s="1"/>
  <c r="J5" i="25"/>
  <c r="AG5" i="25" s="1"/>
  <c r="J31" i="24"/>
  <c r="V31" i="24" s="1"/>
  <c r="J29" i="24"/>
  <c r="V29" i="24" s="1"/>
  <c r="J25" i="24"/>
  <c r="V25" i="24" s="1"/>
  <c r="J23" i="24"/>
  <c r="V23" i="24" s="1"/>
  <c r="Q21" i="24"/>
  <c r="Q27" i="24" s="1"/>
  <c r="Q33" i="24" s="1"/>
  <c r="V19" i="24"/>
  <c r="S18" i="24"/>
  <c r="P18" i="24"/>
  <c r="J17" i="24"/>
  <c r="V17" i="24" s="1"/>
  <c r="V16" i="24"/>
  <c r="J16" i="24"/>
  <c r="J15" i="24"/>
  <c r="V15" i="24" s="1"/>
  <c r="T14" i="24"/>
  <c r="R14" i="24"/>
  <c r="P14" i="24"/>
  <c r="L14" i="24"/>
  <c r="T13" i="24"/>
  <c r="R13" i="24"/>
  <c r="P13" i="24"/>
  <c r="O13" i="24"/>
  <c r="O9" i="24" s="1"/>
  <c r="O21" i="24" s="1"/>
  <c r="O27" i="24" s="1"/>
  <c r="O33" i="24" s="1"/>
  <c r="N13" i="24"/>
  <c r="M13" i="24"/>
  <c r="M9" i="24" s="1"/>
  <c r="M21" i="24" s="1"/>
  <c r="M27" i="24" s="1"/>
  <c r="M33" i="24" s="1"/>
  <c r="K13" i="24"/>
  <c r="I13" i="24"/>
  <c r="I9" i="24" s="1"/>
  <c r="I21" i="24" s="1"/>
  <c r="I27" i="24" s="1"/>
  <c r="I33" i="24" s="1"/>
  <c r="V12" i="24"/>
  <c r="J12" i="24"/>
  <c r="J11" i="24"/>
  <c r="V11" i="24" s="1"/>
  <c r="T10" i="24"/>
  <c r="S10" i="24"/>
  <c r="S9" i="24" s="1"/>
  <c r="R10" i="24"/>
  <c r="R9" i="24" s="1"/>
  <c r="R21" i="24" s="1"/>
  <c r="R27" i="24" s="1"/>
  <c r="R33" i="24" s="1"/>
  <c r="P10" i="24"/>
  <c r="P9" i="24" s="1"/>
  <c r="P21" i="24" s="1"/>
  <c r="P27" i="24" s="1"/>
  <c r="P33" i="24" s="1"/>
  <c r="M10" i="24"/>
  <c r="L10" i="24"/>
  <c r="U9" i="24"/>
  <c r="U21" i="24" s="1"/>
  <c r="U27" i="24" s="1"/>
  <c r="U33" i="24" s="1"/>
  <c r="T9" i="24"/>
  <c r="T21" i="24" s="1"/>
  <c r="T27" i="24" s="1"/>
  <c r="T33" i="24" s="1"/>
  <c r="Q9" i="24"/>
  <c r="N9" i="24"/>
  <c r="N21" i="24" s="1"/>
  <c r="N27" i="24" s="1"/>
  <c r="N33" i="24" s="1"/>
  <c r="K9" i="24"/>
  <c r="K21" i="24" s="1"/>
  <c r="K27" i="24" s="1"/>
  <c r="K33" i="24" s="1"/>
  <c r="J5" i="24"/>
  <c r="V5" i="24" s="1"/>
  <c r="J31" i="23"/>
  <c r="S31" i="23" s="1"/>
  <c r="I29" i="23"/>
  <c r="J29" i="23" s="1"/>
  <c r="P25" i="23"/>
  <c r="I25" i="23"/>
  <c r="P23" i="23"/>
  <c r="I23" i="23"/>
  <c r="S19" i="23"/>
  <c r="P18" i="23"/>
  <c r="O18" i="23"/>
  <c r="M18" i="23"/>
  <c r="L18" i="23"/>
  <c r="K18" i="23"/>
  <c r="I18" i="23"/>
  <c r="I17" i="23"/>
  <c r="J17" i="23" s="1"/>
  <c r="S17" i="23" s="1"/>
  <c r="S16" i="23"/>
  <c r="I16" i="23"/>
  <c r="J16" i="23" s="1"/>
  <c r="R15" i="23"/>
  <c r="N15" i="23"/>
  <c r="M15" i="23"/>
  <c r="L15" i="23"/>
  <c r="K15" i="23"/>
  <c r="I15" i="23"/>
  <c r="R14" i="23"/>
  <c r="P14" i="23"/>
  <c r="O14" i="23"/>
  <c r="N14" i="23"/>
  <c r="M14" i="23"/>
  <c r="L14" i="23"/>
  <c r="K14" i="23"/>
  <c r="I14" i="23"/>
  <c r="Q13" i="23"/>
  <c r="P13" i="23"/>
  <c r="O13" i="23"/>
  <c r="N13" i="23"/>
  <c r="M13" i="23"/>
  <c r="L13" i="23"/>
  <c r="K13" i="23"/>
  <c r="I13" i="23"/>
  <c r="R12" i="23"/>
  <c r="Q12" i="23"/>
  <c r="P12" i="23"/>
  <c r="O12" i="23"/>
  <c r="O10" i="23" s="1"/>
  <c r="N12" i="23"/>
  <c r="N10" i="23" s="1"/>
  <c r="M12" i="23"/>
  <c r="L12" i="23"/>
  <c r="K12" i="23"/>
  <c r="J12" i="23" s="1"/>
  <c r="I12" i="23"/>
  <c r="P11" i="23"/>
  <c r="K11" i="23"/>
  <c r="I11" i="23"/>
  <c r="R10" i="23"/>
  <c r="R9" i="23" s="1"/>
  <c r="Q10" i="23"/>
  <c r="Q9" i="23" s="1"/>
  <c r="Q21" i="23" s="1"/>
  <c r="Q27" i="23" s="1"/>
  <c r="Q33" i="23" s="1"/>
  <c r="P10" i="23"/>
  <c r="P9" i="23" s="1"/>
  <c r="P21" i="23" s="1"/>
  <c r="P27" i="23" s="1"/>
  <c r="P33" i="23" s="1"/>
  <c r="M10" i="23"/>
  <c r="L10" i="23"/>
  <c r="L9" i="23" s="1"/>
  <c r="K10" i="23"/>
  <c r="I10" i="23"/>
  <c r="M9" i="23"/>
  <c r="M21" i="23" s="1"/>
  <c r="M27" i="23" s="1"/>
  <c r="M33" i="23" s="1"/>
  <c r="I9" i="23"/>
  <c r="P5" i="23"/>
  <c r="N5" i="23"/>
  <c r="K5" i="23"/>
  <c r="I5" i="23"/>
  <c r="AE31" i="22"/>
  <c r="AE29" i="22"/>
  <c r="K27" i="22"/>
  <c r="K33" i="22" s="1"/>
  <c r="AE25" i="22"/>
  <c r="AE23" i="22"/>
  <c r="AB21" i="22"/>
  <c r="AB27" i="22" s="1"/>
  <c r="AB33" i="22" s="1"/>
  <c r="X21" i="22"/>
  <c r="X27" i="22" s="1"/>
  <c r="X33" i="22" s="1"/>
  <c r="T21" i="22"/>
  <c r="T27" i="22" s="1"/>
  <c r="T33" i="22" s="1"/>
  <c r="P21" i="22"/>
  <c r="P27" i="22" s="1"/>
  <c r="P33" i="22" s="1"/>
  <c r="L21" i="22"/>
  <c r="L27" i="22" s="1"/>
  <c r="L33" i="22" s="1"/>
  <c r="AE19" i="22"/>
  <c r="AE18" i="22"/>
  <c r="AE17" i="22"/>
  <c r="AE16" i="22"/>
  <c r="AE15" i="22"/>
  <c r="AE14" i="22"/>
  <c r="AE13" i="22"/>
  <c r="AE12" i="22"/>
  <c r="AE11" i="22"/>
  <c r="AE10" i="22"/>
  <c r="AD9" i="22"/>
  <c r="AD21" i="22" s="1"/>
  <c r="AD27" i="22" s="1"/>
  <c r="AD33" i="22" s="1"/>
  <c r="AC9" i="22"/>
  <c r="AC21" i="22" s="1"/>
  <c r="AC27" i="22" s="1"/>
  <c r="AC33" i="22" s="1"/>
  <c r="AB9" i="22"/>
  <c r="AA9" i="22"/>
  <c r="AA21" i="22" s="1"/>
  <c r="AA27" i="22" s="1"/>
  <c r="AA33" i="22" s="1"/>
  <c r="Z9" i="22"/>
  <c r="Z21" i="22" s="1"/>
  <c r="Z27" i="22" s="1"/>
  <c r="Z33" i="22" s="1"/>
  <c r="Y9" i="22"/>
  <c r="Y21" i="22" s="1"/>
  <c r="Y27" i="22" s="1"/>
  <c r="Y33" i="22" s="1"/>
  <c r="X9" i="22"/>
  <c r="W9" i="22"/>
  <c r="W21" i="22" s="1"/>
  <c r="W27" i="22" s="1"/>
  <c r="W33" i="22" s="1"/>
  <c r="V9" i="22"/>
  <c r="V21" i="22" s="1"/>
  <c r="V27" i="22" s="1"/>
  <c r="V33" i="22" s="1"/>
  <c r="U9" i="22"/>
  <c r="U21" i="22" s="1"/>
  <c r="U27" i="22" s="1"/>
  <c r="U33" i="22" s="1"/>
  <c r="T9" i="22"/>
  <c r="S9" i="22"/>
  <c r="S21" i="22" s="1"/>
  <c r="S27" i="22" s="1"/>
  <c r="S33" i="22" s="1"/>
  <c r="R9" i="22"/>
  <c r="R21" i="22" s="1"/>
  <c r="R27" i="22" s="1"/>
  <c r="R33" i="22" s="1"/>
  <c r="Q9" i="22"/>
  <c r="Q21" i="22" s="1"/>
  <c r="Q27" i="22" s="1"/>
  <c r="Q33" i="22" s="1"/>
  <c r="P9" i="22"/>
  <c r="O9" i="22"/>
  <c r="O21" i="22" s="1"/>
  <c r="O27" i="22" s="1"/>
  <c r="O33" i="22" s="1"/>
  <c r="N9" i="22"/>
  <c r="N21" i="22" s="1"/>
  <c r="N27" i="22" s="1"/>
  <c r="N33" i="22" s="1"/>
  <c r="M9" i="22"/>
  <c r="M21" i="22" s="1"/>
  <c r="M27" i="22" s="1"/>
  <c r="M33" i="22" s="1"/>
  <c r="L9" i="22"/>
  <c r="K9" i="22"/>
  <c r="K21" i="22" s="1"/>
  <c r="J9" i="22"/>
  <c r="J21" i="22" s="1"/>
  <c r="J27" i="22" s="1"/>
  <c r="J33" i="22" s="1"/>
  <c r="I9" i="22"/>
  <c r="I21" i="22" s="1"/>
  <c r="I27" i="22" s="1"/>
  <c r="I33" i="22" s="1"/>
  <c r="AE5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D47" i="21"/>
  <c r="D43" i="21"/>
  <c r="D42" i="21"/>
  <c r="D41" i="21"/>
  <c r="D40" i="21"/>
  <c r="D39" i="21"/>
  <c r="D36" i="21"/>
  <c r="D35" i="21"/>
  <c r="D33" i="21"/>
  <c r="D31" i="21"/>
  <c r="D30" i="21"/>
  <c r="D28" i="21"/>
  <c r="D27" i="21"/>
  <c r="D26" i="21"/>
  <c r="D17" i="21"/>
  <c r="D14" i="21"/>
  <c r="D13" i="21"/>
  <c r="D7" i="21"/>
  <c r="D47" i="20"/>
  <c r="D43" i="20"/>
  <c r="D39" i="20"/>
  <c r="D37" i="20"/>
  <c r="D36" i="20"/>
  <c r="D33" i="20"/>
  <c r="D32" i="20"/>
  <c r="D31" i="20"/>
  <c r="D28" i="20"/>
  <c r="D27" i="20"/>
  <c r="D26" i="20"/>
  <c r="D14" i="20"/>
  <c r="D13" i="20"/>
  <c r="D7" i="20"/>
  <c r="E134" i="19"/>
  <c r="E133" i="19"/>
  <c r="E132" i="19"/>
  <c r="E131" i="19"/>
  <c r="E130" i="19"/>
  <c r="E129" i="19"/>
  <c r="D128" i="19"/>
  <c r="E128" i="19" s="1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7" i="19"/>
  <c r="E86" i="19"/>
  <c r="E85" i="19"/>
  <c r="E84" i="19"/>
  <c r="E83" i="19"/>
  <c r="E82" i="19"/>
  <c r="D81" i="19"/>
  <c r="E81" i="19" s="1"/>
  <c r="E80" i="19"/>
  <c r="E79" i="19"/>
  <c r="D66" i="19"/>
  <c r="D62" i="19"/>
  <c r="D49" i="19"/>
  <c r="D44" i="19"/>
  <c r="E43" i="19"/>
  <c r="E42" i="19"/>
  <c r="E41" i="19"/>
  <c r="E40" i="19"/>
  <c r="D39" i="19"/>
  <c r="D18" i="19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D100" i="18"/>
  <c r="E100" i="18" s="1"/>
  <c r="E99" i="18"/>
  <c r="E98" i="18"/>
  <c r="E97" i="18"/>
  <c r="E96" i="18"/>
  <c r="E95" i="18"/>
  <c r="E94" i="18"/>
  <c r="D93" i="18"/>
  <c r="E90" i="18" s="1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8" i="18"/>
  <c r="D60" i="18"/>
  <c r="D57" i="18"/>
  <c r="E51" i="18"/>
  <c r="D47" i="18"/>
  <c r="D46" i="18"/>
  <c r="E38" i="18" s="1"/>
  <c r="D45" i="18"/>
  <c r="D40" i="18"/>
  <c r="E39" i="18"/>
  <c r="E37" i="18"/>
  <c r="D36" i="18"/>
  <c r="D32" i="18"/>
  <c r="D8" i="18"/>
  <c r="D7" i="18" s="1"/>
  <c r="D29" i="17"/>
  <c r="D18" i="17"/>
  <c r="D16" i="17"/>
  <c r="D14" i="17"/>
  <c r="D13" i="17"/>
  <c r="D9" i="17" s="1"/>
  <c r="D5" i="17" s="1"/>
  <c r="D18" i="16"/>
  <c r="D16" i="16"/>
  <c r="D14" i="16"/>
  <c r="D9" i="16" s="1"/>
  <c r="D5" i="16" s="1"/>
  <c r="D13" i="16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5" i="15"/>
  <c r="D9" i="15"/>
  <c r="D5" i="15" s="1"/>
  <c r="D79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0" i="14"/>
  <c r="D57" i="14"/>
  <c r="D78" i="14" s="1"/>
  <c r="D9" i="14"/>
  <c r="D5" i="14"/>
  <c r="D30" i="13"/>
  <c r="D26" i="13"/>
  <c r="D8" i="13" s="1"/>
  <c r="D4" i="13" s="1"/>
  <c r="D47" i="12"/>
  <c r="D38" i="12"/>
  <c r="D34" i="12"/>
  <c r="D9" i="11"/>
  <c r="D5" i="11" s="1"/>
  <c r="D9" i="10"/>
  <c r="D5" i="10"/>
  <c r="G66" i="9"/>
  <c r="E66" i="9"/>
  <c r="H64" i="9"/>
  <c r="F64" i="9"/>
  <c r="F63" i="9"/>
  <c r="H63" i="9" s="1"/>
  <c r="F62" i="9"/>
  <c r="H62" i="9" s="1"/>
  <c r="F59" i="9"/>
  <c r="H59" i="9" s="1"/>
  <c r="F58" i="9"/>
  <c r="H58" i="9" s="1"/>
  <c r="F57" i="9"/>
  <c r="H57" i="9" s="1"/>
  <c r="H51" i="9"/>
  <c r="F51" i="9"/>
  <c r="D50" i="9"/>
  <c r="H31" i="9"/>
  <c r="F31" i="9"/>
  <c r="F29" i="9"/>
  <c r="H29" i="9" s="1"/>
  <c r="F18" i="9"/>
  <c r="H18" i="9" s="1"/>
  <c r="F17" i="9"/>
  <c r="G9" i="9"/>
  <c r="G5" i="9" s="1"/>
  <c r="E9" i="9"/>
  <c r="E5" i="9" s="1"/>
  <c r="F7" i="9"/>
  <c r="H7" i="9" s="1"/>
  <c r="H5" i="9"/>
  <c r="D33" i="8"/>
  <c r="D25" i="8"/>
  <c r="D24" i="8"/>
  <c r="D9" i="8" s="1"/>
  <c r="D5" i="8" s="1"/>
  <c r="D20" i="8"/>
  <c r="D7" i="8"/>
  <c r="D25" i="7"/>
  <c r="D15" i="7"/>
  <c r="D31" i="6"/>
  <c r="D16" i="6"/>
  <c r="D9" i="6"/>
  <c r="D5" i="6" s="1"/>
  <c r="D24" i="5"/>
  <c r="D11" i="5"/>
  <c r="D9" i="5" s="1"/>
  <c r="D6" i="5"/>
  <c r="D36" i="4"/>
  <c r="D32" i="4"/>
  <c r="D30" i="4"/>
  <c r="D29" i="4"/>
  <c r="D27" i="4"/>
  <c r="D24" i="4"/>
  <c r="D22" i="4"/>
  <c r="D21" i="4"/>
  <c r="D20" i="4"/>
  <c r="D19" i="4"/>
  <c r="D18" i="4"/>
  <c r="D17" i="4"/>
  <c r="D16" i="4"/>
  <c r="D13" i="4"/>
  <c r="D12" i="4"/>
  <c r="D11" i="4"/>
  <c r="D10" i="4"/>
  <c r="D9" i="4"/>
  <c r="D8" i="4"/>
  <c r="D6" i="4"/>
  <c r="D41" i="3"/>
  <c r="D37" i="3"/>
  <c r="D35" i="3"/>
  <c r="D34" i="3"/>
  <c r="D32" i="3"/>
  <c r="D29" i="3"/>
  <c r="D27" i="3"/>
  <c r="D25" i="3"/>
  <c r="D23" i="3"/>
  <c r="D22" i="3"/>
  <c r="D21" i="3"/>
  <c r="D20" i="3"/>
  <c r="D19" i="3"/>
  <c r="D18" i="3"/>
  <c r="D17" i="3"/>
  <c r="D16" i="3"/>
  <c r="D13" i="3"/>
  <c r="D12" i="3"/>
  <c r="D11" i="3"/>
  <c r="D10" i="3"/>
  <c r="D9" i="3"/>
  <c r="D4" i="3" s="1"/>
  <c r="D8" i="3"/>
  <c r="D6" i="3"/>
  <c r="G140" i="2"/>
  <c r="I140" i="2" s="1"/>
  <c r="F140" i="2"/>
  <c r="H140" i="2" s="1"/>
  <c r="G130" i="2"/>
  <c r="I130" i="2" s="1"/>
  <c r="F130" i="2"/>
  <c r="H130" i="2" s="1"/>
  <c r="E129" i="2"/>
  <c r="G121" i="2"/>
  <c r="I121" i="2" s="1"/>
  <c r="F121" i="2"/>
  <c r="H121" i="2" s="1"/>
  <c r="G109" i="2"/>
  <c r="I109" i="2" s="1"/>
  <c r="F109" i="2"/>
  <c r="H109" i="2" s="1"/>
  <c r="G102" i="2"/>
  <c r="I102" i="2" s="1"/>
  <c r="F102" i="2"/>
  <c r="H102" i="2" s="1"/>
  <c r="G96" i="2"/>
  <c r="I96" i="2" s="1"/>
  <c r="F96" i="2"/>
  <c r="H96" i="2" s="1"/>
  <c r="H97" i="2" s="1"/>
  <c r="G89" i="2"/>
  <c r="I89" i="2" s="1"/>
  <c r="F89" i="2"/>
  <c r="H89" i="2" s="1"/>
  <c r="G81" i="2"/>
  <c r="I81" i="2" s="1"/>
  <c r="F81" i="2"/>
  <c r="H81" i="2" s="1"/>
  <c r="E78" i="2"/>
  <c r="E77" i="2"/>
  <c r="E76" i="2"/>
  <c r="E75" i="2"/>
  <c r="G53" i="2"/>
  <c r="I53" i="2" s="1"/>
  <c r="F53" i="2"/>
  <c r="H53" i="2" s="1"/>
  <c r="G49" i="2"/>
  <c r="F49" i="2"/>
  <c r="E33" i="2"/>
  <c r="G141" i="1"/>
  <c r="F141" i="1"/>
  <c r="G131" i="1"/>
  <c r="F131" i="1"/>
  <c r="E130" i="1"/>
  <c r="G114" i="1"/>
  <c r="F114" i="1"/>
  <c r="G106" i="1"/>
  <c r="F106" i="1"/>
  <c r="G99" i="1"/>
  <c r="F99" i="1"/>
  <c r="I95" i="1"/>
  <c r="H95" i="1"/>
  <c r="G94" i="1"/>
  <c r="F94" i="1"/>
  <c r="F95" i="1" s="1"/>
  <c r="G79" i="1"/>
  <c r="F79" i="1"/>
  <c r="G74" i="1"/>
  <c r="F74" i="1"/>
  <c r="E69" i="1"/>
  <c r="G49" i="1"/>
  <c r="F49" i="1"/>
  <c r="G43" i="1"/>
  <c r="F43" i="1"/>
  <c r="G29" i="1"/>
  <c r="F29" i="1"/>
  <c r="F44" i="1" s="1"/>
  <c r="BU15" i="30" l="1"/>
  <c r="BW15" i="30"/>
  <c r="I97" i="2"/>
  <c r="E42" i="3"/>
  <c r="E37" i="4"/>
  <c r="D66" i="9"/>
  <c r="D9" i="9" s="1"/>
  <c r="D5" i="9" s="1"/>
  <c r="D8" i="12"/>
  <c r="D4" i="12" s="1"/>
  <c r="D9" i="20"/>
  <c r="D5" i="20" s="1"/>
  <c r="O9" i="23"/>
  <c r="O21" i="23" s="1"/>
  <c r="O27" i="23" s="1"/>
  <c r="O33" i="23" s="1"/>
  <c r="J13" i="24"/>
  <c r="V13" i="24" s="1"/>
  <c r="J14" i="24"/>
  <c r="V14" i="24" s="1"/>
  <c r="AT21" i="27"/>
  <c r="AT27" i="27" s="1"/>
  <c r="AT35" i="27" s="1"/>
  <c r="AT42" i="27" s="1"/>
  <c r="AO21" i="27"/>
  <c r="AO27" i="27" s="1"/>
  <c r="AO35" i="27" s="1"/>
  <c r="AO42" i="27" s="1"/>
  <c r="AD35" i="30"/>
  <c r="AY23" i="30"/>
  <c r="AY29" i="30" s="1"/>
  <c r="AY35" i="30" s="1"/>
  <c r="AW11" i="30"/>
  <c r="AW23" i="30" s="1"/>
  <c r="AW29" i="30" s="1"/>
  <c r="AW35" i="30" s="1"/>
  <c r="BU25" i="30"/>
  <c r="BU27" i="30"/>
  <c r="E13" i="3"/>
  <c r="D4" i="4"/>
  <c r="D37" i="19"/>
  <c r="L21" i="23"/>
  <c r="L27" i="23" s="1"/>
  <c r="L33" i="23" s="1"/>
  <c r="K9" i="23"/>
  <c r="K21" i="23" s="1"/>
  <c r="K27" i="23" s="1"/>
  <c r="K33" i="23" s="1"/>
  <c r="G44" i="1"/>
  <c r="D5" i="5"/>
  <c r="H9" i="9"/>
  <c r="J10" i="24"/>
  <c r="J9" i="24" s="1"/>
  <c r="S21" i="24"/>
  <c r="S27" i="24" s="1"/>
  <c r="S33" i="24" s="1"/>
  <c r="K21" i="27"/>
  <c r="K27" i="27" s="1"/>
  <c r="K35" i="27" s="1"/>
  <c r="K42" i="27" s="1"/>
  <c r="Z21" i="27"/>
  <c r="Z27" i="27" s="1"/>
  <c r="Z35" i="27" s="1"/>
  <c r="Z42" i="27" s="1"/>
  <c r="AJ21" i="27"/>
  <c r="AJ27" i="27" s="1"/>
  <c r="AJ35" i="27" s="1"/>
  <c r="AJ42" i="27" s="1"/>
  <c r="J12" i="28"/>
  <c r="AA12" i="28" s="1"/>
  <c r="AQ23" i="30"/>
  <c r="AQ29" i="30" s="1"/>
  <c r="AQ35" i="30" s="1"/>
  <c r="F6" i="1"/>
  <c r="F4" i="1" s="1"/>
  <c r="D72" i="15"/>
  <c r="G95" i="1"/>
  <c r="E13" i="4"/>
  <c r="D9" i="7"/>
  <c r="D5" i="7" s="1"/>
  <c r="F66" i="9"/>
  <c r="D9" i="21"/>
  <c r="D5" i="21" s="1"/>
  <c r="J11" i="23"/>
  <c r="S11" i="23" s="1"/>
  <c r="J18" i="24"/>
  <c r="V18" i="24" s="1"/>
  <c r="AQ21" i="27"/>
  <c r="AQ27" i="27" s="1"/>
  <c r="AQ35" i="27" s="1"/>
  <c r="AQ42" i="27" s="1"/>
  <c r="R21" i="27"/>
  <c r="R27" i="27" s="1"/>
  <c r="R35" i="27" s="1"/>
  <c r="R42" i="27" s="1"/>
  <c r="J14" i="27"/>
  <c r="AW14" i="27" s="1"/>
  <c r="P21" i="28"/>
  <c r="P27" i="28" s="1"/>
  <c r="P33" i="28" s="1"/>
  <c r="Y21" i="28"/>
  <c r="Y27" i="28" s="1"/>
  <c r="Y33" i="28" s="1"/>
  <c r="Q21" i="29"/>
  <c r="Q27" i="29" s="1"/>
  <c r="Q33" i="29" s="1"/>
  <c r="Z10" i="29"/>
  <c r="AF35" i="30"/>
  <c r="BV15" i="30"/>
  <c r="D80" i="14"/>
  <c r="N9" i="23"/>
  <c r="N21" i="23" s="1"/>
  <c r="N27" i="23" s="1"/>
  <c r="N33" i="23" s="1"/>
  <c r="J10" i="23"/>
  <c r="S10" i="23" s="1"/>
  <c r="F97" i="2"/>
  <c r="F6" i="2" s="1"/>
  <c r="F4" i="2" s="1"/>
  <c r="J25" i="23"/>
  <c r="S25" i="23" s="1"/>
  <c r="G97" i="2"/>
  <c r="G6" i="2" s="1"/>
  <c r="G4" i="2" s="1"/>
  <c r="F9" i="9"/>
  <c r="F5" i="9" s="1"/>
  <c r="H17" i="9"/>
  <c r="D44" i="18"/>
  <c r="D34" i="18" s="1"/>
  <c r="D5" i="18" s="1"/>
  <c r="E48" i="18"/>
  <c r="E118" i="18" s="1"/>
  <c r="AE9" i="22"/>
  <c r="AE21" i="22" s="1"/>
  <c r="AE27" i="22" s="1"/>
  <c r="AE33" i="22" s="1"/>
  <c r="I21" i="23"/>
  <c r="I27" i="23" s="1"/>
  <c r="I33" i="23" s="1"/>
  <c r="R21" i="23"/>
  <c r="R27" i="23" s="1"/>
  <c r="R33" i="23" s="1"/>
  <c r="S12" i="23"/>
  <c r="J18" i="23"/>
  <c r="S18" i="23" s="1"/>
  <c r="S29" i="23"/>
  <c r="AF9" i="27"/>
  <c r="AF21" i="27" s="1"/>
  <c r="AF27" i="27" s="1"/>
  <c r="AF35" i="27" s="1"/>
  <c r="AF42" i="27" s="1"/>
  <c r="J10" i="27"/>
  <c r="E88" i="19"/>
  <c r="D8" i="19"/>
  <c r="J23" i="23"/>
  <c r="S23" i="23" s="1"/>
  <c r="V10" i="24"/>
  <c r="J14" i="23"/>
  <c r="S14" i="23" s="1"/>
  <c r="S15" i="23"/>
  <c r="L9" i="24"/>
  <c r="L21" i="24" s="1"/>
  <c r="L27" i="24" s="1"/>
  <c r="L33" i="24" s="1"/>
  <c r="AG9" i="25"/>
  <c r="AG21" i="25" s="1"/>
  <c r="AG27" i="25" s="1"/>
  <c r="AG33" i="25" s="1"/>
  <c r="I21" i="29"/>
  <c r="I27" i="29" s="1"/>
  <c r="I33" i="29" s="1"/>
  <c r="I11" i="30"/>
  <c r="BV12" i="30"/>
  <c r="L19" i="30"/>
  <c r="BW19" i="30" s="1"/>
  <c r="BV19" i="30"/>
  <c r="J5" i="23"/>
  <c r="S5" i="23" s="1"/>
  <c r="J13" i="23"/>
  <c r="S13" i="23" s="1"/>
  <c r="J15" i="23"/>
  <c r="AU23" i="30"/>
  <c r="AU29" i="30" s="1"/>
  <c r="AU35" i="30" s="1"/>
  <c r="J13" i="27"/>
  <c r="AW13" i="27" s="1"/>
  <c r="I21" i="27"/>
  <c r="J13" i="28"/>
  <c r="AA13" i="28" s="1"/>
  <c r="I9" i="28"/>
  <c r="Z13" i="29"/>
  <c r="V9" i="29"/>
  <c r="V21" i="29" s="1"/>
  <c r="V27" i="29" s="1"/>
  <c r="V33" i="29" s="1"/>
  <c r="K11" i="30"/>
  <c r="L16" i="30"/>
  <c r="BW18" i="30"/>
  <c r="BU18" i="30"/>
  <c r="J12" i="27"/>
  <c r="AW12" i="27" s="1"/>
  <c r="AM9" i="27"/>
  <c r="AM21" i="27" s="1"/>
  <c r="AM27" i="27" s="1"/>
  <c r="AM35" i="27" s="1"/>
  <c r="AM42" i="27" s="1"/>
  <c r="Z14" i="29"/>
  <c r="BW17" i="30"/>
  <c r="BU17" i="30"/>
  <c r="AG23" i="30"/>
  <c r="AG29" i="30" s="1"/>
  <c r="AG35" i="30" s="1"/>
  <c r="AC10" i="31"/>
  <c r="O9" i="31"/>
  <c r="O21" i="31" s="1"/>
  <c r="O27" i="31" s="1"/>
  <c r="O33" i="31" s="1"/>
  <c r="L7" i="30"/>
  <c r="V29" i="30"/>
  <c r="V35" i="30" s="1"/>
  <c r="BC23" i="30"/>
  <c r="BC29" i="30" s="1"/>
  <c r="BC35" i="30" s="1"/>
  <c r="L14" i="30"/>
  <c r="P12" i="30"/>
  <c r="P11" i="30" s="1"/>
  <c r="P23" i="30" s="1"/>
  <c r="P29" i="30" s="1"/>
  <c r="P35" i="30" s="1"/>
  <c r="BU20" i="30"/>
  <c r="BW21" i="30"/>
  <c r="L33" i="30"/>
  <c r="BW33" i="30" s="1"/>
  <c r="L12" i="30" l="1"/>
  <c r="BU12" i="30" s="1"/>
  <c r="G6" i="1"/>
  <c r="G4" i="1" s="1"/>
  <c r="I21" i="28"/>
  <c r="I27" i="28" s="1"/>
  <c r="I33" i="28" s="1"/>
  <c r="AA9" i="28"/>
  <c r="AA21" i="28" s="1"/>
  <c r="AA27" i="28" s="1"/>
  <c r="AA33" i="28" s="1"/>
  <c r="J9" i="28"/>
  <c r="J21" i="28" s="1"/>
  <c r="J27" i="28" s="1"/>
  <c r="J33" i="28" s="1"/>
  <c r="BU19" i="30"/>
  <c r="BV11" i="30"/>
  <c r="I23" i="30"/>
  <c r="I29" i="30" s="1"/>
  <c r="I35" i="30" s="1"/>
  <c r="AW10" i="27"/>
  <c r="J9" i="27"/>
  <c r="K23" i="30"/>
  <c r="BU11" i="30"/>
  <c r="BU14" i="30"/>
  <c r="BW14" i="30"/>
  <c r="BU7" i="30"/>
  <c r="BW7" i="30"/>
  <c r="AC9" i="31"/>
  <c r="AC21" i="31" s="1"/>
  <c r="AC27" i="31" s="1"/>
  <c r="AC33" i="31" s="1"/>
  <c r="BW12" i="30"/>
  <c r="L11" i="30"/>
  <c r="Z9" i="29"/>
  <c r="Z21" i="29" s="1"/>
  <c r="Z27" i="29" s="1"/>
  <c r="Z33" i="29" s="1"/>
  <c r="J9" i="23"/>
  <c r="I27" i="27"/>
  <c r="J21" i="24"/>
  <c r="J27" i="24" s="1"/>
  <c r="J33" i="24" s="1"/>
  <c r="V9" i="24"/>
  <c r="V21" i="24" s="1"/>
  <c r="V27" i="24" s="1"/>
  <c r="V33" i="24" s="1"/>
  <c r="E54" i="19"/>
  <c r="D7" i="19"/>
  <c r="D5" i="19" s="1"/>
  <c r="BW16" i="30"/>
  <c r="BU16" i="30"/>
  <c r="BW11" i="30" l="1"/>
  <c r="L23" i="30"/>
  <c r="L29" i="30" s="1"/>
  <c r="L35" i="30" s="1"/>
  <c r="K29" i="30"/>
  <c r="G54" i="19"/>
  <c r="E135" i="19"/>
  <c r="E137" i="19" s="1"/>
  <c r="I35" i="27"/>
  <c r="J21" i="27"/>
  <c r="AW9" i="27"/>
  <c r="J21" i="23"/>
  <c r="J27" i="23" s="1"/>
  <c r="J33" i="23" s="1"/>
  <c r="S9" i="23"/>
  <c r="S21" i="23" s="1"/>
  <c r="S27" i="23" s="1"/>
  <c r="S33" i="23" s="1"/>
  <c r="I42" i="27" l="1"/>
  <c r="BU23" i="30"/>
  <c r="BU29" i="30"/>
  <c r="K35" i="30"/>
  <c r="BU35" i="30" s="1"/>
  <c r="J27" i="27"/>
  <c r="AW21" i="27"/>
  <c r="J35" i="27" l="1"/>
  <c r="AW27" i="27"/>
  <c r="J42" i="27" l="1"/>
  <c r="AW42" i="27" s="1"/>
  <c r="AW35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 Jorissen</author>
  </authors>
  <commentList>
    <comment ref="B10" authorId="0" shapeId="0" xr:uid="{00000000-0006-0000-0C00-000001000000}">
      <text>
        <r>
          <rPr>
            <b/>
            <sz val="8"/>
            <color rgb="FF000000"/>
            <rFont val="Tahoma"/>
            <family val="2"/>
          </rPr>
          <t>Natalie Jorissen:</t>
        </r>
        <r>
          <rPr>
            <sz val="8"/>
            <color rgb="FF000000"/>
            <rFont val="Tahoma"/>
            <family val="2"/>
          </rPr>
          <t xml:space="preserve">
736100</t>
        </r>
      </text>
    </comment>
    <comment ref="B11" authorId="0" shapeId="0" xr:uid="{00000000-0006-0000-0C00-000002000000}">
      <text>
        <r>
          <rPr>
            <b/>
            <sz val="8"/>
            <color rgb="FF000000"/>
            <rFont val="Tahoma"/>
            <family val="2"/>
          </rPr>
          <t>Natalie Jorissen:</t>
        </r>
        <r>
          <rPr>
            <sz val="8"/>
            <color rgb="FF000000"/>
            <rFont val="Tahoma"/>
            <family val="2"/>
          </rPr>
          <t xml:space="preserve">
737000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Pascal Vanoverberghe</author>
  </authors>
  <commentList>
    <comment ref="I17" authorId="0" shapeId="0" xr:uid="{00000000-0006-0000-1900-000001000000}">
      <text>
        <r>
          <rPr>
            <b/>
            <sz val="9"/>
            <color rgb="FF000000"/>
            <rFont val="Tahoma"/>
            <family val="2"/>
          </rPr>
          <t>Pascal Vanoverberghe:</t>
        </r>
        <r>
          <rPr>
            <sz val="9"/>
            <color rgb="FF000000"/>
            <rFont val="Tahoma"/>
            <family val="2"/>
          </rPr>
          <t xml:space="preserve">
opgelet geen automatische formule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J17" authorId="0" shapeId="0" xr:uid="{00000000-0006-0000-1900-000002000000}">
      <text>
        <r>
          <rPr>
            <b/>
            <sz val="9"/>
            <color rgb="FF000000"/>
            <rFont val="Tahoma"/>
            <family val="2"/>
          </rPr>
          <t>Pascal Vanoverberghe:</t>
        </r>
        <r>
          <rPr>
            <sz val="9"/>
            <color rgb="FF000000"/>
            <rFont val="Tahoma"/>
            <family val="2"/>
          </rPr>
          <t xml:space="preserve">
opgelet geen automatische formule</t>
        </r>
      </text>
    </comment>
  </commentList>
</comments>
</file>

<file path=xl/sharedStrings.xml><?xml version="1.0" encoding="utf-8"?>
<sst xmlns="http://schemas.openxmlformats.org/spreadsheetml/2006/main" count="4598" uniqueCount="1522">
  <si>
    <t>Overzicht subsidies en giften</t>
  </si>
  <si>
    <t>Naam VZW</t>
  </si>
  <si>
    <t>CAW Antwerpen</t>
  </si>
  <si>
    <t>Resultaat 2017</t>
  </si>
  <si>
    <t>Begroting 2018</t>
  </si>
  <si>
    <t>Subsidieverlener</t>
  </si>
  <si>
    <t>Doel</t>
  </si>
  <si>
    <t>Activiteit</t>
  </si>
  <si>
    <t>732</t>
  </si>
  <si>
    <t>Schenkingen/Giften</t>
  </si>
  <si>
    <t xml:space="preserve">736 
737  
738 </t>
  </si>
  <si>
    <t>Kapitaal- en intrestsubsidies
Werkingssubsides Vlaamse Overheid 
Overige werkingssubsidies en werkingstoelagen</t>
  </si>
  <si>
    <t>VLG Vipa</t>
  </si>
  <si>
    <t>73600000</t>
  </si>
  <si>
    <t>A</t>
  </si>
  <si>
    <t>Project Grote Steenweg</t>
  </si>
  <si>
    <t>AWW</t>
  </si>
  <si>
    <t>73600200</t>
  </si>
  <si>
    <t>Project Herentalsebaan</t>
  </si>
  <si>
    <t>WB Deurne</t>
  </si>
  <si>
    <t>73600300</t>
  </si>
  <si>
    <t>Project Oscar De Gruyterlaan</t>
  </si>
  <si>
    <t>WB Linker Oever</t>
  </si>
  <si>
    <t>73600400</t>
  </si>
  <si>
    <t>Project Clementinastraat</t>
  </si>
  <si>
    <t>Passant AWW</t>
  </si>
  <si>
    <t>73600500</t>
  </si>
  <si>
    <t>Project Lange Lozanastraat</t>
  </si>
  <si>
    <t>LL</t>
  </si>
  <si>
    <t>73600600</t>
  </si>
  <si>
    <t>Project Cornelis Schutstraat</t>
  </si>
  <si>
    <t>SD Deurne</t>
  </si>
  <si>
    <t>Kapitaalsubsidie</t>
  </si>
  <si>
    <t>73610000</t>
  </si>
  <si>
    <t>Project Tolstraat</t>
  </si>
  <si>
    <t>JWA</t>
  </si>
  <si>
    <t>73610200</t>
  </si>
  <si>
    <t>Project Herentalsebaan Gebouw</t>
  </si>
  <si>
    <t>73610400</t>
  </si>
  <si>
    <t>Project Dambruggestraat</t>
  </si>
  <si>
    <t>Halm</t>
  </si>
  <si>
    <t>Provincie Antwerpen Kapitaalsubsidie</t>
  </si>
  <si>
    <t>73610500</t>
  </si>
  <si>
    <t>73610600</t>
  </si>
  <si>
    <t>Federaal Impulsfonds</t>
  </si>
  <si>
    <t>73610700</t>
  </si>
  <si>
    <t>Project Paleisstraat</t>
  </si>
  <si>
    <t xml:space="preserve">IVCA </t>
  </si>
  <si>
    <t>VLG Welzijn</t>
  </si>
  <si>
    <t>73700000</t>
  </si>
  <si>
    <t>Subsidieenveloppe AWW</t>
  </si>
  <si>
    <t>VLG</t>
  </si>
  <si>
    <t>73700300</t>
  </si>
  <si>
    <t>Crisisnetwerken</t>
  </si>
  <si>
    <t>Mortsel/Antwerpen</t>
  </si>
  <si>
    <t>73730400</t>
  </si>
  <si>
    <t>Stadsubsidie</t>
  </si>
  <si>
    <t>Opvoedingswinkel Mortsel/Ivca</t>
  </si>
  <si>
    <t>VDAB</t>
  </si>
  <si>
    <t>73730600</t>
  </si>
  <si>
    <t>VLG Werk en Sociale Economie</t>
  </si>
  <si>
    <t>73730700</t>
  </si>
  <si>
    <t>VIAakkoorden</t>
  </si>
  <si>
    <t>OCMW Wommelgem</t>
  </si>
  <si>
    <t>73801400</t>
  </si>
  <si>
    <t>OCMW subsidie Taalfabet</t>
  </si>
  <si>
    <t>Taalfabet</t>
  </si>
  <si>
    <t>Stad Antwerpen</t>
  </si>
  <si>
    <t>73812200</t>
  </si>
  <si>
    <t>Werkingssubsidie</t>
  </si>
  <si>
    <t>Sectoraal Fonds SM</t>
  </si>
  <si>
    <t>73820000</t>
  </si>
  <si>
    <t>Subsidie Sociale Maribel</t>
  </si>
  <si>
    <t>Vluchtelingenwerk Vlaanderen</t>
  </si>
  <si>
    <t>73840200</t>
  </si>
  <si>
    <t>I.O vluchtelingenwerk Vlaanderen</t>
  </si>
  <si>
    <t>PSC Vrouwenwerking</t>
  </si>
  <si>
    <t>Totaal subsidie AWW</t>
  </si>
  <si>
    <t>B</t>
  </si>
  <si>
    <t>GOH</t>
  </si>
  <si>
    <t>73600100</t>
  </si>
  <si>
    <t>Project Domus</t>
  </si>
  <si>
    <t>Domus</t>
  </si>
  <si>
    <t>Passant Hotel</t>
  </si>
  <si>
    <t>Asmodee Hotel</t>
  </si>
  <si>
    <t>73610100</t>
  </si>
  <si>
    <t>73610300</t>
  </si>
  <si>
    <t>Kwekerijstraat</t>
  </si>
  <si>
    <t>73610800</t>
  </si>
  <si>
    <t>Speeltuig</t>
  </si>
  <si>
    <t>Studio's</t>
  </si>
  <si>
    <t>73620000</t>
  </si>
  <si>
    <t>WB Regio</t>
  </si>
  <si>
    <t>Ocmw Antwerpen</t>
  </si>
  <si>
    <t>73809900</t>
  </si>
  <si>
    <t>Huursubsidie</t>
  </si>
  <si>
    <t>Poets</t>
  </si>
  <si>
    <t>Totaal subsidie B</t>
  </si>
  <si>
    <t>Totaal subsidie AWW-Groep</t>
  </si>
  <si>
    <t>73611100</t>
  </si>
  <si>
    <t>I</t>
  </si>
  <si>
    <t>Kapitaal Family Justice Center</t>
  </si>
  <si>
    <t xml:space="preserve">KAPITAALSUBSIDIE FJC                    </t>
  </si>
  <si>
    <t>73620100</t>
  </si>
  <si>
    <t>73611300</t>
  </si>
  <si>
    <t>Fietstaxi</t>
  </si>
  <si>
    <t xml:space="preserve">KAPITAALSUBSIDIE TRAVANT                </t>
  </si>
  <si>
    <t>73620200</t>
  </si>
  <si>
    <t>Totaal Subsidie Eigen Middelen</t>
  </si>
  <si>
    <t>S</t>
  </si>
  <si>
    <t>Gezinscoaches Kinderarmoede</t>
  </si>
  <si>
    <t>73611200</t>
  </si>
  <si>
    <t>Project Willy Vandersteenplein</t>
  </si>
  <si>
    <t>Samik</t>
  </si>
  <si>
    <t>VDAB Speelvijver</t>
  </si>
  <si>
    <t>Speelvijver/PSC/Ivca</t>
  </si>
  <si>
    <t>AFS KAPITAAL PALEISSTRAAT</t>
  </si>
  <si>
    <t xml:space="preserve">IVCA STAD                               </t>
  </si>
  <si>
    <t>73810100</t>
  </si>
  <si>
    <t>Subsidie Top Coaches/SL</t>
  </si>
  <si>
    <t>Top</t>
  </si>
  <si>
    <t>73810300</t>
  </si>
  <si>
    <t>Subsidie coachingprojecten jongeren</t>
  </si>
  <si>
    <t>Kwadraat</t>
  </si>
  <si>
    <t>73810400</t>
  </si>
  <si>
    <t>Subsidie Jeugd Stad</t>
  </si>
  <si>
    <t>Ehbj</t>
  </si>
  <si>
    <t>73810500</t>
  </si>
  <si>
    <t>Subsidie Outreach, Lab, TSHW, Odd/SL</t>
  </si>
  <si>
    <t>Outreach</t>
  </si>
  <si>
    <t>73810700</t>
  </si>
  <si>
    <t>Subsidie Opvoedingswinkel</t>
  </si>
  <si>
    <t>Opvoedingswinkel Antwerpen</t>
  </si>
  <si>
    <t>73810900</t>
  </si>
  <si>
    <t>Subsidie Alternatief/SVPP/sl</t>
  </si>
  <si>
    <t>Alternatief</t>
  </si>
  <si>
    <t>73811000</t>
  </si>
  <si>
    <t>Subsidie Jac Onthaal/SVPP</t>
  </si>
  <si>
    <t>JacOnthaal</t>
  </si>
  <si>
    <t>73811100</t>
  </si>
  <si>
    <t xml:space="preserve">SUBSIDIE PSC </t>
  </si>
  <si>
    <t>PSC Vluchtelingendienst</t>
  </si>
  <si>
    <t>73811300</t>
  </si>
  <si>
    <t>SUBSIDIE Boysproject</t>
  </si>
  <si>
    <t>Boysproject</t>
  </si>
  <si>
    <t>73811400</t>
  </si>
  <si>
    <t>Subsidie IFG Stad</t>
  </si>
  <si>
    <t>IFGcel</t>
  </si>
  <si>
    <t>73811500</t>
  </si>
  <si>
    <t>Subsidie Steenhouwer Stad</t>
  </si>
  <si>
    <t>Steenhouwer</t>
  </si>
  <si>
    <t>73811600</t>
  </si>
  <si>
    <t>SUBSIDIE IVCA</t>
  </si>
  <si>
    <t>IVCA Stad</t>
  </si>
  <si>
    <t>73813700</t>
  </si>
  <si>
    <t>SLIMME WATERMETER STAD</t>
  </si>
  <si>
    <t>73813800</t>
  </si>
  <si>
    <t>REMA STAD</t>
  </si>
  <si>
    <t>73812500</t>
  </si>
  <si>
    <t>Gezinscoach Kinderarmoede</t>
  </si>
  <si>
    <t>73812600</t>
  </si>
  <si>
    <t>Huizen van het Kind de wijk</t>
  </si>
  <si>
    <t>73813300</t>
  </si>
  <si>
    <t>Samik Inloopteam</t>
  </si>
  <si>
    <t>73813500</t>
  </si>
  <si>
    <t>Halte D Stad</t>
  </si>
  <si>
    <t>73813600</t>
  </si>
  <si>
    <t>Ondersteuningsnetwerk Stad</t>
  </si>
  <si>
    <t>Totaal subsidie Stadsprojecten</t>
  </si>
  <si>
    <t>73800100</t>
  </si>
  <si>
    <t>O</t>
  </si>
  <si>
    <t>Subsidie Vaart/SF</t>
  </si>
  <si>
    <t>De Vaart</t>
  </si>
  <si>
    <t>73801800</t>
  </si>
  <si>
    <t>Subsidie Passage</t>
  </si>
  <si>
    <t>Passage</t>
  </si>
  <si>
    <t>73801900</t>
  </si>
  <si>
    <t>Subsidie Travant</t>
  </si>
  <si>
    <t>Travant</t>
  </si>
  <si>
    <t>73802000</t>
  </si>
  <si>
    <t>Subsidie Zorghostel</t>
  </si>
  <si>
    <t>Zorghostel</t>
  </si>
  <si>
    <t>Totaal subsidie Ocmw</t>
  </si>
  <si>
    <t>G</t>
  </si>
  <si>
    <t>73800600</t>
  </si>
  <si>
    <t xml:space="preserve">Subsidie Woonbegeleiding/SF </t>
  </si>
  <si>
    <t xml:space="preserve">WB OCMW </t>
  </si>
  <si>
    <t>73800200</t>
  </si>
  <si>
    <t>Subsidie  Biekorf/SF</t>
  </si>
  <si>
    <t>Biekorf Nachtopvang</t>
  </si>
  <si>
    <t>73801100</t>
  </si>
  <si>
    <t>Subsidie  Winterwerking/SF</t>
  </si>
  <si>
    <t>Dispatching Winterwerking</t>
  </si>
  <si>
    <t>73801300</t>
  </si>
  <si>
    <t>Subsidie Zorgcentrum</t>
  </si>
  <si>
    <t>Zorgcentrum</t>
  </si>
  <si>
    <t>73801700</t>
  </si>
  <si>
    <t>Victor</t>
  </si>
  <si>
    <t>Winterwerking</t>
  </si>
  <si>
    <t>Biekorf</t>
  </si>
  <si>
    <t>73810800</t>
  </si>
  <si>
    <t>Subsidie Woonbegeleiding/SF Stad</t>
  </si>
  <si>
    <t>WB stad</t>
  </si>
  <si>
    <t>Totaal subsidie Gemengd OCMW+Stad</t>
  </si>
  <si>
    <t>Totaal subsidie Lokale overheid</t>
  </si>
  <si>
    <t>J</t>
  </si>
  <si>
    <t>AFS VIPA GROTE STEENWEG</t>
  </si>
  <si>
    <t xml:space="preserve">IZPA                                    </t>
  </si>
  <si>
    <t>VLG Jongerenagentsch</t>
  </si>
  <si>
    <t>73720200</t>
  </si>
  <si>
    <t>Subsidie IZPA</t>
  </si>
  <si>
    <t>IZPA</t>
  </si>
  <si>
    <t>73720000</t>
  </si>
  <si>
    <t>Subsidie Adam /HCA</t>
  </si>
  <si>
    <t>Adam HCA</t>
  </si>
  <si>
    <t>Totaal subsidie VLG Jongerenagentschap</t>
  </si>
  <si>
    <t>Kind en Gezin</t>
  </si>
  <si>
    <t>73710000</t>
  </si>
  <si>
    <t>K</t>
  </si>
  <si>
    <t>Subsidie Inloopcentrum</t>
  </si>
  <si>
    <t>Samik K&amp;G</t>
  </si>
  <si>
    <t>73710100</t>
  </si>
  <si>
    <t>Subsidie CB</t>
  </si>
  <si>
    <t>73710200</t>
  </si>
  <si>
    <t>Subsidie PCB</t>
  </si>
  <si>
    <t>73710500</t>
  </si>
  <si>
    <t>Subsidie K&amp;G Opvoedingswinkel Antwerpen</t>
  </si>
  <si>
    <t>Opvoedingswinkel</t>
  </si>
  <si>
    <t>73710600</t>
  </si>
  <si>
    <t>Subsidie K&amp;G Speelvijver</t>
  </si>
  <si>
    <t>Speelvijver</t>
  </si>
  <si>
    <t>Totaal subsidies Kind&amp;Gezin</t>
  </si>
  <si>
    <t>P</t>
  </si>
  <si>
    <t>Schuldbemiddeling Project</t>
  </si>
  <si>
    <t>73700100</t>
  </si>
  <si>
    <t>Subsidie Schuldbemiddeling</t>
  </si>
  <si>
    <t>73700500</t>
  </si>
  <si>
    <t>Subsidie Cosa</t>
  </si>
  <si>
    <t>Cosa</t>
  </si>
  <si>
    <t>73700700</t>
  </si>
  <si>
    <t>Subsidie Vluchtelingenproject</t>
  </si>
  <si>
    <t>Vluchtelingenproject</t>
  </si>
  <si>
    <t>73701000</t>
  </si>
  <si>
    <t>Subsidie Globaal plan tegen dak- en thuisloosheid</t>
  </si>
  <si>
    <t>Alternatief en Team Stad</t>
  </si>
  <si>
    <t>73701100</t>
  </si>
  <si>
    <t>Subsidie Crisismeldpunt</t>
  </si>
  <si>
    <t>Crisisteam 17/ Transitiecoach 18</t>
  </si>
  <si>
    <t>73720100</t>
  </si>
  <si>
    <t>Jongerenwelzijn crisismeldpunt</t>
  </si>
  <si>
    <t>Crisisteam</t>
  </si>
  <si>
    <t>Totaal subsidie Project Vlaamse Overheid</t>
  </si>
  <si>
    <t>R</t>
  </si>
  <si>
    <t>73700900</t>
  </si>
  <si>
    <t>Subsidie Vrije Tijd in Jonge Vlucht</t>
  </si>
  <si>
    <t>Vrije Tijd in Jonge Vlucht</t>
  </si>
  <si>
    <t>Gemeentes</t>
  </si>
  <si>
    <t>Gemeentesubsidie</t>
  </si>
  <si>
    <t>Provincie Antwerpen</t>
  </si>
  <si>
    <t>73730510</t>
  </si>
  <si>
    <t>ZORG EN NAZORG PROVINCIE</t>
  </si>
  <si>
    <t xml:space="preserve">ZORG EN NAZORG                          </t>
  </si>
  <si>
    <t>73730550</t>
  </si>
  <si>
    <t>SLIMME WATERMETER PROVINCIE</t>
  </si>
  <si>
    <t xml:space="preserve">SLIMME WATERMETER PROVINCIE             </t>
  </si>
  <si>
    <t>73730560</t>
  </si>
  <si>
    <t>WOONWAGENGEZINNEN PROVINCIE</t>
  </si>
  <si>
    <t xml:space="preserve">WOONWAGENGEZINNEN                       </t>
  </si>
  <si>
    <t>73730570</t>
  </si>
  <si>
    <t>ARBEIDSZORG PROVINCIE</t>
  </si>
  <si>
    <t xml:space="preserve">ANA REST                                </t>
  </si>
  <si>
    <t>73730580</t>
  </si>
  <si>
    <t>Divers Sens</t>
  </si>
  <si>
    <t>73730590</t>
  </si>
  <si>
    <t>CO3</t>
  </si>
  <si>
    <t>73730900</t>
  </si>
  <si>
    <t>Popcoach</t>
  </si>
  <si>
    <t>popcoach/Ivca</t>
  </si>
  <si>
    <t>Fedasil</t>
  </si>
  <si>
    <t>73830300</t>
  </si>
  <si>
    <t>Irreguliere Migranten</t>
  </si>
  <si>
    <t>PSC</t>
  </si>
  <si>
    <t>LCB DISTRICT ANTWERPEN</t>
  </si>
  <si>
    <t>73840700</t>
  </si>
  <si>
    <t xml:space="preserve">BIB ELSSCHOT                            </t>
  </si>
  <si>
    <t>KONING BOUDEWIJNSTICHTING</t>
  </si>
  <si>
    <t>73840000</t>
  </si>
  <si>
    <t xml:space="preserve">BABYSITTERS                             </t>
  </si>
  <si>
    <t>73840400</t>
  </si>
  <si>
    <t>ROG</t>
  </si>
  <si>
    <t>Totaal subsidie Rest</t>
  </si>
  <si>
    <t>C</t>
  </si>
  <si>
    <t>Centraal</t>
  </si>
  <si>
    <t>Vlaamse Gemeenschap</t>
  </si>
  <si>
    <t>73700600</t>
  </si>
  <si>
    <t>73820100</t>
  </si>
  <si>
    <t>Educatief Verlof</t>
  </si>
  <si>
    <t>73730300</t>
  </si>
  <si>
    <t>Opleidingssubsidie</t>
  </si>
  <si>
    <t>Totaal subsidie Ondersteunende diensten</t>
  </si>
  <si>
    <t>Naam VZW CAW Antwerpen</t>
  </si>
  <si>
    <t>Resultaat 2018</t>
  </si>
  <si>
    <t>Begroting 2019</t>
  </si>
  <si>
    <t>Project Kwekerijstraat Gebouw</t>
  </si>
  <si>
    <t>ACM Vrouwenwerking</t>
  </si>
  <si>
    <t>Project Speeltuig</t>
  </si>
  <si>
    <t>Passage begeleiding AWW</t>
  </si>
  <si>
    <t>Zijhuis</t>
  </si>
  <si>
    <t>Zijhuis, Passage</t>
  </si>
  <si>
    <t>Herentalsebaan</t>
  </si>
  <si>
    <t>LCB District Antwerpen</t>
  </si>
  <si>
    <t>TRANSPORT</t>
  </si>
  <si>
    <t>Afs Vipa Grote Steenweg</t>
  </si>
  <si>
    <t xml:space="preserve">GEZINSCOACH KINDERARMOEDE               </t>
  </si>
  <si>
    <t>Stad Werkingssubsidie</t>
  </si>
  <si>
    <t>Nieuwe burgers, nieuwe buren Stad</t>
  </si>
  <si>
    <t>Steenhouwer Alternatief Stad</t>
  </si>
  <si>
    <t>BBB Stad</t>
  </si>
  <si>
    <t>Gezondheid in de Wijk</t>
  </si>
  <si>
    <t>WW Dispatch</t>
  </si>
  <si>
    <t>Kompas Jongerenwelzijn</t>
  </si>
  <si>
    <t>Onze jongeren, onze nieuwe burgers VL O</t>
  </si>
  <si>
    <t>GBO Vlinderpaleis Vl O</t>
  </si>
  <si>
    <t>Transitiecoach VL O</t>
  </si>
  <si>
    <t>IFG Project VL O</t>
  </si>
  <si>
    <t>1G, 1P Regio Voor-en Noorderkempen VL O</t>
  </si>
  <si>
    <t>Verbinding Casuistiek IFG</t>
  </si>
  <si>
    <t>Jongerenproject Schoten</t>
  </si>
  <si>
    <t>Gemeente Schoten</t>
  </si>
  <si>
    <t>Bijlage 4 : DETAIL VAN DE 73-REKENINGEN (lijst van subsidies) 2017</t>
  </si>
  <si>
    <t>Naam VZW : CAW Boom Mechelen Lier  Maurits Sabbestraat 119   2800  Mechelen</t>
  </si>
  <si>
    <t>Lidgeld, schenkingen, legaten en subsidies</t>
  </si>
  <si>
    <t>730/731</t>
  </si>
  <si>
    <t>Lidgelden</t>
  </si>
  <si>
    <t>732/733</t>
  </si>
  <si>
    <t>Schenkingen</t>
  </si>
  <si>
    <t>734/735</t>
  </si>
  <si>
    <t>Legaten</t>
  </si>
  <si>
    <t>Werkingssubsidies Vlaamse Overheid</t>
  </si>
  <si>
    <t>Werkingssubsidies Vlaamse Overheid projecten</t>
  </si>
  <si>
    <t>Subsidie preventie uithuiszetting private huisvestingsmarkt</t>
  </si>
  <si>
    <t>Subsidie projecten</t>
  </si>
  <si>
    <t xml:space="preserve">738 
737  
738 </t>
  </si>
  <si>
    <t>Overige werkingssubsidies en werkingstoelagen</t>
  </si>
  <si>
    <t>Activiteitencentrum</t>
  </si>
  <si>
    <t>Bedrag</t>
  </si>
  <si>
    <t>Vlaamse Overheid</t>
  </si>
  <si>
    <t>Loon- en werkingssubsidies</t>
  </si>
  <si>
    <t>Loon- en werkingssubsidies gedetineerden</t>
  </si>
  <si>
    <t>Loon- en werkingssubsidies vluchtelingen schijf 2</t>
  </si>
  <si>
    <t xml:space="preserve">vluchtelingen </t>
  </si>
  <si>
    <t>Loon- en werkingssubsidies vluchtelingen schijf 3</t>
  </si>
  <si>
    <t>Loon- en werkingssubsidies vluchtelingen via CAW Antwerpen</t>
  </si>
  <si>
    <t>Extra middelen instellingsverlaters+ relaties</t>
  </si>
  <si>
    <t>extra middelen IV/REL</t>
  </si>
  <si>
    <t>project "schuldhulpverlening"</t>
  </si>
  <si>
    <t>schuldhulpverlening</t>
  </si>
  <si>
    <t>project preventie uithuiszetting private huisvestingsmarkt"</t>
  </si>
  <si>
    <t>PW privaat</t>
  </si>
  <si>
    <t>Stad Mechelen</t>
  </si>
  <si>
    <t>project "kunst is voor iedereen"</t>
  </si>
  <si>
    <t>Sociale Maribel</t>
  </si>
  <si>
    <t>Loonsubsidies</t>
  </si>
  <si>
    <t>Acute opvang</t>
  </si>
  <si>
    <t>Prov. Acute opvang</t>
  </si>
  <si>
    <t>KBS</t>
  </si>
  <si>
    <t>OVERKOP</t>
  </si>
  <si>
    <t>Overkop</t>
  </si>
  <si>
    <t>OCMW Mechelen</t>
  </si>
  <si>
    <t>Werking Crisisinterventiecentrum</t>
  </si>
  <si>
    <t>Werking Winteropvang</t>
  </si>
  <si>
    <t>Gemeente Willebroek</t>
  </si>
  <si>
    <t>Algemene werking</t>
  </si>
  <si>
    <t>Gemeente Heist-op-den-Berg</t>
  </si>
  <si>
    <t xml:space="preserve">Toelage VSPF </t>
  </si>
  <si>
    <t>VIA 3+ VIA 4</t>
  </si>
  <si>
    <t>Bijlage 4 : DETAIL VAN DE 73-REKENINGEN (lijst van subsidies) 2018</t>
  </si>
  <si>
    <t>Subsidies WGC</t>
  </si>
  <si>
    <t>Werkingssubsidies Vlaamse Overheid schuldhulpverlening</t>
  </si>
  <si>
    <t>Loon- en werkingssubsidies (regulier)</t>
  </si>
  <si>
    <t>Extra middelen niet-toeleidbaren</t>
  </si>
  <si>
    <t>extra middelen GBO</t>
  </si>
  <si>
    <t>Extra middelen 0,75 VTE herstelgericht werken FG</t>
  </si>
  <si>
    <t>extra middelen FG</t>
  </si>
  <si>
    <t>Subsidies WGC Willebroek</t>
  </si>
  <si>
    <t xml:space="preserve">WGC </t>
  </si>
  <si>
    <t>Sociaal huis Mechelen</t>
  </si>
  <si>
    <t>Werking Acute Opvang samenwerkingsovereenkomst</t>
  </si>
  <si>
    <t>Acute Opvang</t>
  </si>
  <si>
    <t>Werking Acute Opvang tussenkomst huur</t>
  </si>
  <si>
    <t>VIVO</t>
  </si>
  <si>
    <t>vormingsbudget</t>
  </si>
  <si>
    <t>Bijlage 4: DETAIL VAN DE 73-REKENINGEN (lijst van subsidies)</t>
  </si>
  <si>
    <t>Naam VZW: CAW Brussel vzw</t>
  </si>
  <si>
    <t>VG</t>
  </si>
  <si>
    <t>Enveloppe-subsidie</t>
  </si>
  <si>
    <t>Schuldbemiddeling</t>
  </si>
  <si>
    <t>Stop it now!</t>
  </si>
  <si>
    <t>Globaal plan dak- &amp; thuislozen</t>
  </si>
  <si>
    <t>Globaal plan dak- thuisl</t>
  </si>
  <si>
    <t>Relatie- &amp; scheidingsproblemen</t>
  </si>
  <si>
    <t>Relatie- &amp; scheidingsprob</t>
  </si>
  <si>
    <t>Vluchtelingen</t>
  </si>
  <si>
    <t>Toegang jeugdhulp</t>
  </si>
  <si>
    <t>Toegang jeughulp</t>
  </si>
  <si>
    <t>Actiris</t>
  </si>
  <si>
    <t>Diversiteitsplan</t>
  </si>
  <si>
    <t>Actiris diversiteitsplan</t>
  </si>
  <si>
    <t>Innoviris</t>
  </si>
  <si>
    <t>SWOT mobiel</t>
  </si>
  <si>
    <t>Innoviris SWOT mobiel</t>
  </si>
  <si>
    <t>VGC</t>
  </si>
  <si>
    <t xml:space="preserve">VGC + VGC SF </t>
  </si>
  <si>
    <t>VGC + VGC SF + Hobo</t>
  </si>
  <si>
    <t>Kind &amp; Gezin</t>
  </si>
  <si>
    <t>Rode Kruis</t>
  </si>
  <si>
    <t>Winteropvang</t>
  </si>
  <si>
    <t>Crisismeldpunt</t>
  </si>
  <si>
    <t>VGC crisismeldpunt</t>
  </si>
  <si>
    <t>In resultaatname investeringssubsidies</t>
  </si>
  <si>
    <t>VIA 3+4 - VSPF</t>
  </si>
  <si>
    <t>GECO-premies</t>
  </si>
  <si>
    <t>DSP-premies</t>
  </si>
  <si>
    <t>Actiris-partnership Hobo</t>
  </si>
  <si>
    <t>VIVO-toelagen</t>
  </si>
  <si>
    <t>VOHI-toelagen</t>
  </si>
  <si>
    <t>Naam VZW: CAW Centraal-West-Vlaanderen VZW</t>
  </si>
  <si>
    <t xml:space="preserve">VIPA </t>
  </si>
  <si>
    <t xml:space="preserve">kap subs maloulaan </t>
  </si>
  <si>
    <t xml:space="preserve">kap subs Maloulaan verbouwing </t>
  </si>
  <si>
    <t xml:space="preserve">rotary </t>
  </si>
  <si>
    <t xml:space="preserve">kap subs Lombaardstraat verbouwing </t>
  </si>
  <si>
    <t xml:space="preserve">deeram </t>
  </si>
  <si>
    <t xml:space="preserve">kap subs Brugseweg </t>
  </si>
  <si>
    <t xml:space="preserve">kindergeluk </t>
  </si>
  <si>
    <t xml:space="preserve">kap subs </t>
  </si>
  <si>
    <t xml:space="preserve">kap subs Nijverheidsstraat </t>
  </si>
  <si>
    <t>kap sub Krekelstraat</t>
  </si>
  <si>
    <t xml:space="preserve">giften </t>
  </si>
  <si>
    <t xml:space="preserve">kap subs Roeselare </t>
  </si>
  <si>
    <t>werkingssubsidie basisenveloppe</t>
  </si>
  <si>
    <t>werkingssubsidie relatie- en scheidingsproblematiek</t>
  </si>
  <si>
    <t>Relatie-scheiding</t>
  </si>
  <si>
    <t>werkingssubsidie schuldhulpverlening BIZ</t>
  </si>
  <si>
    <t>Schuldhulp BIZ</t>
  </si>
  <si>
    <t>werkingssubsidie schuldhulpverlening BIZ (overdracht 2016)</t>
  </si>
  <si>
    <t>werkingssubsidie schuldhulpverlening BIZ (overdracht 2014)</t>
  </si>
  <si>
    <t>Provincie West-Vlaanderen</t>
  </si>
  <si>
    <t>werkingssubsidie Impuls (Z)Onderdak</t>
  </si>
  <si>
    <t>Z Onderdak Impuls</t>
  </si>
  <si>
    <t>CAW Centraal-West-Vlaanderen</t>
  </si>
  <si>
    <t>werkingssubsidie Impuls (Z)Onderdak (eigen bijdrage)</t>
  </si>
  <si>
    <t>werkingssubsidie Vluchtelingen</t>
  </si>
  <si>
    <t>werkingssubsidie Instellingsverlaters</t>
  </si>
  <si>
    <t>Instellingsverlaters</t>
  </si>
  <si>
    <t>toelage Crisisnetwerk</t>
  </si>
  <si>
    <t>Gemeenten en OCMW's</t>
  </si>
  <si>
    <t>werkingstoelagen</t>
  </si>
  <si>
    <t>Fonds Sociale Maribel</t>
  </si>
  <si>
    <t>Sociale maribel</t>
  </si>
  <si>
    <t>VIVO/Icoba</t>
  </si>
  <si>
    <t>subsidie vorming</t>
  </si>
  <si>
    <t>Stad Roeselare</t>
  </si>
  <si>
    <t>MSOC</t>
  </si>
  <si>
    <t>Huisartsen Midden-West-Vlaanderen</t>
  </si>
  <si>
    <t>toelage ELP Roeselare</t>
  </si>
  <si>
    <t>ELP</t>
  </si>
  <si>
    <t>Naam VZW: CAW Centraal-West-Vlaanderen</t>
  </si>
  <si>
    <t>werkingssubsidie 1G1P MidWest</t>
  </si>
  <si>
    <t>1G1P MidWest</t>
  </si>
  <si>
    <t>werkingssubsidie 1G1P Westhoek</t>
  </si>
  <si>
    <t>1G1P Westhoek</t>
  </si>
  <si>
    <t>Koala De Living</t>
  </si>
  <si>
    <t>Koala</t>
  </si>
  <si>
    <t>toelage lokale besturen crisisnetwerk Midwest</t>
  </si>
  <si>
    <t>Leader</t>
  </si>
  <si>
    <t>werkingssubsidie (T)huis op het platteland</t>
  </si>
  <si>
    <t>ESF &amp; VCF</t>
  </si>
  <si>
    <t>436 - Werkbaar werk - duurzaam loopbaanbeleid</t>
  </si>
  <si>
    <t>ESF</t>
  </si>
  <si>
    <t>Naam VZW CAW DeKempen</t>
  </si>
  <si>
    <t>736
737
738</t>
  </si>
  <si>
    <t>Kapitaal- en intrestsubsidies
Werkingssubsides Vlaamse Overheid
Overige werkingssubsidies en werkingstoelagen</t>
  </si>
  <si>
    <t>Enveloppe 2017</t>
  </si>
  <si>
    <t>toelage</t>
  </si>
  <si>
    <t>VIPA</t>
  </si>
  <si>
    <t>Project Vluchtelingen</t>
  </si>
  <si>
    <t>Stad Turnhout</t>
  </si>
  <si>
    <t>Convenant</t>
  </si>
  <si>
    <t>Project Straathoekwerk</t>
  </si>
  <si>
    <t>Welzijnscampus Turnhout</t>
  </si>
  <si>
    <t>Welzijnscampus turnhout</t>
  </si>
  <si>
    <t>Schulbemiddeling</t>
  </si>
  <si>
    <t>Provincie – CGG De Pont</t>
  </si>
  <si>
    <t>Project Time Out</t>
  </si>
  <si>
    <t>FOD justitie</t>
  </si>
  <si>
    <t>Globaal Plan</t>
  </si>
  <si>
    <t>OCMW Mol</t>
  </si>
  <si>
    <t>Project Drughulpverlening</t>
  </si>
  <si>
    <t>Drughulp Mol</t>
  </si>
  <si>
    <t>OCMW Balen</t>
  </si>
  <si>
    <t>Project Thuisbegeleiding</t>
  </si>
  <si>
    <t>Project Thuisbegeleiding Balen</t>
  </si>
  <si>
    <t>DLDW</t>
  </si>
  <si>
    <t>Tewerkstelling jongeren</t>
  </si>
  <si>
    <t>Project Administratie</t>
  </si>
  <si>
    <t>Welzijnszorg Kempen</t>
  </si>
  <si>
    <t>Bijdrage crisisopvang</t>
  </si>
  <si>
    <t>Project Crisisteam</t>
  </si>
  <si>
    <t>Project ELP</t>
  </si>
  <si>
    <t>OCMW Geel</t>
  </si>
  <si>
    <t>JAC werking</t>
  </si>
  <si>
    <t>JAC Geel</t>
  </si>
  <si>
    <t>Project Thuisbegeleiding Mol</t>
  </si>
  <si>
    <t>OCMW Turnhout</t>
  </si>
  <si>
    <t>Stad Hoogstraten</t>
  </si>
  <si>
    <t>JAC Hoogstraten</t>
  </si>
  <si>
    <t>Gl. Plan dak- en thuislozen</t>
  </si>
  <si>
    <t>Project verslaving</t>
  </si>
  <si>
    <t>Project Verslaving</t>
  </si>
  <si>
    <t>Project Ervaringsdragers</t>
  </si>
  <si>
    <t>Project Family Justice Center (IFG)</t>
  </si>
  <si>
    <t>Project IFG</t>
  </si>
  <si>
    <t>Opvoedingsondersteuning</t>
  </si>
  <si>
    <t>Gemeente Mol</t>
  </si>
  <si>
    <t>JAC Mol</t>
  </si>
  <si>
    <t>Project ILC</t>
  </si>
  <si>
    <t>PWA Turnhout</t>
  </si>
  <si>
    <t>Toelage</t>
  </si>
  <si>
    <t>Convenant Impuls woonbegeleiding</t>
  </si>
  <si>
    <t>Rode Neuzen Fonds</t>
  </si>
  <si>
    <t>Stad Herentals</t>
  </si>
  <si>
    <t>huisvesting onthaal en begeleiding</t>
  </si>
  <si>
    <t>Oever</t>
  </si>
  <si>
    <t>toelage drugverslaving</t>
  </si>
  <si>
    <t>Drughulp Baldemore</t>
  </si>
  <si>
    <t>JRC</t>
  </si>
  <si>
    <t>Project JRC</t>
  </si>
  <si>
    <t>Peterschap Vluchtingen</t>
  </si>
  <si>
    <t>Preventie Uithuiszetting</t>
  </si>
  <si>
    <t>VOP</t>
  </si>
  <si>
    <t>Tewerkstellingsmaatregel</t>
  </si>
  <si>
    <t>OCMW Retie</t>
  </si>
  <si>
    <t>OCMW Dessel</t>
  </si>
  <si>
    <t>FMS 319</t>
  </si>
  <si>
    <t>Begeleidingspremie</t>
  </si>
  <si>
    <t>OCMW Herentals</t>
  </si>
  <si>
    <t>Steunraad Antwerpen</t>
  </si>
  <si>
    <t>Diverse Gemeenten</t>
  </si>
  <si>
    <t>Toelagen</t>
  </si>
  <si>
    <t>Convenant MSOC</t>
  </si>
  <si>
    <t>Theaterproject 2016</t>
  </si>
  <si>
    <t>Slachtofferwerking</t>
  </si>
  <si>
    <t>crisis 2de sem 2016</t>
  </si>
  <si>
    <t>Music for Live</t>
  </si>
  <si>
    <t>Kapitaalsubsidie VIPA De Goede Plek</t>
  </si>
  <si>
    <t>Kapitaalsubsidie VIPA Hofkwartier</t>
  </si>
  <si>
    <t>Kapitaalsubs. VIPA ILC Herentals 1ste 10 jaar 4,32%</t>
  </si>
  <si>
    <t>Kapitaalsubs. VIPA Welzijnscampus Turnhout</t>
  </si>
  <si>
    <t>Kapitaalsubsidie KBS De Goede  Plek</t>
  </si>
  <si>
    <t>Kapitaalsubsidie Provincie Hofkwartier</t>
  </si>
  <si>
    <t>Kapitaalsub. Stad Herentals 1ste 10 j 4.32%</t>
  </si>
  <si>
    <t>Enveloppe 2018</t>
  </si>
  <si>
    <t>sub/incentives/2017</t>
  </si>
  <si>
    <t>Globaal Plan thuisloosheid jongeren</t>
  </si>
  <si>
    <t>Globaal Plan thuisloosheid jonger</t>
  </si>
  <si>
    <t>Coördinatiefunctie</t>
  </si>
  <si>
    <t>Project trefplaats werf 1</t>
  </si>
  <si>
    <t>Ketenaanpak</t>
  </si>
  <si>
    <t>Project Ketenaanpak</t>
  </si>
  <si>
    <t xml:space="preserve">Crisis  </t>
  </si>
  <si>
    <t>Werf 1</t>
  </si>
  <si>
    <t>Project Werf 1</t>
  </si>
  <si>
    <t>Project Vluchtelingen ESF</t>
  </si>
  <si>
    <t>FOD Justitie</t>
  </si>
  <si>
    <t>Globaal Plan Justitie</t>
  </si>
  <si>
    <t>AGM Turnhout</t>
  </si>
  <si>
    <t>FJC overdracht 17</t>
  </si>
  <si>
    <t>FJC</t>
  </si>
  <si>
    <t>Fedasil - Wortels voor toekomst OC Arendonk</t>
  </si>
  <si>
    <t>Project JAC Geel</t>
  </si>
  <si>
    <t>Project JAC Mol</t>
  </si>
  <si>
    <t>Oud-Turnhout</t>
  </si>
  <si>
    <t>Oud Turnhout toelage</t>
  </si>
  <si>
    <t>Baarle-Hertog</t>
  </si>
  <si>
    <t>Baarle Hertog toelage</t>
  </si>
  <si>
    <t>Project Drughulp Mol</t>
  </si>
  <si>
    <t>Gemeente Arendonk</t>
  </si>
  <si>
    <t>Arendonk toelage</t>
  </si>
  <si>
    <t>Gemeente Balen</t>
  </si>
  <si>
    <t>Gemeente Balen toelage</t>
  </si>
  <si>
    <t>Huisvesting</t>
  </si>
  <si>
    <t>Project Achtergestelden</t>
  </si>
  <si>
    <t>Beschut Wonen Kempen vzw</t>
  </si>
  <si>
    <t>Project Beschut Wonen Kempen</t>
  </si>
  <si>
    <t>Stad Herentals toelage JAC</t>
  </si>
  <si>
    <t>Stad Herentals toelage slachtofferhulp</t>
  </si>
  <si>
    <t>AGM Mol</t>
  </si>
  <si>
    <t>Toelage Huisvesting</t>
  </si>
  <si>
    <t>Stad Hoogstraten toelage JAC</t>
  </si>
  <si>
    <t>vier Gemeenten</t>
  </si>
  <si>
    <t>Project BaDeMoRe</t>
  </si>
  <si>
    <t>Convenant Stad Turnhout</t>
  </si>
  <si>
    <t>Stad Turnhout toelage Welzijnsonthaal</t>
  </si>
  <si>
    <t>Toelage straathoekwerk 2018</t>
  </si>
  <si>
    <t>Toelage drugproject 2018</t>
  </si>
  <si>
    <t>Toelage De Lange Gaank 2018</t>
  </si>
  <si>
    <t>Toelage woonbegeleiding 2018</t>
  </si>
  <si>
    <t>Project Woonbegeleiding Turnhout</t>
  </si>
  <si>
    <t>Convenant OCMW Turnhout</t>
  </si>
  <si>
    <t>Convenant 2018 ocmw Turnhout convenant 2018</t>
  </si>
  <si>
    <t>Toelage crisis Welzijnszorg Kempen</t>
  </si>
  <si>
    <t>Toelage K&amp;G opvoedingswinkel</t>
  </si>
  <si>
    <t>VIA 3 &amp; 4 sociale maribel</t>
  </si>
  <si>
    <t>DLDW project administratie</t>
  </si>
  <si>
    <t>KBS music for life 2017</t>
  </si>
  <si>
    <t>Europese Commissie</t>
  </si>
  <si>
    <t>TOTAAL</t>
  </si>
  <si>
    <t>Naam VZW: CAW Halle-Vilvoorde</t>
  </si>
  <si>
    <t xml:space="preserve"> </t>
  </si>
  <si>
    <t>OCMW Grimbergen</t>
  </si>
  <si>
    <t>urencontignent 2017</t>
  </si>
  <si>
    <t>bijdrage werkingskosten idem dito</t>
  </si>
  <si>
    <t>Sociale Winkel</t>
  </si>
  <si>
    <t>OCMW Zaventem</t>
  </si>
  <si>
    <t>Subs OCMW Zaventem-Vluchtelingencrisis 2017</t>
  </si>
  <si>
    <t>CMW Zemst</t>
  </si>
  <si>
    <t>Subs OCMW Zemst - ILC Zemst - 15/5 tem 31/12/17</t>
  </si>
  <si>
    <t>Provincie Vlaams-Brabant</t>
  </si>
  <si>
    <t>subsidiëren activiteiten Dag van de armoede</t>
  </si>
  <si>
    <t>Kapitaalsubsidie Mechelsesteenweg Vilvoorde</t>
  </si>
  <si>
    <t>Vlaamse Overheid en Sociale Winkel</t>
  </si>
  <si>
    <t>Kapitaalsubsidie socale campus Halle</t>
  </si>
  <si>
    <t>Sectoraal Fonds Sociale Maribel</t>
  </si>
  <si>
    <t>loonsubsidiëring tewerkstelling sociale maribel</t>
  </si>
  <si>
    <t>Stad Halle</t>
  </si>
  <si>
    <t>kapitaalsubsidie Nederhem</t>
  </si>
  <si>
    <t>Gemeente Asse</t>
  </si>
  <si>
    <t>Asse proper</t>
  </si>
  <si>
    <t>Gemeente Hoeilaart</t>
  </si>
  <si>
    <t>Toelage onthaal</t>
  </si>
  <si>
    <t>Stadsbestuur Vilvoorde</t>
  </si>
  <si>
    <t>Jaarlijke werkingssubsidie</t>
  </si>
  <si>
    <t>Kapitaalsubsidie Sociale Kruidenier</t>
  </si>
  <si>
    <t>toelagen Vivo/Icoba</t>
  </si>
  <si>
    <t>tussenkomst onkosten vorming/opleiding</t>
  </si>
  <si>
    <t>Unitef fund</t>
  </si>
  <si>
    <t>investeringssubsidie for Transit</t>
  </si>
  <si>
    <t xml:space="preserve">Vlaams Infrastructuurfonds </t>
  </si>
  <si>
    <t>Kapitaalsubsidie project Zellik</t>
  </si>
  <si>
    <t>Vlaamse overheid</t>
  </si>
  <si>
    <t xml:space="preserve">Subsidie interactief therater </t>
  </si>
  <si>
    <t>Schuldpreventie</t>
  </si>
  <si>
    <t>Subsidie Schuldhulpverlening</t>
  </si>
  <si>
    <t>Werkingsmiddelen enveloppe 2017</t>
  </si>
  <si>
    <t>subsidie hulpverlening vluchtelingen</t>
  </si>
  <si>
    <t>Subsudie éénmaking crisismeldpunten</t>
  </si>
  <si>
    <t>subsidie versterking cmp</t>
  </si>
  <si>
    <t>CMP</t>
  </si>
  <si>
    <t>Projectmiddellen instellingsverlaters</t>
  </si>
  <si>
    <t>Instellingsverlaters, Dak- en thuisloosheid</t>
  </si>
  <si>
    <t>projectmiddelen relaties</t>
  </si>
  <si>
    <t>Relaties</t>
  </si>
  <si>
    <t>Cera</t>
  </si>
  <si>
    <t xml:space="preserve">Subs Cera - Algemene preventie Stress bij Jongeren </t>
  </si>
  <si>
    <t>Subs Cera - Algemene preventie Stress bij Jongeren</t>
  </si>
  <si>
    <t>OCMW Zemst</t>
  </si>
  <si>
    <t xml:space="preserve">Subs OCMW Zemst - ILC Zemst </t>
  </si>
  <si>
    <t>Urencontignent 2018</t>
  </si>
  <si>
    <t>Bijdrage werkingskosten idem dito</t>
  </si>
  <si>
    <t>Subs OCMW Zaventem-Vluchtelingencrisis 2018</t>
  </si>
  <si>
    <t>Loonsubsidiëring tewerkstelling sociale maribel</t>
  </si>
  <si>
    <t>Kapitaalsubsidie Nederhem</t>
  </si>
  <si>
    <t>Jaarlijkse werkingssubsidie</t>
  </si>
  <si>
    <t xml:space="preserve">Nationale Loterij </t>
  </si>
  <si>
    <t>Toelagen Vivo/Icoba</t>
  </si>
  <si>
    <t>Tussenkomst onkosten vorming/opleiding</t>
  </si>
  <si>
    <t>United fund</t>
  </si>
  <si>
    <t>Investeringssubsidie for Transit</t>
  </si>
  <si>
    <t>Werkingsmiddelen enveloppe 2018</t>
  </si>
  <si>
    <t>Onthaaltraject voor mensen met een advies niet toeleidbaar ikv GBO</t>
  </si>
  <si>
    <t>Subsidie versterking cmp</t>
  </si>
  <si>
    <t>Subsidie 1G1P (één gezin, één plan)</t>
  </si>
  <si>
    <t>1G1P</t>
  </si>
  <si>
    <t>Projectmiddelen relaties</t>
  </si>
  <si>
    <t>Relaties- en scheidingsproblemen</t>
  </si>
  <si>
    <t>Welzijnszorg</t>
  </si>
  <si>
    <t>BHC Welzijnszorg</t>
  </si>
  <si>
    <t>Bijlage 4: DETAIL VAN DE 73-REKENINGEN (lijst van subsidies) 2017</t>
  </si>
  <si>
    <t>Naam VZW: CAW Limburg</t>
  </si>
  <si>
    <t xml:space="preserve">Vlaamse Overheid </t>
  </si>
  <si>
    <t>Kapitaalsubsidies</t>
  </si>
  <si>
    <t>Reguliere subsidie AW 41.7 34.04</t>
  </si>
  <si>
    <t>Subsidie Sectoraal Fonds</t>
  </si>
  <si>
    <t>Toelage werking</t>
  </si>
  <si>
    <t>Gemeente Alken</t>
  </si>
  <si>
    <t>Gemeente Neerpelt</t>
  </si>
  <si>
    <t>Gemeente Houthalen-Helchteren</t>
  </si>
  <si>
    <t>Gemeente Overpelt</t>
  </si>
  <si>
    <t>Gemeente Tessenderlo</t>
  </si>
  <si>
    <t>Cordium</t>
  </si>
  <si>
    <t>Stad  Hasselt</t>
  </si>
  <si>
    <t>IOM</t>
  </si>
  <si>
    <t>Reab dossiers</t>
  </si>
  <si>
    <t>Loonsubsidie</t>
  </si>
  <si>
    <t>Sociale Maribel éénmalig</t>
  </si>
  <si>
    <t>Subsidie VDAB (VOP)</t>
  </si>
  <si>
    <t>OCMW Tongeren</t>
  </si>
  <si>
    <t>Koning Boudewijnstichting</t>
  </si>
  <si>
    <t>Rimo</t>
  </si>
  <si>
    <t>OCMW Hasselt</t>
  </si>
  <si>
    <t>CAW Oost-Vlaanderen</t>
  </si>
  <si>
    <t>Project "Kind en gezin"</t>
  </si>
  <si>
    <t>Project "Crisisjeugdhulpverlening"</t>
  </si>
  <si>
    <t>CGG</t>
  </si>
  <si>
    <t>PZ Asster</t>
  </si>
  <si>
    <t>Project "Dak-thuisloosheid - Preventie en Housing First"</t>
  </si>
  <si>
    <t>Dak-thuisloosheid Prev HF</t>
  </si>
  <si>
    <t>Project "Dak-thuisloosheid - Instellingsverlaters"</t>
  </si>
  <si>
    <t>Dak-thuisloosheid Instellingsverl</t>
  </si>
  <si>
    <t>Project "Vluchtelingen"</t>
  </si>
  <si>
    <t>Project "Schuldhulpverlening"</t>
  </si>
  <si>
    <t>Schuldhulpverlening</t>
  </si>
  <si>
    <t>Project "Relatie-en scheidingsproblemen - kinderen uit de knel"</t>
  </si>
  <si>
    <t>Relatie-en scheidingsproblemen</t>
  </si>
  <si>
    <t>Project "Versterking van het crisismeldpunt"</t>
  </si>
  <si>
    <t>Versterking vh crisismeldpunt</t>
  </si>
  <si>
    <t>OCMW + Politiezone St-Truiden</t>
  </si>
  <si>
    <t>Project "Outreachend werken"</t>
  </si>
  <si>
    <t xml:space="preserve">Outreachend werken </t>
  </si>
  <si>
    <t>OCMW Heusden-Zolder</t>
  </si>
  <si>
    <t>Project "GRW" + werkingskost en gebouw ten laste van OCMW</t>
  </si>
  <si>
    <t xml:space="preserve">OCMW's  </t>
  </si>
  <si>
    <t>Noodopvang</t>
  </si>
  <si>
    <t>OCMW + Veiligheidshuis Genk</t>
  </si>
  <si>
    <t>Project "Winterdagopvang"</t>
  </si>
  <si>
    <t>OCMW Genk</t>
  </si>
  <si>
    <t>Project "Integrale woonbegeleiding"</t>
  </si>
  <si>
    <t>OCMW Dilsen-Stokkem</t>
  </si>
  <si>
    <t>OCMW Dilsen-Stokkem "Preventieve Woonbegeleiding"</t>
  </si>
  <si>
    <t>OCMW Bilzen</t>
  </si>
  <si>
    <t>Project "Integrale Woonbegeleiding"</t>
  </si>
  <si>
    <t>Europese Unie</t>
  </si>
  <si>
    <t>Project "Swift"</t>
  </si>
  <si>
    <t>Swift</t>
  </si>
  <si>
    <t>Project "Integrale begeleiding"</t>
  </si>
  <si>
    <t>Gelijke Kansen - Rosettabaan</t>
  </si>
  <si>
    <t>Subsidie startbaan in kader van partnergeweld</t>
  </si>
  <si>
    <t>Rosettabaan</t>
  </si>
  <si>
    <t>OPZC Rekem</t>
  </si>
  <si>
    <t>Project "Woonbegeleiding ex-gedetineerden"</t>
  </si>
  <si>
    <t>vzw De Sfeer</t>
  </si>
  <si>
    <t xml:space="preserve">Project "Ontmoetingshuis Genk" +werking/gebouw ten laste vanSfeer </t>
  </si>
  <si>
    <t>Ontmoetingshuis Genk</t>
  </si>
  <si>
    <t>LPV</t>
  </si>
  <si>
    <t>LPV Vluchtelingen</t>
  </si>
  <si>
    <t>Project "Overkop huis"</t>
  </si>
  <si>
    <t>Overkop huis</t>
  </si>
  <si>
    <t>OCMW Neerpelt/Overpelt</t>
  </si>
  <si>
    <t>Project "Dedicted teams Neerpelt/Overpelt" + gratis gebouw</t>
  </si>
  <si>
    <t>OCMW Sint-Truiden</t>
  </si>
  <si>
    <t>Project "Dedicted teams Sint-Truiden"</t>
  </si>
  <si>
    <t>Gemeente Beringen-Heusden</t>
  </si>
  <si>
    <t>Project "Vluchtelingen buddy's"</t>
  </si>
  <si>
    <t>Buddy's Beringen-Heusden Zolder</t>
  </si>
  <si>
    <t>Gemeente Sint-Truiden</t>
  </si>
  <si>
    <t>Buddy's Sint-Truiden</t>
  </si>
  <si>
    <t>Gemeente Hechtel-Eksel</t>
  </si>
  <si>
    <t>Buddy's Hechtel-Eksel</t>
  </si>
  <si>
    <t>Buddy's Hasselt</t>
  </si>
  <si>
    <t>Bijlage 4: DETAIL VAN DE 73-REKENINGEN (lijst van subsidies) 2018</t>
  </si>
  <si>
    <t>Reguliere subsidie</t>
  </si>
  <si>
    <t>Reguliere subsidie LISS</t>
  </si>
  <si>
    <t>Project "Activering"</t>
  </si>
  <si>
    <t>PZ Asster Ligant</t>
  </si>
  <si>
    <t>Project "schuldhulpverleingsmethofiek"</t>
  </si>
  <si>
    <t>Project "Vreemdelingenrecht"</t>
  </si>
  <si>
    <t>Vreemdelingenrecht</t>
  </si>
  <si>
    <t>Project "Integrale woogeleiding"</t>
  </si>
  <si>
    <t>OCMW Alken</t>
  </si>
  <si>
    <t>Buddy's Alken</t>
  </si>
  <si>
    <t>Buddy's Bilzen</t>
  </si>
  <si>
    <t>OCMW Bocholt</t>
  </si>
  <si>
    <t>Buddy's Bocholt</t>
  </si>
  <si>
    <t>Project "Buiten de muren"</t>
  </si>
  <si>
    <t>Mama's buiten de muren</t>
  </si>
  <si>
    <t>Jeugd Bruggenbouwers</t>
  </si>
  <si>
    <t>Departement cultuur, jeugd en mens</t>
  </si>
  <si>
    <t>Gemeente Bree</t>
  </si>
  <si>
    <t>Rondhangen</t>
  </si>
  <si>
    <t>Gemeente Genk</t>
  </si>
  <si>
    <t>Detachering</t>
  </si>
  <si>
    <t>Gem Hamont-Achel-Neerpelt</t>
  </si>
  <si>
    <t>Straathoekwerk</t>
  </si>
  <si>
    <t>Stad Silsen-Stokkem</t>
  </si>
  <si>
    <t>Gemeente Hasselt</t>
  </si>
  <si>
    <t>Gemeente Lanaken</t>
  </si>
  <si>
    <t>Gemeente Leopoldsburg</t>
  </si>
  <si>
    <t>Gem Maasmechelen-Neerpelt</t>
  </si>
  <si>
    <t>Gemeente Meeuwen-Gruitrode</t>
  </si>
  <si>
    <t>Gemeente Riemst</t>
  </si>
  <si>
    <t>Gemeente Tongeren</t>
  </si>
  <si>
    <t>CAD</t>
  </si>
  <si>
    <t>Teamcoching CAD team Liss</t>
  </si>
  <si>
    <t>Vorming en sprekers Liss</t>
  </si>
  <si>
    <t xml:space="preserve">Naam VZW: CAW NOORD-WEST-VLAANDEREN </t>
  </si>
  <si>
    <t>R736105 VIPA 33j</t>
  </si>
  <si>
    <t>De Poort VIPA Vlamingdam 2005</t>
  </si>
  <si>
    <t>R736110 VIPA Ruddershove</t>
  </si>
  <si>
    <t>CAW Noord-West-Vlaanderen Ruddershove 8 Brugge 2017</t>
  </si>
  <si>
    <t>R736120 Fondsenwerving o.a. Stad Brugge, Provincie</t>
  </si>
  <si>
    <t>De Poort De Boot ARMA 2009</t>
  </si>
  <si>
    <t>Project 't Salon</t>
  </si>
  <si>
    <t>R736400 Vlaamse Overheid</t>
  </si>
  <si>
    <t>De Poort Kapitaalsubs De Brug 2009</t>
  </si>
  <si>
    <t>R736500 Vlaamse Overheid</t>
  </si>
  <si>
    <t>Oostende Kapitaalsubs Gentstraat</t>
  </si>
  <si>
    <t>R736600 Vlaamse Overheid</t>
  </si>
  <si>
    <t>Oostende Kapitaalsubs Passchijnstraat</t>
  </si>
  <si>
    <t>R737000 Vlaamse Overheid</t>
  </si>
  <si>
    <t>Loon- en Werkingskosten 1° tem 4°schijf</t>
  </si>
  <si>
    <t>R737003 Vlaamse Overheid</t>
  </si>
  <si>
    <t>Subs Vl Gem - Crisisjeugdhulpverlening IJH</t>
  </si>
  <si>
    <t>R737004 Vlaamse Overheid</t>
  </si>
  <si>
    <t>Subs Vl Gem Budget in Zicht</t>
  </si>
  <si>
    <t>Project Budget In Zicht</t>
  </si>
  <si>
    <t>R737005 Vlaamse Overheid</t>
  </si>
  <si>
    <t>Subs Vl Gem Jongerenwelzijn</t>
  </si>
  <si>
    <t>Jeugdzorg</t>
  </si>
  <si>
    <t>R737006 Vlaamse Overheid</t>
  </si>
  <si>
    <t>Subs Vl Gem Jongerenwelzijn extra kosten BZW</t>
  </si>
  <si>
    <t>R737008 Vlaamse Overheid</t>
  </si>
  <si>
    <t>Subs Vl Gem Project vluchtelingen</t>
  </si>
  <si>
    <t>R737009 Vlaamse Overheid</t>
  </si>
  <si>
    <t>Subs Vl Gem Globaal Plan tegen Dak- en Thuisloosheid</t>
  </si>
  <si>
    <t>R737010 Vlaamse Overheid</t>
  </si>
  <si>
    <t>Subs Vl Gem Jongerenwelzijn Uitbreiding Crisishulp minderjarigen</t>
  </si>
  <si>
    <t>R737011 Vlaamse Overheid</t>
  </si>
  <si>
    <t>Subs Vl Gem Kinderen Uit de Knel</t>
  </si>
  <si>
    <t>R737050 Vlaamse Overheid</t>
  </si>
  <si>
    <t>Subs Vl Gem Project BAAB Exit</t>
  </si>
  <si>
    <t>Project BAAB- Exit</t>
  </si>
  <si>
    <t>R737099 Vlaamse Overheid</t>
  </si>
  <si>
    <t>Vlaamse Gemeenschap / Vlaamse Intersect akkoorden VIA 3+4</t>
  </si>
  <si>
    <t>R738001 Subsidie Provincie KIG</t>
  </si>
  <si>
    <t>KIG</t>
  </si>
  <si>
    <t>R738002 Subsidie Provincie Uitbouw crisisnetwerken</t>
  </si>
  <si>
    <t>Ondersteuning kwetsbare jongeren</t>
  </si>
  <si>
    <t>Prov Uitbouw crisisnetw</t>
  </si>
  <si>
    <t>R738003 Subsidie Provincie 't Salon</t>
  </si>
  <si>
    <t>R738005 Subsidie Provincie - That's the Spirit</t>
  </si>
  <si>
    <t>Provincie</t>
  </si>
  <si>
    <t>R738006 Subsidie Provincie Vorming&amp;Prev -Oe ist</t>
  </si>
  <si>
    <t>provincie</t>
  </si>
  <si>
    <t>R738007 Regionaal Welzijnsplatform NWVL</t>
  </si>
  <si>
    <t>Regionaal Welzijnsplatform NWVL</t>
  </si>
  <si>
    <t>R738101 Subsidie Brugge</t>
  </si>
  <si>
    <t>Werkingskosten</t>
  </si>
  <si>
    <t>R738102 Subsidie Ichtegem</t>
  </si>
  <si>
    <t>R738103 Subsidie Torhout</t>
  </si>
  <si>
    <t>R738107 Subsidie Oostkamp</t>
  </si>
  <si>
    <t>R738108 Subsidie Beernem</t>
  </si>
  <si>
    <t>R738109 Subsidie Zuienkerke</t>
  </si>
  <si>
    <t>R738111 Subsidie Damme</t>
  </si>
  <si>
    <t>R738113 Subsidie Ruiselede</t>
  </si>
  <si>
    <t>R738115 Subsidie Oostende - RSV</t>
  </si>
  <si>
    <t>Stad Oostende</t>
  </si>
  <si>
    <t xml:space="preserve">R738115 Subsidie Oostende </t>
  </si>
  <si>
    <t>R738150 Subsidie Brugge 't Salon</t>
  </si>
  <si>
    <t>R738151 Subsidie Brugge Veiligs- en preventieplan</t>
  </si>
  <si>
    <t>Project veiligheid-preventieplan</t>
  </si>
  <si>
    <t>R738152 Subsidie Brugge LOGiN</t>
  </si>
  <si>
    <t>Casebegeleiding jongeren in specifieke doelgroep</t>
  </si>
  <si>
    <t>Project casemangement</t>
  </si>
  <si>
    <t>R738153 Subsidie Brugge Bruggen voor jongeren</t>
  </si>
  <si>
    <t>maatschappelijk kwetsbare jongeren in Brugge</t>
  </si>
  <si>
    <t>Bruggen voor jongeren</t>
  </si>
  <si>
    <t>R738160 Subsidie Oostende Kortopv jong -De Zulle</t>
  </si>
  <si>
    <t>ambulante en residentiële begeleiding jongeren Oostende</t>
  </si>
  <si>
    <t>Kortopvang voor jongeren</t>
  </si>
  <si>
    <t>R738161 Subsidie Oostende Vorming en preventie</t>
  </si>
  <si>
    <t>R738162 Subsidie Oostende Duin en Zee</t>
  </si>
  <si>
    <t>speelpleinwerking Oostende</t>
  </si>
  <si>
    <t>Duin en Zee</t>
  </si>
  <si>
    <t>R738200 Fonds Sociale Maribel</t>
  </si>
  <si>
    <t>Loonkost medewerkers Sociale Maribel</t>
  </si>
  <si>
    <t>R738330 Recup VDAB-Premie VOP</t>
  </si>
  <si>
    <t>Loonkost medewerkers VDAB-premie VOP</t>
  </si>
  <si>
    <t>R738340 loonkost - Deeltijds Leren deeltijds Werken</t>
  </si>
  <si>
    <t>Loonkost medewerkers Deeltijds leren/deeltijds werken</t>
  </si>
  <si>
    <t>R738600 VIVO/ICOBA</t>
  </si>
  <si>
    <t>Gemaakte Onkosten Vorming</t>
  </si>
  <si>
    <t>R738903 Diverse inkomsten</t>
  </si>
  <si>
    <t>Kaarten speelpleinwerking/freakshakes jeugddienst/Kick op sport</t>
  </si>
  <si>
    <t>R738906 Projecttoelage Epi Massa/Rode Antraciet</t>
  </si>
  <si>
    <t>werking justitieel welzijnswerk in penitentiair complex brugge-ruiselede</t>
  </si>
  <si>
    <t>Creatief Atelier</t>
  </si>
  <si>
    <t>R738906 Epi Massa</t>
  </si>
  <si>
    <t>werking jww kinderbezoek in penitentiair complex brugge-ruiselede</t>
  </si>
  <si>
    <t>Project kinderbezoek</t>
  </si>
  <si>
    <t xml:space="preserve">R738906 CAW Groep Berchem </t>
  </si>
  <si>
    <t>GOH Gerechtelijk Opgelegde Hulp</t>
  </si>
  <si>
    <t>R738906 Koning Bouwdewijnstichting</t>
  </si>
  <si>
    <t>Proj Hart voor W.Vlaanderen</t>
  </si>
  <si>
    <t>Totaal</t>
  </si>
  <si>
    <t>R737013 Vlaamse Overheid</t>
  </si>
  <si>
    <t>Subs Vl Gem Proj KIOSK</t>
  </si>
  <si>
    <t xml:space="preserve">R738008 Subsidie Provincie </t>
  </si>
  <si>
    <t>Mindspring</t>
  </si>
  <si>
    <t>R738154 Subsidie Brugge Partnerschap ESF</t>
  </si>
  <si>
    <t>R738155 Subsidie Brugge - Brugge Noord</t>
  </si>
  <si>
    <t>Brugge Noord</t>
  </si>
  <si>
    <t>R738163 Subsidie Oostende RSV</t>
  </si>
  <si>
    <t>Stad Oostende/RSV</t>
  </si>
  <si>
    <t>R738902 Koning Bouwdewijnstichting</t>
  </si>
  <si>
    <t>R738904 KBS Overkophuis Oostende - Habbekrats</t>
  </si>
  <si>
    <t>Ondersteuning jongeren met spychische problemen</t>
  </si>
  <si>
    <t>Overkophuis</t>
  </si>
  <si>
    <t>Naam VZW: CAW Oost-Brabant</t>
  </si>
  <si>
    <t>Vipa</t>
  </si>
  <si>
    <t>Kapitaalsubsidie investeringen</t>
  </si>
  <si>
    <t xml:space="preserve">Alle activiteitencentra,behalve ocmw/koc </t>
  </si>
  <si>
    <t>Provincie Vlaams Brabant</t>
  </si>
  <si>
    <t>Stad Leuven</t>
  </si>
  <si>
    <t>Diverse : uit reserve</t>
  </si>
  <si>
    <t>Diverse : andere organisaties</t>
  </si>
  <si>
    <t>Reguliere subsidie AWW 41.7 34.04</t>
  </si>
  <si>
    <t>Middelen vluchtelingencrisis</t>
  </si>
  <si>
    <t>Dak- en thuisloosheid : instellingsverlaters</t>
  </si>
  <si>
    <t>Projectsubsidie schuldhulpverlening en preventie schuldenlast</t>
  </si>
  <si>
    <t>Crisisjeugdhulp</t>
  </si>
  <si>
    <t>Subsidie : Terug van weggeweest</t>
  </si>
  <si>
    <t>Prov Vlaams Brabant</t>
  </si>
  <si>
    <t>Reguliere stadssubsidie</t>
  </si>
  <si>
    <t>Samenwerkingsovereenkomst over intrafamiliaal geweld</t>
  </si>
  <si>
    <t>Samenwerkingsovereenkomst inloopcentrum De Meander</t>
  </si>
  <si>
    <t>Samenwerkingsovereenkomst woonbegeleiding</t>
  </si>
  <si>
    <t>Samenwerkingsovereenkomst Grensoverschrijdend gedrag</t>
  </si>
  <si>
    <t>1 euro maaltijden</t>
  </si>
  <si>
    <t>Stad Tienen</t>
  </si>
  <si>
    <t>Samenwerkingsovereenkomst : preventie uithuiszetting op de private huurmarkt</t>
  </si>
  <si>
    <t>Gemeente Bierbeek</t>
  </si>
  <si>
    <t>OCMW Leuven</t>
  </si>
  <si>
    <t>Overeenkomst voor noodkamer, extra tewerkstelling</t>
  </si>
  <si>
    <t>OCMW Leuven/Koc</t>
  </si>
  <si>
    <t>Vivo</t>
  </si>
  <si>
    <t>Vorming medewerkers</t>
  </si>
  <si>
    <t>Europees sociaal fonds</t>
  </si>
  <si>
    <t>Intern strategisch loopbaanbeleid</t>
  </si>
  <si>
    <t>Missing You</t>
  </si>
  <si>
    <t>Wandel je fit weekend</t>
  </si>
  <si>
    <t>Eigen inkomsten</t>
  </si>
  <si>
    <t>Caritas, IOM</t>
  </si>
  <si>
    <t>Subsidie</t>
  </si>
  <si>
    <t>KuLeuven</t>
  </si>
  <si>
    <t>KBC kinderwerking</t>
  </si>
  <si>
    <t>Belgian Homeless Cup</t>
  </si>
  <si>
    <t>Homeless voetbal team Leuven</t>
  </si>
  <si>
    <t>Subsidie 1712</t>
  </si>
  <si>
    <t>Subsidie 1 gezin-1 plan jeugdhulp</t>
  </si>
  <si>
    <t>Subsidie website 1712</t>
  </si>
  <si>
    <t>Administratieve hulp VLO</t>
  </si>
  <si>
    <t>Opruimweekend</t>
  </si>
  <si>
    <t>Overkop-De Wissel</t>
  </si>
  <si>
    <t>Samenwerkingsovereenkomst</t>
  </si>
  <si>
    <t>Project Veerkracht</t>
  </si>
  <si>
    <t>Duurzaam samenwerken</t>
  </si>
  <si>
    <t>Bijlage 4: DETAIL VAN DE 73-REKENINGEN 2017 (lijst van subsidies)</t>
  </si>
  <si>
    <t>Naam VZW: CAW Oost-Vlaanderen</t>
  </si>
  <si>
    <t>Giften AC W.V.G. Enveloppe</t>
  </si>
  <si>
    <t>Giften AC W.V.G. Schuldhulpverlening</t>
  </si>
  <si>
    <t>Giften AC W.V.G. Dak- en thuislozenzorg</t>
  </si>
  <si>
    <t>Giften AC W.V.G. Vluchtelingen</t>
  </si>
  <si>
    <t>Giften AC OCMW Gent- Transithuis</t>
  </si>
  <si>
    <t>Giften AC OCMW Gent - uitbreiding SOC</t>
  </si>
  <si>
    <t>Giften AC OCMW Gent - preventie schulden</t>
  </si>
  <si>
    <t>Giften AC OCMW Gent - Pannestraat</t>
  </si>
  <si>
    <t>Giften AC Stad Gent - leegstand sociale woningen</t>
  </si>
  <si>
    <t>Giften AC stad Gent - leegstand vluchtelingen - doorgangswoningen</t>
  </si>
  <si>
    <t>Giften AC Radar - crisiszorg De Schelp</t>
  </si>
  <si>
    <t>Giften AC OCMW Aalst</t>
  </si>
  <si>
    <t>Giften AC Stad Zottegem JIP</t>
  </si>
  <si>
    <t>Giften AC OCMW Zottegem Pro-actieve woonbegeleiding</t>
  </si>
  <si>
    <t>Giften AC Stad Ronse - Pro-actieve woonbegeiding</t>
  </si>
  <si>
    <t>Giften AC Sociale moestuin Ronse</t>
  </si>
  <si>
    <t>Giften AC Sociale moestuin PDPO 3</t>
  </si>
  <si>
    <t>Giften AC Stad Geraardsbergen Pro-actieve woonbegeleiding</t>
  </si>
  <si>
    <t>Giften AC Stad Geraardsbergen Sociale activering</t>
  </si>
  <si>
    <t>Giften AC Stad Geraardsbergen Voedselbedeling</t>
  </si>
  <si>
    <t>Giften AC Den durpel</t>
  </si>
  <si>
    <t>Giften AC stad Sint-Niklaas buddy's 2 start vluchtelingen</t>
  </si>
  <si>
    <t>Giften stad Sint-Niklaas - sociaal artistiek project</t>
  </si>
  <si>
    <t>Giften stad Dendermonde - lokale middelen</t>
  </si>
  <si>
    <t>Giften AC De Katrol - stad Wetteren en Rotary</t>
  </si>
  <si>
    <t>W.V.G. Enveloppe</t>
  </si>
  <si>
    <t>W.V.G. (proj schuldhulp)</t>
  </si>
  <si>
    <t>W.V.G. (proj dtlz)</t>
  </si>
  <si>
    <t>W.V.G. Vluchtelingen</t>
  </si>
  <si>
    <t>Andere Organisaties</t>
  </si>
  <si>
    <t xml:space="preserve">Enveloppe </t>
  </si>
  <si>
    <t xml:space="preserve">Enveloppe hulp- en dienstverlening gedetineerden - oo-ers </t>
  </si>
  <si>
    <t>Verkeersslachtoffers - vrijwilligers</t>
  </si>
  <si>
    <t>Uitbreiding crisismeldpunt</t>
  </si>
  <si>
    <t>Crisisnetwerk jeugdhulpverlening De Schelp - regio Gent</t>
  </si>
  <si>
    <t>Stad Gent</t>
  </si>
  <si>
    <t>Project 80/20 vrijetijdsbesteding</t>
  </si>
  <si>
    <t>Waardige Uitvaart</t>
  </si>
  <si>
    <t xml:space="preserve">Politiezone </t>
  </si>
  <si>
    <t>Project Slechtnieuwsmelders regio Aalst-ZOVlaanderen</t>
  </si>
  <si>
    <t>Stad Sint-Niklaas</t>
  </si>
  <si>
    <t>Werkingssubsidie Project JAC-assertiviteitscursussen</t>
  </si>
  <si>
    <t>Welzijnstoelage</t>
  </si>
  <si>
    <t>OCMW Sint-Niklaas</t>
  </si>
  <si>
    <t>Crisisnetwerk Sint-Niklaas</t>
  </si>
  <si>
    <t>OCMW Lokeren</t>
  </si>
  <si>
    <t>Crisisopvang Honingraat</t>
  </si>
  <si>
    <t>Diverse steden en gemeenten</t>
  </si>
  <si>
    <t xml:space="preserve">Partnergeweld+werkingstoelagen </t>
  </si>
  <si>
    <t>I.O.M.</t>
  </si>
  <si>
    <t>Ondersteuning repatriëring uitgewezen personen regio Waas-Dender</t>
  </si>
  <si>
    <t>OCMW Brakel&amp;Oudenaarde&amp;Zwalm&amp;Wortegem-Petegem&amp;Zottegem</t>
  </si>
  <si>
    <t>Pro-actieve woonbegeleiding</t>
  </si>
  <si>
    <t>Stad Aalst</t>
  </si>
  <si>
    <t>Partnergeweld</t>
  </si>
  <si>
    <t>Stad Denderleeuw</t>
  </si>
  <si>
    <t>Nachtopvang daklozen</t>
  </si>
  <si>
    <t>Toelagen sociale maribel</t>
  </si>
  <si>
    <t>Project samenwerkingsverband schuldhulpverlening- BIZ</t>
  </si>
  <si>
    <t>Project Dak-en thuislozenzorg</t>
  </si>
  <si>
    <t>Project relatie- en scheidingsproblemen</t>
  </si>
  <si>
    <t>W.V.G. (proj rsp)</t>
  </si>
  <si>
    <t>Provincie OVL</t>
  </si>
  <si>
    <t>Project experimentele woonprojecten</t>
  </si>
  <si>
    <t>Prov OVL - proj leegstand prov</t>
  </si>
  <si>
    <t>OCMW Gent</t>
  </si>
  <si>
    <t>Armoedebestrijding- Uitbreiding uren SOC</t>
  </si>
  <si>
    <t>OCMW Gent-uitbr u SOC</t>
  </si>
  <si>
    <t>Armoedebestrijding- Preventie schulden</t>
  </si>
  <si>
    <t>OCMW Gent- prev schulden</t>
  </si>
  <si>
    <t>Knooppunt 2GO vluchtelingen</t>
  </si>
  <si>
    <t>Stad Gent - Knooppunt 2GO</t>
  </si>
  <si>
    <t>Armoedebestrijding - Pannestraat</t>
  </si>
  <si>
    <t>OCMW Gent - Pannestraat</t>
  </si>
  <si>
    <t>ESF - Go between - work in action - link to work</t>
  </si>
  <si>
    <t>Stad Gent - Link to work (go between)</t>
  </si>
  <si>
    <t>Transithuis</t>
  </si>
  <si>
    <t>OCMW Gent - Transithuis</t>
  </si>
  <si>
    <t>Bijstandsteam - Brugteam</t>
  </si>
  <si>
    <t>OCMW Gent - Brugteam</t>
  </si>
  <si>
    <t>Nachtopvang</t>
  </si>
  <si>
    <t>OCMW Gent - Nachtopvang</t>
  </si>
  <si>
    <t>OCMW Gent - Winteropvang</t>
  </si>
  <si>
    <t>Gezinsopvang</t>
  </si>
  <si>
    <t>OCMW Gent - Gezinsopvang</t>
  </si>
  <si>
    <t>Leegstand vluchtelingen - doorgangswoningen</t>
  </si>
  <si>
    <t>Stad Gent - leegstand vluchtelingen - doorgangswoningen</t>
  </si>
  <si>
    <t>Leegstand sociale woningen</t>
  </si>
  <si>
    <t>Stad Gent - leegstand soc woningen</t>
  </si>
  <si>
    <t>Rode Neuzen - Action for teens Gent</t>
  </si>
  <si>
    <t>KBS action for teens</t>
  </si>
  <si>
    <t>Radar vzw</t>
  </si>
  <si>
    <t>Crisiszorg De Schelp</t>
  </si>
  <si>
    <t>Radar: crisiszorg De Schelp</t>
  </si>
  <si>
    <t>Buddy's</t>
  </si>
  <si>
    <t>Buddy's stad Sint-Niklaas</t>
  </si>
  <si>
    <t>Partnergeweld Sint-Niklaas</t>
  </si>
  <si>
    <t>Baensland</t>
  </si>
  <si>
    <t>Baensland stad Sint-Niklaas</t>
  </si>
  <si>
    <t>Sociaal artistiek project</t>
  </si>
  <si>
    <t>Sociaal artistiek project stad Sint-Niklaas</t>
  </si>
  <si>
    <t>OCMW Kruibeke, Beveren + Temse</t>
  </si>
  <si>
    <t>Waas Opvangnetwerk</t>
  </si>
  <si>
    <t>Project Waas opvangnetwerk</t>
  </si>
  <si>
    <t>Ondersteuning vormingsactiviteiten kansarmen</t>
  </si>
  <si>
    <t>Inloopcentrum Den durpel</t>
  </si>
  <si>
    <t>Sint-Vincentius OVL</t>
  </si>
  <si>
    <t>Tussenkomst huur en brandverzekering inloopcentrum Den durpel</t>
  </si>
  <si>
    <t>Welzijnsschakels</t>
  </si>
  <si>
    <t>VLOS Sint-Niklaas</t>
  </si>
  <si>
    <t>Brugfiguur vluchtelingen</t>
  </si>
  <si>
    <t>VLOS brugfiguur vluchtelingen</t>
  </si>
  <si>
    <t>Stad Lokeren</t>
  </si>
  <si>
    <t>JAC Lokeren</t>
  </si>
  <si>
    <t>JAC lokeren-stad Lokeren</t>
  </si>
  <si>
    <t>Stad Wetteren</t>
  </si>
  <si>
    <t>JAC Wetteren</t>
  </si>
  <si>
    <t>JAC Stad Wetteren</t>
  </si>
  <si>
    <t>Stad Dendermonde</t>
  </si>
  <si>
    <t>Werkingstoelage</t>
  </si>
  <si>
    <t>Opvang Dendermonde/lokale middelen</t>
  </si>
  <si>
    <t>Gerechtelijke administratieve maatregelen</t>
  </si>
  <si>
    <t>Werkvloerproject werkstraffen</t>
  </si>
  <si>
    <t>Stad Wetteren+Rotary</t>
  </si>
  <si>
    <t>De Katrol</t>
  </si>
  <si>
    <t>De Katrol-stad Wetteren+Rotary</t>
  </si>
  <si>
    <t>Vl subs agentschap werk soc economie</t>
  </si>
  <si>
    <t>Meerbanenplan</t>
  </si>
  <si>
    <t>arbzorg waase werkpl</t>
  </si>
  <si>
    <t>OCMW Aalst</t>
  </si>
  <si>
    <t>Duurzaam lokaal beleid</t>
  </si>
  <si>
    <t>Stad Ninove</t>
  </si>
  <si>
    <t>Pro-actieve woonbegeleiding Ninove</t>
  </si>
  <si>
    <t>OCMW Oudenaarde</t>
  </si>
  <si>
    <t>Crisisnetwerk Brakel-Horenbeke-Zwalm</t>
  </si>
  <si>
    <t>Crisisconv CNW Brakel Horenbeke Zwalm</t>
  </si>
  <si>
    <t>Diverse OCMW"s ZO Vlaanderen</t>
  </si>
  <si>
    <t>Crisisnetwerk Vlaamse Ardennen</t>
  </si>
  <si>
    <t>Crisisconv CNW Vl Ardennen</t>
  </si>
  <si>
    <t>Project Sociale Moestuin PDPO 3</t>
  </si>
  <si>
    <t>Sociale Moestuin PDPO 3</t>
  </si>
  <si>
    <t>Gemeente Brakel</t>
  </si>
  <si>
    <t>Jongeren Informatiepunt</t>
  </si>
  <si>
    <t>JAC Brakel</t>
  </si>
  <si>
    <t>OCMW Zottegem</t>
  </si>
  <si>
    <t xml:space="preserve">JAC Medewerker+ werkingskosten </t>
  </si>
  <si>
    <t>JIP Zottegem</t>
  </si>
  <si>
    <t>Pro-actieve woonbegeleiding Zottegem</t>
  </si>
  <si>
    <t>Stad Ronse</t>
  </si>
  <si>
    <t>Pro-actieve woonbegeleiding Ronse</t>
  </si>
  <si>
    <t>Petroleumsector</t>
  </si>
  <si>
    <t xml:space="preserve">Sociale moestuin </t>
  </si>
  <si>
    <t>Sociale Moestuin Ronse</t>
  </si>
  <si>
    <t>Stad Oudenaarde+Rotary</t>
  </si>
  <si>
    <t>De Katrol Oudenaarde</t>
  </si>
  <si>
    <t>OCMW Geraardsbergen</t>
  </si>
  <si>
    <t>Pro-act woonbegeleiding G'bergen</t>
  </si>
  <si>
    <t>Sociale activering</t>
  </si>
  <si>
    <t>Activering Geraardsbergen</t>
  </si>
  <si>
    <t>Stad Geraardsbergen</t>
  </si>
  <si>
    <t>Kinneke Baba</t>
  </si>
  <si>
    <t>Kinneke Baba G'bergen</t>
  </si>
  <si>
    <t>Voedselbedeling</t>
  </si>
  <si>
    <t>Voedselbedeling Geraardsbergen</t>
  </si>
  <si>
    <t>Samenwerkingsovereenkomst juridische ondersteuning</t>
  </si>
  <si>
    <t>Juridische onderst G'bergen</t>
  </si>
  <si>
    <t>Bijlage 4: DETAIL VAN DE 73-REKENINGEN 2018 (lijst van subsidies)</t>
  </si>
  <si>
    <t>Giften AC W.V.G. Relatie- en scheidingsproblemen</t>
  </si>
  <si>
    <t>Giften AC W.V.G. Uitbreiding crisismeldpunt</t>
  </si>
  <si>
    <t>Giften AC Mindspring vluchtelingen</t>
  </si>
  <si>
    <t>Giften AC Stad Gent - knooppunt 2GO</t>
  </si>
  <si>
    <t>Giften AC stad Lokeren - JAC Lokeren</t>
  </si>
  <si>
    <t>Giften AC stad Dendermonde - lokale middelen</t>
  </si>
  <si>
    <t>Giften AC stad Wetteren - JAC</t>
  </si>
  <si>
    <t>W.V.G. (proj. Relatie- en scheidingsproblemen)</t>
  </si>
  <si>
    <t>W.V.G. (proj. Uitbreiding crisismeldpunt)</t>
  </si>
  <si>
    <t>Radicalisering</t>
  </si>
  <si>
    <t>W.V.G. Radicalisering</t>
  </si>
  <si>
    <t>Deskundigheid hoogconflicueuze scheidingssituaties</t>
  </si>
  <si>
    <t>W.V.G. deskh conflictueuze scheidngssituaties</t>
  </si>
  <si>
    <t>Investeringstoelage opvang Sint-Niklaas</t>
  </si>
  <si>
    <t>Wase steden</t>
  </si>
  <si>
    <t>Werkingstoelagen</t>
  </si>
  <si>
    <t>opleiding jeugdadviseurs (Jongeren Informatie Punt)</t>
  </si>
  <si>
    <t>Meldpunt Ouderen (mis)behandeling</t>
  </si>
  <si>
    <t>Stad Ronse-Oudenaarde-Zottegem</t>
  </si>
  <si>
    <t>Alternatieve Gerechtelijke Maatregelen</t>
  </si>
  <si>
    <t>Beschut Wonen DOMOS (PAKT)</t>
  </si>
  <si>
    <t>W.V.G. Beschut Wonen (Domos)</t>
  </si>
  <si>
    <t>Eén gezin één plan</t>
  </si>
  <si>
    <t>W.V.G. Eén gezin één plan</t>
  </si>
  <si>
    <t>POD AMIF</t>
  </si>
  <si>
    <t>cultuursensitief werken via Mind-Spring</t>
  </si>
  <si>
    <t>POD AMIF: cultuursensitief werken via Mind-Spring</t>
  </si>
  <si>
    <t>Europa</t>
  </si>
  <si>
    <t>Rewind KUL</t>
  </si>
  <si>
    <t>ESF Rewind KUL</t>
  </si>
  <si>
    <t>Warme winter</t>
  </si>
  <si>
    <t>OCMW Gent - Warme winter</t>
  </si>
  <si>
    <t>Mind-Spring vluchtelingen</t>
  </si>
  <si>
    <t>OCMW Gent - Mind-Spring vluchtelingen</t>
  </si>
  <si>
    <t>Vesalius</t>
  </si>
  <si>
    <t>OCMW Gent - Vesalius</t>
  </si>
  <si>
    <t>Instapwonen</t>
  </si>
  <si>
    <t>OCMW Gent - Instapwonen</t>
  </si>
  <si>
    <t>De Heide vzw</t>
  </si>
  <si>
    <t>Zorgdorpen</t>
  </si>
  <si>
    <t>De Heide vzw: Zorgdorpen</t>
  </si>
  <si>
    <t>Sociale moestuin</t>
  </si>
  <si>
    <t>Sociale moestuin Ninove</t>
  </si>
  <si>
    <t>SHM Vlaamse Ardennen</t>
  </si>
  <si>
    <t>Sociale moestuin SHM Vl Ard</t>
  </si>
  <si>
    <t>Caw Zuid-West-Vlaanderen vzw</t>
  </si>
  <si>
    <t>kapitaalsubsidie vipa</t>
  </si>
  <si>
    <t>vipa projecten caw</t>
  </si>
  <si>
    <t>regulier welzijn</t>
  </si>
  <si>
    <t>kapitaalsubsidie provincie</t>
  </si>
  <si>
    <t>kapitaalsubsidies derden</t>
  </si>
  <si>
    <t>diverse projecten caw</t>
  </si>
  <si>
    <t>keuken de figuranten</t>
  </si>
  <si>
    <t>sociaal artistiek project</t>
  </si>
  <si>
    <t>kapitaalsubsidie natura</t>
  </si>
  <si>
    <t>gebouw schenking</t>
  </si>
  <si>
    <t>vlaamse overheid</t>
  </si>
  <si>
    <t>enveloppe reguliere werking</t>
  </si>
  <si>
    <t>preventieproject budget in zicht</t>
  </si>
  <si>
    <t>budget in zicht</t>
  </si>
  <si>
    <t>via akkoorden 2017</t>
  </si>
  <si>
    <t>via subsidies kunsten 2017</t>
  </si>
  <si>
    <t>enveloppe sociaal artistieke werking</t>
  </si>
  <si>
    <t>project vluchtelingen</t>
  </si>
  <si>
    <t>vluchtelingen</t>
  </si>
  <si>
    <t>1-euro maaltijden</t>
  </si>
  <si>
    <t>Acties tegen dak- en thuisloosheid - instellingsverlaters</t>
  </si>
  <si>
    <t>instelllingsverlaters</t>
  </si>
  <si>
    <t>Acties tegen dak- en thuisloosheid - housing first</t>
  </si>
  <si>
    <t>housing first</t>
  </si>
  <si>
    <t>aanpak van relatie- en scheidingsproblemen</t>
  </si>
  <si>
    <t>relaties- en scheidingsproblemen</t>
  </si>
  <si>
    <t>provincie west-vlaanderen</t>
  </si>
  <si>
    <t>huis inclusief project</t>
  </si>
  <si>
    <t>project nachtopvang daklozen</t>
  </si>
  <si>
    <t>provincies west-vlaanderen</t>
  </si>
  <si>
    <t>vakantiebabbels</t>
  </si>
  <si>
    <t>schoolopbouwwerk</t>
  </si>
  <si>
    <t>west-vlaanderen welzijnszorg</t>
  </si>
  <si>
    <t>projecttoelage</t>
  </si>
  <si>
    <t>toekomstsporen</t>
  </si>
  <si>
    <t>wie online ondersteuning informatica clienten</t>
  </si>
  <si>
    <t>W13</t>
  </si>
  <si>
    <t>woonclub w13</t>
  </si>
  <si>
    <t>stad kortrijk</t>
  </si>
  <si>
    <t>project 't werkt</t>
  </si>
  <si>
    <t>msoc</t>
  </si>
  <si>
    <t>stad waregem</t>
  </si>
  <si>
    <t>reguliere werking</t>
  </si>
  <si>
    <t>stad menen</t>
  </si>
  <si>
    <t>jeugdwerkbeleidsplan jongerenontmoetingshuis</t>
  </si>
  <si>
    <t>gemeente zwevegem</t>
  </si>
  <si>
    <t>ocmw kortrijk</t>
  </si>
  <si>
    <t xml:space="preserve">aktractie </t>
  </si>
  <si>
    <t>aktractie</t>
  </si>
  <si>
    <t>fonds sociale maribel</t>
  </si>
  <si>
    <t>VAD - vlaamse overheid</t>
  </si>
  <si>
    <t xml:space="preserve">project safe 'n sound </t>
  </si>
  <si>
    <t>safe 'n sound</t>
  </si>
  <si>
    <t>vivo</t>
  </si>
  <si>
    <t>afrekening vop premie</t>
  </si>
  <si>
    <t>huis van het kind Kortrijk</t>
  </si>
  <si>
    <t>huis van het kind</t>
  </si>
  <si>
    <t>vdab + groep intro</t>
  </si>
  <si>
    <t>Caw Zuid-West-Vlaanderen vzw - 2018</t>
  </si>
  <si>
    <t>via akkoorden 2018</t>
  </si>
  <si>
    <t>via subsidies kunsten 2018</t>
  </si>
  <si>
    <t>Acties tegen dak- en thuisloosheid - instellingsverlaters en housing first</t>
  </si>
  <si>
    <t>konekti</t>
  </si>
  <si>
    <t>inzet extra uren rck en adminstratie</t>
  </si>
  <si>
    <t>w13</t>
  </si>
  <si>
    <t>interreg</t>
  </si>
  <si>
    <t>voorstellingen naar nergens de figuranten</t>
  </si>
  <si>
    <t>esf</t>
  </si>
  <si>
    <t xml:space="preserve">medewerkersbeleid </t>
  </si>
  <si>
    <t>belgian homelesscup</t>
  </si>
  <si>
    <t>inzet medewerker coördinator belgian homelesscup</t>
  </si>
  <si>
    <t>welzijnszorg</t>
  </si>
  <si>
    <t>project ambulant kortrijk</t>
  </si>
  <si>
    <t>koning boudewijnstichting</t>
  </si>
  <si>
    <t>samenwerkingsinitiatief</t>
  </si>
  <si>
    <t>jong kortrijk voetbalt</t>
  </si>
  <si>
    <t>project homelesscup kortrijk</t>
  </si>
  <si>
    <t>eigen woonst menen</t>
  </si>
  <si>
    <t>inzet medewerker project join</t>
  </si>
  <si>
    <t>project beschut wonen</t>
  </si>
  <si>
    <t>Naam vzw: CAW Antwerpen</t>
  </si>
  <si>
    <t>Antwerpen</t>
  </si>
  <si>
    <t>Adam</t>
  </si>
  <si>
    <t>Kompas</t>
  </si>
  <si>
    <t>OW K&amp;G</t>
  </si>
  <si>
    <t>Speelvijver K&amp;G</t>
  </si>
  <si>
    <t>CB/PCB K&amp;G</t>
  </si>
  <si>
    <t>COSA</t>
  </si>
  <si>
    <t>Project Alternatief</t>
  </si>
  <si>
    <t>Project Team Stad</t>
  </si>
  <si>
    <t>Project Transitiecoach</t>
  </si>
  <si>
    <t>Project 1 Gezin 1 Plan Voor en noorderkempen</t>
  </si>
  <si>
    <t>Project Verbinding Casuistiek IFG</t>
  </si>
  <si>
    <t>Codes</t>
  </si>
  <si>
    <t>Vzw</t>
  </si>
  <si>
    <t>Activiteitencentrum AWW</t>
  </si>
  <si>
    <t>Activiteitencentrum Locale overheden stad Antwerpen</t>
  </si>
  <si>
    <t>Activiteitencentrum
Inkomsten Door Derden</t>
  </si>
  <si>
    <t>Project Vlaamse Overheid Adam</t>
  </si>
  <si>
    <t>Project Vlaamse Overheid IZPA</t>
  </si>
  <si>
    <t>Activiteitencentrum
Rest</t>
  </si>
  <si>
    <t>CONTROLE</t>
  </si>
  <si>
    <t>Aantal VTE</t>
  </si>
  <si>
    <t>RESULTATENREKENING</t>
  </si>
  <si>
    <t>Bedrijfsopbrengsten en bedrijfskosten</t>
  </si>
  <si>
    <t>Brutomarge</t>
  </si>
  <si>
    <t>(+/-)</t>
  </si>
  <si>
    <t>Bedrijfsopbrengsten</t>
  </si>
  <si>
    <t>70/74</t>
  </si>
  <si>
    <t>Omzet</t>
  </si>
  <si>
    <t>Handelsgoederen, grond- en hulpstoffen;
diensten en diverse goederen</t>
  </si>
  <si>
    <t>60/61</t>
  </si>
  <si>
    <t>Bezoldigingen, sociale lasten en pensioenen
(toel. VI, 2) …………………………………………………….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</si>
  <si>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</si>
  <si>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Waardeverminderingen op voorraden, bestellingen in
uitvoering en handelsvorderingen (toevoegingen-,
terugnemingen +)……………………………………………….</t>
  </si>
  <si>
    <t>631/4</t>
  </si>
  <si>
    <t>Voorzieningen voor risico's en kosten (toevoegingen-,
bestedingen en terugnemingen +)……………………………</t>
  </si>
  <si>
    <t>635/8</t>
  </si>
  <si>
    <t>Andere bedrijfskosten………………………………………….</t>
  </si>
  <si>
    <t>640/8</t>
  </si>
  <si>
    <t>Als herstructureringskosten geactiveerde
bedrijfskosten …………………………………………………..</t>
  </si>
  <si>
    <t>(-)</t>
  </si>
  <si>
    <t>Bedrijfswinst (bedrijfsverlies)……………………………………</t>
  </si>
  <si>
    <t>Financiële opbrengsten…………………………………………</t>
  </si>
  <si>
    <t>Financiële kosten ………………………………………………..</t>
  </si>
  <si>
    <t>Winst (verlies) uit de gewone bedrijfsuitoefening ………….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</si>
  <si>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</si>
  <si>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</si>
  <si>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</si>
  <si>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Bijlage 1: Resultatenrekening per activiteitencentrum 2018</t>
  </si>
  <si>
    <t xml:space="preserve">Naam vzw: CAW  Boom Mechelen Lier  Maurits Sabbestraat 119  2800  </t>
  </si>
  <si>
    <t>Mechelen</t>
  </si>
  <si>
    <t xml:space="preserve">Vlaamse Overheid
</t>
  </si>
  <si>
    <t xml:space="preserve">Schuldhulpverlening VL Overheid
</t>
  </si>
  <si>
    <t>Extra midd. instellingsverlaters VL. Ov.</t>
  </si>
  <si>
    <t xml:space="preserve">Extra middelen scheiding-en relatieproblemen Vl. OV. </t>
  </si>
  <si>
    <t>Herstelger init FG  Vl. OV.</t>
  </si>
  <si>
    <t>Overkop KBS</t>
  </si>
  <si>
    <t>OCMW Mechelen acute opvang</t>
  </si>
  <si>
    <t>WGC Willebroek VL. Ov.</t>
  </si>
  <si>
    <t xml:space="preserve">GBO niet-toeleidbaren VL Ov. </t>
  </si>
  <si>
    <t>Bijlage 1: Resultatenrekening per activiteitencentrum</t>
  </si>
  <si>
    <t>Naam vzw: CAW Centraal-West-Vlaanderen</t>
  </si>
  <si>
    <t xml:space="preserve">Activiteitencentrum 
Vlaamse Overheid
</t>
  </si>
  <si>
    <t xml:space="preserve">Activiteitencentrum
MSOC
</t>
  </si>
  <si>
    <t>Activiteitencentrum
ELP</t>
  </si>
  <si>
    <t>Activiteitencentrum
Schuldbemiddeling BIZ</t>
  </si>
  <si>
    <t>Activiteitencentrum
Vl Gem relatie- en scheidingsproblemen</t>
  </si>
  <si>
    <t>Activiteitencentrum
Vl Gem instellingsverlaters</t>
  </si>
  <si>
    <t>Activiteitencentrum
Leader</t>
  </si>
  <si>
    <t>Activiteitencentrum
ESF</t>
  </si>
  <si>
    <t>Activiteitencentrum
Vl Gem 1G1P MidWest</t>
  </si>
  <si>
    <t>Activiteitencentrum
Vl Gem 1G1P Westhoek</t>
  </si>
  <si>
    <t>Activiteitencentrum
Koala</t>
  </si>
  <si>
    <t xml:space="preserve">Activiteitencentrum
</t>
  </si>
  <si>
    <t>CAW De Kempen</t>
  </si>
  <si>
    <t>Project Verslaving Mol</t>
  </si>
  <si>
    <t>Project Schuldbemiddeling</t>
  </si>
  <si>
    <t>Project Globaal Plan Justitie</t>
  </si>
  <si>
    <t>Project Family Justice Centre</t>
  </si>
  <si>
    <t>Project Globaal Plan Thuisloosheid Jongeren</t>
  </si>
  <si>
    <t>Project Werf 1 Trefplaats</t>
  </si>
  <si>
    <t>Bijlage 1: Resultatenrekening per activiteitencentrum - 2018</t>
  </si>
  <si>
    <t>Naam vzw: CAW Halle Vilvoorde Vzw</t>
  </si>
  <si>
    <t xml:space="preserve">Activiteitencentrum Vlaamse Overheid
</t>
  </si>
  <si>
    <t xml:space="preserve">Activiteitencentrum Sociale Winkel
</t>
  </si>
  <si>
    <t xml:space="preserve">Activiteitencentrum Schuldpreventie
</t>
  </si>
  <si>
    <t xml:space="preserve">Activiteitencentrum CMP
</t>
  </si>
  <si>
    <t xml:space="preserve">Activiteitencentrum 1G1P
</t>
  </si>
  <si>
    <t xml:space="preserve">Activiteitencentrum Relaties- en scheidingsproblemen
</t>
  </si>
  <si>
    <t xml:space="preserve">Activiteitencentrum Instellingsverlaters, Dak- en thuisloosheid
</t>
  </si>
  <si>
    <t>Naam vzw: CAW Limburg</t>
  </si>
  <si>
    <t>Vzw CAW Limburg</t>
  </si>
  <si>
    <t>Activiteitencentrum
Vlaamse Overheid</t>
  </si>
  <si>
    <t>Activiteitencentrum
Activering</t>
  </si>
  <si>
    <t>Activiteitencentrum
Bruggenbouwers</t>
  </si>
  <si>
    <t>Activiteitencentrum
Dak-thuisloosheid Instellingsverlaters</t>
  </si>
  <si>
    <t>Activiteitencentrum
Dak-thuisloosheid Housing first</t>
  </si>
  <si>
    <t>Activiteitencentrum Dedicated team Neerpelt/Overpelt</t>
  </si>
  <si>
    <t>Activiteitencentrum Dedicated team Sint-Truiden</t>
  </si>
  <si>
    <t>Activiteitencentrum Eerstelijns juridisch advies vreemdelingenrecht</t>
  </si>
  <si>
    <t>Activiteitencentrum Gem Hamont-achel/Neerpelt</t>
  </si>
  <si>
    <t>Activiteitencentrum Gem Maasmechelen/Neerpelt</t>
  </si>
  <si>
    <t>Activiteitencentrum Gem Overpelt</t>
  </si>
  <si>
    <t>Activiteitencentrum Ligant</t>
  </si>
  <si>
    <t>Activiteitencentrum LISS</t>
  </si>
  <si>
    <t>Activiteitencentrum LPV Vluchtelingen</t>
  </si>
  <si>
    <t>Activiteitencentrum OCMW+Politie      St Truiden
Outreachend</t>
  </si>
  <si>
    <t>Activiteitencentrum OCMW Bilzen Integrale woonbeg.</t>
  </si>
  <si>
    <t>Activiteitencentrum
OCMW Dilsen-Stokkem Prev. Woonbeg.</t>
  </si>
  <si>
    <t>Activiteitencentrum
OCMW Genk Integrale Woonbegeleiding</t>
  </si>
  <si>
    <t>Activiteitencentrum OCMW Genk Winterdagopvang Creme brulee</t>
  </si>
  <si>
    <t>Activiteitencentrum OCMW Heusden-Zolder Gezins-en relationeel</t>
  </si>
  <si>
    <t>Activiteitencentrum OCMW Tongeren Integrale begeleiding</t>
  </si>
  <si>
    <t>Activiteitencentrum OCMW Tongeren Integrale woonbegeleiding</t>
  </si>
  <si>
    <t>Activiteitencentrum OCMW's Noodopvang</t>
  </si>
  <si>
    <t>Activiteitencentrum Ontmoetingshuis Genk De Sfeer</t>
  </si>
  <si>
    <t>Activiteitencentrum OPZC Woonbegeleiding
ex-gedetineerden</t>
  </si>
  <si>
    <t>Activiteitencentrum Overkop huis</t>
  </si>
  <si>
    <t>Activiteitencentrum Relatie-en scheidingsprob.</t>
  </si>
  <si>
    <t>Activiteitencentrum Rosettabaan</t>
  </si>
  <si>
    <t xml:space="preserve">Activiteitencentrum Schuldhulpverl.
</t>
  </si>
  <si>
    <t>Activiteitencentrum SWIFT</t>
  </si>
  <si>
    <t>Activiteitencentrum Veiligheid TLC Hasselt</t>
  </si>
  <si>
    <t>Activiteitencentrum     Versterking vh crisismeldpunt</t>
  </si>
  <si>
    <t>Activiteitencentrum Vluchtelingen Alken 
buddy's</t>
  </si>
  <si>
    <t>Activiteitencentrum Vluchtelingen Beringen/Heusden buddy's</t>
  </si>
  <si>
    <t>Activiteitencentrum Vluchtelingen Bilzen 
buddy's</t>
  </si>
  <si>
    <t>Activiteitencentrum Vluchtelingen Bocholt 
buddy's</t>
  </si>
  <si>
    <t>Activiteitencentrum Vluchtelingen Hasselt         buddy's</t>
  </si>
  <si>
    <t>Activiteitencentrum Vluchtelingen Hechtel-Eksel buddy's</t>
  </si>
  <si>
    <t>Activiteitencentrum Vluchtelingen Sint-Truiden       buddy's</t>
  </si>
  <si>
    <t>Belasting op het resultaat</t>
  </si>
  <si>
    <t xml:space="preserve">Winst van het boekjaar volgens NBB </t>
  </si>
  <si>
    <t>Toevoeging aan de bestemde fondsen</t>
  </si>
  <si>
    <t>Onttrekking aan de bestemde fondsen</t>
  </si>
  <si>
    <t>Winst van het boekjaar volgens proef- en saldibalans</t>
  </si>
  <si>
    <t>3 :  Resultatenrekening 2018 per activiteitencentrum</t>
  </si>
  <si>
    <t>Naam vzw: CAW Noord-West-Vlaanderen vzw</t>
  </si>
  <si>
    <t>VZW</t>
  </si>
  <si>
    <t>Vlaamse 
Overheid</t>
  </si>
  <si>
    <t>Kinderen uit de Knel
KUK</t>
  </si>
  <si>
    <r>
      <t xml:space="preserve">t Salon
</t>
    </r>
    <r>
      <rPr>
        <sz val="10"/>
        <color rgb="FF000000"/>
        <rFont val="Calibri"/>
        <family val="2"/>
      </rPr>
      <t>Stad Brugge</t>
    </r>
    <r>
      <rPr>
        <sz val="10"/>
        <color rgb="FF000000"/>
        <rFont val="Calibri"/>
        <family val="2"/>
      </rPr>
      <t xml:space="preserve">
Vl.Gem. KIOSK</t>
    </r>
  </si>
  <si>
    <t xml:space="preserve">
Stad Brugge-
Brugge Noord</t>
  </si>
  <si>
    <t>Exit - BAAB</t>
  </si>
  <si>
    <t>Casemanagement
LOGiN + proj ESF Stad Brugge</t>
  </si>
  <si>
    <t xml:space="preserve">Veiligheids-
preventieplan          0,5 Brugge </t>
  </si>
  <si>
    <t>Over Kop Huizen</t>
  </si>
  <si>
    <t>Budget in Zicht</t>
  </si>
  <si>
    <t>Kortopvang voor Jongeren-Oostende De Zulle</t>
  </si>
  <si>
    <t>Subs Stad Oostende
RSV</t>
  </si>
  <si>
    <t>Uitbreid. Crisishulp Minderjarigen Vl.Gem</t>
  </si>
  <si>
    <t>Bruggen voor
Jongeren</t>
  </si>
  <si>
    <t>Provincie West-Vl.
Project Mindspring</t>
  </si>
  <si>
    <t>Globaal Plan tg dak-en thuisloosheid</t>
  </si>
  <si>
    <t xml:space="preserve">Naam vzw: CAW Oost-Brabant </t>
  </si>
  <si>
    <t>CAW Oost-Brabant</t>
  </si>
  <si>
    <t>Activiteitencentrum
Vlaamse Overheid (inclusief De Kapstok)</t>
  </si>
  <si>
    <t>Activiteitencentrum
Vlaamse Overheid Schuldhulpverlening</t>
  </si>
  <si>
    <t>Activiteitencentrum
Vlaamse Overheid instellingsverlaters</t>
  </si>
  <si>
    <t>Activiteitencentrum
Vlaamse Overheid subsidie 1712 coördinator</t>
  </si>
  <si>
    <t>Activiteitencentrum
Vlaamse Overheid subsidie 1 gezin-1plan</t>
  </si>
  <si>
    <t>Activiteitencentrum
OCMW Leuven/KOC</t>
  </si>
  <si>
    <t>Activiteitencentrum
OCMW winteropvang-outreach</t>
  </si>
  <si>
    <t>Activiteitencentrum
Stad Leuven Inloopcentrum De Meander</t>
  </si>
  <si>
    <t>Activiteitencentrum
Stad Leuven Woonbegeleiding</t>
  </si>
  <si>
    <t>Activiteitencentrum
Stad Leuven Intrafamiliaal geweld</t>
  </si>
  <si>
    <t>Activiteitencentrum Stad Leuven  De bestrijding van seksueel geweld</t>
  </si>
  <si>
    <t>Activiteitencentrum
Administratieve hulp vluchtelingen</t>
  </si>
  <si>
    <t>Activiteitencentrum
VAPH</t>
  </si>
  <si>
    <t>Activiteitencentrum
Missing You</t>
  </si>
  <si>
    <t>ActiviteitencentrumOverkop Tienen</t>
  </si>
  <si>
    <t>Activiteitencentrum : Eigen inkomsten: Giften, sponsoring</t>
  </si>
  <si>
    <t>BEGROTING 2018</t>
  </si>
  <si>
    <t>RESULTATENREKENING 2018</t>
  </si>
  <si>
    <t>EVOLUTIE</t>
  </si>
  <si>
    <t>Regio Aalst-ZO Vlaanderen</t>
  </si>
  <si>
    <t>Regio Waas-Dender</t>
  </si>
  <si>
    <t xml:space="preserve">AC Vlaamse
overheid
</t>
  </si>
  <si>
    <t>W.V.G. enveloppe</t>
  </si>
  <si>
    <t>W.V.G. (proj schuldhulpverlening)</t>
  </si>
  <si>
    <t>W.V.G. (proj dak- en thuislozenzorg)</t>
  </si>
  <si>
    <t>W.V.G. (proj relatie- en scheidingsproblemen)</t>
  </si>
  <si>
    <t>W.V.G. (proj crisismeldpunt) 1/1/18-30/4/18</t>
  </si>
  <si>
    <t>W.V.G. (proj versterking crisismeldpunt) 1/5/18-31/12/18</t>
  </si>
  <si>
    <t>W.V.G. (proj. Beschut Wonen DOMOS)</t>
  </si>
  <si>
    <t>W.V.G. (proj. Één gezin één plan)</t>
  </si>
  <si>
    <t>Prov O-VL (proj experimentele woonprojecten-leegstand OVL)</t>
  </si>
  <si>
    <t>POD AMIF: Cultuursensitief werken via Mind-Spring</t>
  </si>
  <si>
    <t>Stad Gent leegstand sociale woningen</t>
  </si>
  <si>
    <t>Stad Gent leegstand vluchtelingen - doorgangswoningen</t>
  </si>
  <si>
    <t>OCMW Gent Instapwonen</t>
  </si>
  <si>
    <t>Stad Gent Knooppunt 2GO</t>
  </si>
  <si>
    <t>OCMW Gent Mind-Spring vluchtelingen</t>
  </si>
  <si>
    <t>Stad Gent (ESF): A-Tiem - Link to work (go between)</t>
  </si>
  <si>
    <t>OCMW Gent Vesalius</t>
  </si>
  <si>
    <t>OCMW Gent transithuis</t>
  </si>
  <si>
    <t>OCMW Gent  nachtopvang</t>
  </si>
  <si>
    <t>OCMW Gent  winternachtopvang</t>
  </si>
  <si>
    <t>OCMW Gent  gezinsnachtopvang</t>
  </si>
  <si>
    <t>OCMWGent    brugteam</t>
  </si>
  <si>
    <t xml:space="preserve">OCMW Gent  uitbreiding SOC </t>
  </si>
  <si>
    <t>OCMW Gent winterzondag Pannestraat</t>
  </si>
  <si>
    <t>OCMW Gent warme winter</t>
  </si>
  <si>
    <t>OCMW Gent preventie schulden</t>
  </si>
  <si>
    <t>OCMW Gent Pannestraat</t>
  </si>
  <si>
    <t>KBS Action For teens</t>
  </si>
  <si>
    <t>Pro-actieve woonbegeleiding NINOVE</t>
  </si>
  <si>
    <t>Sociale moestuin NINOVE</t>
  </si>
  <si>
    <t>CRISISCONV Crisisnetw PZ Brakel-Horebeke-Zwalm</t>
  </si>
  <si>
    <t>CRISISCONV Crisisnetw PZ Vl. Ardennen</t>
  </si>
  <si>
    <t>JAC BRAKEL</t>
  </si>
  <si>
    <t>JIP ZOTTEGEM</t>
  </si>
  <si>
    <t xml:space="preserve">Pro-actieve woonbegeleiding Zottegem </t>
  </si>
  <si>
    <t xml:space="preserve">Pro-actieve woonbegeleiding RONSE </t>
  </si>
  <si>
    <t>Sociale Moestuin SHM Vl. Ard.</t>
  </si>
  <si>
    <t>Provincie Sociale Moestuin Vlaamse Ardennen PDPO 3</t>
  </si>
  <si>
    <t>Pro-actieve woonbegeleiding G'BERGEN</t>
  </si>
  <si>
    <t>Sociale Activering G'BERGEN</t>
  </si>
  <si>
    <t>Sociale moestuin G'BERGEN</t>
  </si>
  <si>
    <t>Voedselbedeling G'BERGEN</t>
  </si>
  <si>
    <t>Kinneke Baba G'BERGEN</t>
  </si>
  <si>
    <t>Juridische onderst. G'BERGEN</t>
  </si>
  <si>
    <t>De Katrol OUDENAARDE</t>
  </si>
  <si>
    <t>JAC Lokeren - stad Lokeren</t>
  </si>
  <si>
    <t>Inloopcentrum Den durpel Stad+OCMW Sint-Niklaas</t>
  </si>
  <si>
    <t>Project buddy's stad Sint-Niklaas 2start</t>
  </si>
  <si>
    <t>Partnergeweld Aalst+Waas+Dender</t>
  </si>
  <si>
    <t>Project Waas Opvangnetwerk</t>
  </si>
  <si>
    <t>Jac                 Stad  Wetteren</t>
  </si>
  <si>
    <t>De Katrol - stad Wetteren en Rotary</t>
  </si>
  <si>
    <t xml:space="preserve">Lokale middelen Dendermonde </t>
  </si>
  <si>
    <t>Stad Dendermonde: Knooppunt 2GO vluchtelingen</t>
  </si>
  <si>
    <t>Werkvloerproject werkstraffen stad Dendermonde Detachering</t>
  </si>
  <si>
    <t>De Winckel</t>
  </si>
  <si>
    <t xml:space="preserve">Arbeidszorg Waase Werkplaats </t>
  </si>
  <si>
    <t>AC Vlaamse
overheid</t>
  </si>
  <si>
    <t>Naam vzw: CAW Zuid-West-Vlaanderen</t>
  </si>
  <si>
    <t>Vzw Caw Zuid-West-Vlaanderen</t>
  </si>
  <si>
    <t xml:space="preserve">Activiteitencentrum Regulier
</t>
  </si>
  <si>
    <t xml:space="preserve">Activiteitencentrum Aanpak van relatie- en scheidingsproblemen
</t>
  </si>
  <si>
    <t xml:space="preserve">Activiteitencentrum acties tegen dak- en thuisloosheid - instellingsverlaters
</t>
  </si>
  <si>
    <t xml:space="preserve">Activiteitencentrum acties tegen dak- en thuisloosheid - housing first
</t>
  </si>
  <si>
    <t xml:space="preserve">Activiteitencentrum Budget in zicht
</t>
  </si>
  <si>
    <t xml:space="preserve">Activiteitencentrum sociaal artistiek project de figuranten
</t>
  </si>
  <si>
    <t xml:space="preserve">Activiteitencentrum Safe 'n Sound en Party
</t>
  </si>
  <si>
    <t xml:space="preserve">Activiteitencentrum Vluchtelingen ocmw kortrijk
</t>
  </si>
  <si>
    <t xml:space="preserve">Activiteitencentrum 1-euro maaltijden
</t>
  </si>
  <si>
    <t xml:space="preserve">Activiteitencentrum Msoc
</t>
  </si>
  <si>
    <t xml:space="preserve">Activiteitencentrum ESF
</t>
  </si>
  <si>
    <t xml:space="preserve">Activiteitencentrum Nachtopvang Daklozen
</t>
  </si>
  <si>
    <t xml:space="preserve">Activiteitencentrum Aktractie
</t>
  </si>
  <si>
    <t xml:space="preserve">Activiteitencentrum Schoolopbouwwerk
</t>
  </si>
  <si>
    <t xml:space="preserve">Activiteitencentrum Beschut Wonen
</t>
  </si>
  <si>
    <t xml:space="preserve">Activiteitencentrum Belgian Homelesscup
</t>
  </si>
  <si>
    <t xml:space="preserve">Activiteitencentrum W13
</t>
  </si>
  <si>
    <t xml:space="preserve">Activiteitencentrum Konekti
</t>
  </si>
  <si>
    <t xml:space="preserve">Activiteitencentrum 't werkt
</t>
  </si>
  <si>
    <t>terugtrekking uit de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</si>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</sst>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€-813];[Red]&quot;-&quot;#,##0.00&quot; &quot;[$€-813]"/>
    <numFmt numFmtId="165" formatCode="&quot; &quot;#,##0.00&quot; &quot;;&quot; -&quot;#,##0.00&quot; &quot;;&quot; -&quot;00&quot; &quot;;&quot; &quot;@&quot; &quot;"/>
    <numFmt numFmtId="166" formatCode="&quot; &quot;#,##0.0&quot; &quot;;&quot; -&quot;#,##0.0&quot; &quot;;&quot; -&quot;00&quot; &quot;;&quot; &quot;@&quot; &quot;"/>
    <numFmt numFmtId="167" formatCode="0.0"/>
    <numFmt numFmtId="168" formatCode="#,##0.0"/>
  </numFmts>
  <fonts count="2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6600"/>
      <name val="Arial"/>
      <family val="2"/>
    </font>
    <font>
      <sz val="11"/>
      <color rgb="FFCC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rgb="FF000000"/>
      <name val="Arial"/>
      <family val="2"/>
    </font>
    <font>
      <b/>
      <sz val="2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FF0000"/>
      <name val="Arial"/>
      <family val="2"/>
    </font>
    <font>
      <sz val="14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sz val="10"/>
      <color rgb="FF80808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0000"/>
        <bgColor rgb="FFFF000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A9D08E"/>
        <bgColor rgb="FFA9D08E"/>
      </patternFill>
    </fill>
    <fill>
      <patternFill patternType="solid">
        <fgColor rgb="FFC6E0B4"/>
        <bgColor rgb="FFC6E0B4"/>
      </patternFill>
    </fill>
    <fill>
      <patternFill patternType="solid">
        <fgColor rgb="FFC9C9C9"/>
        <bgColor rgb="FFC9C9C9"/>
      </patternFill>
    </fill>
    <fill>
      <patternFill patternType="solid">
        <fgColor rgb="FF8497B0"/>
        <bgColor rgb="FF8497B0"/>
      </patternFill>
    </fill>
    <fill>
      <patternFill patternType="solid">
        <fgColor rgb="FFEDEDED"/>
        <bgColor rgb="FFEDEDED"/>
      </patternFill>
    </fill>
    <fill>
      <patternFill patternType="solid">
        <fgColor rgb="FF7B7B7B"/>
        <bgColor rgb="FF7B7B7B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818A5"/>
        <bgColor rgb="FFB818A5"/>
      </patternFill>
    </fill>
    <fill>
      <patternFill patternType="solid">
        <fgColor rgb="FFFFD966"/>
        <bgColor rgb="FFFFD966"/>
      </patternFill>
    </fill>
    <fill>
      <patternFill patternType="solid">
        <fgColor rgb="FFCCFF66"/>
        <bgColor rgb="FFCCFF66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F7A9E6"/>
        <bgColor rgb="FFF7A9E6"/>
      </patternFill>
    </fill>
    <fill>
      <patternFill patternType="solid">
        <fgColor rgb="FFE3BDC1"/>
        <bgColor rgb="FFE3BDC1"/>
      </patternFill>
    </fill>
    <fill>
      <patternFill patternType="solid">
        <fgColor rgb="FF70AD47"/>
        <bgColor rgb="FF70AD47"/>
      </patternFill>
    </fill>
    <fill>
      <patternFill patternType="solid">
        <fgColor rgb="FFCFCD71"/>
        <bgColor rgb="FFCFCD71"/>
      </patternFill>
    </fill>
    <fill>
      <patternFill patternType="solid">
        <fgColor rgb="FF9BC2E6"/>
        <bgColor rgb="FF9BC2E6"/>
      </patternFill>
    </fill>
    <fill>
      <patternFill patternType="solid">
        <fgColor rgb="FFBFBFBF"/>
        <bgColor rgb="FFBFBFBF"/>
      </patternFill>
    </fill>
    <fill>
      <patternFill patternType="solid">
        <fgColor rgb="FFD6DCE4"/>
        <bgColor rgb="FFD6DCE4"/>
      </patternFill>
    </fill>
    <fill>
      <patternFill patternType="solid">
        <fgColor rgb="FF2F75B5"/>
        <bgColor rgb="FF2F75B5"/>
      </patternFill>
    </fill>
    <fill>
      <patternFill patternType="solid">
        <fgColor rgb="FFF4B084"/>
        <bgColor rgb="FFF4B084"/>
      </patternFill>
    </fill>
    <fill>
      <patternFill patternType="solid">
        <fgColor rgb="FFAEAAAA"/>
        <bgColor rgb="FFAEAAAA"/>
      </patternFill>
    </fill>
    <fill>
      <patternFill patternType="solid">
        <fgColor rgb="FFD9D9D9"/>
        <bgColor rgb="FFD9D9D9"/>
      </patternFill>
    </fill>
    <fill>
      <patternFill patternType="solid">
        <fgColor rgb="FFFF3399"/>
        <bgColor rgb="FFFF3399"/>
      </patternFill>
    </fill>
    <fill>
      <patternFill patternType="solid">
        <fgColor rgb="FF00FF99"/>
        <bgColor rgb="FF00FF99"/>
      </patternFill>
    </fill>
    <fill>
      <patternFill patternType="solid">
        <fgColor rgb="FF969696"/>
        <bgColor rgb="FF969696"/>
      </patternFill>
    </fill>
    <fill>
      <patternFill patternType="solid">
        <fgColor rgb="FFA6A6A6"/>
        <bgColor rgb="FFA6A6A6"/>
      </patternFill>
    </fill>
    <fill>
      <patternFill patternType="solid">
        <fgColor rgb="FF81D41A"/>
        <bgColor rgb="FF81D41A"/>
      </patternFill>
    </fill>
    <fill>
      <patternFill patternType="solid">
        <fgColor rgb="FFEEEEEE"/>
        <bgColor rgb="FFEEEEEE"/>
      </patternFill>
    </fill>
    <fill>
      <patternFill patternType="solid">
        <fgColor rgb="FFDBDBDB"/>
        <bgColor rgb="FFDBDBDB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7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 applyNumberFormat="0" applyBorder="0" applyProtection="0"/>
    <xf numFmtId="0" fontId="1" fillId="0" borderId="0" applyNumberFormat="0" applyFont="0" applyBorder="0" applyProtection="0"/>
  </cellStyleXfs>
  <cellXfs count="107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7" xfId="0" applyBorder="1"/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4" fontId="3" fillId="0" borderId="9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horizontal="left" vertical="top" wrapText="1"/>
    </xf>
    <xf numFmtId="4" fontId="0" fillId="0" borderId="8" xfId="0" applyNumberFormat="1" applyFill="1" applyBorder="1" applyAlignment="1">
      <alignment vertical="top"/>
    </xf>
    <xf numFmtId="0" fontId="0" fillId="0" borderId="9" xfId="0" applyFill="1" applyBorder="1" applyAlignment="1">
      <alignment vertical="top" wrapText="1"/>
    </xf>
    <xf numFmtId="4" fontId="0" fillId="0" borderId="9" xfId="0" applyNumberFormat="1" applyFill="1" applyBorder="1" applyAlignment="1">
      <alignment vertical="top"/>
    </xf>
    <xf numFmtId="0" fontId="3" fillId="0" borderId="9" xfId="0" applyFont="1" applyBorder="1"/>
    <xf numFmtId="0" fontId="0" fillId="0" borderId="9" xfId="0" applyBorder="1"/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8" fillId="0" borderId="0" xfId="0" applyFont="1"/>
    <xf numFmtId="0" fontId="0" fillId="0" borderId="13" xfId="0" applyBorder="1"/>
    <xf numFmtId="0" fontId="5" fillId="6" borderId="1" xfId="0" applyFont="1" applyFill="1" applyBorder="1" applyAlignment="1">
      <alignment horizontal="center" vertical="top" wrapText="1"/>
    </xf>
    <xf numFmtId="4" fontId="5" fillId="6" borderId="14" xfId="0" applyNumberFormat="1" applyFont="1" applyFill="1" applyBorder="1" applyAlignment="1">
      <alignment vertical="top"/>
    </xf>
    <xf numFmtId="0" fontId="0" fillId="0" borderId="15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9" xfId="0" applyFill="1" applyBorder="1" applyAlignment="1">
      <alignment horizontal="center" vertical="top" wrapText="1"/>
    </xf>
    <xf numFmtId="4" fontId="0" fillId="0" borderId="21" xfId="0" applyNumberFormat="1" applyFill="1" applyBorder="1" applyAlignment="1">
      <alignment vertical="top" wrapText="1"/>
    </xf>
    <xf numFmtId="0" fontId="0" fillId="0" borderId="22" xfId="0" applyFill="1" applyBorder="1" applyAlignment="1">
      <alignment horizontal="center" vertical="top" wrapText="1"/>
    </xf>
    <xf numFmtId="4" fontId="0" fillId="0" borderId="23" xfId="0" applyNumberFormat="1" applyFill="1" applyBorder="1" applyAlignment="1">
      <alignment vertical="top" wrapText="1"/>
    </xf>
    <xf numFmtId="0" fontId="0" fillId="0" borderId="24" xfId="0" applyBorder="1" applyAlignment="1">
      <alignment vertical="top"/>
    </xf>
    <xf numFmtId="4" fontId="0" fillId="0" borderId="24" xfId="0" applyNumberFormat="1" applyFill="1" applyBorder="1" applyAlignment="1">
      <alignment vertical="top" wrapText="1"/>
    </xf>
    <xf numFmtId="4" fontId="0" fillId="0" borderId="23" xfId="0" applyNumberFormat="1" applyFill="1" applyBorder="1" applyAlignment="1">
      <alignment vertical="top"/>
    </xf>
    <xf numFmtId="4" fontId="3" fillId="5" borderId="14" xfId="0" applyNumberFormat="1" applyFont="1" applyFill="1" applyBorder="1" applyAlignment="1">
      <alignment vertical="top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center" vertical="top" wrapText="1"/>
    </xf>
    <xf numFmtId="4" fontId="0" fillId="5" borderId="8" xfId="0" applyNumberFormat="1" applyFill="1" applyBorder="1" applyAlignment="1">
      <alignment vertical="top"/>
    </xf>
    <xf numFmtId="0" fontId="0" fillId="5" borderId="17" xfId="0" applyFill="1" applyBorder="1" applyAlignment="1">
      <alignment vertical="top" wrapText="1"/>
    </xf>
    <xf numFmtId="4" fontId="0" fillId="5" borderId="17" xfId="0" applyNumberFormat="1" applyFill="1" applyBorder="1" applyAlignment="1">
      <alignment vertical="top" wrapText="1"/>
    </xf>
    <xf numFmtId="0" fontId="0" fillId="0" borderId="25" xfId="0" applyBorder="1"/>
    <xf numFmtId="0" fontId="0" fillId="0" borderId="18" xfId="0" applyBorder="1"/>
    <xf numFmtId="4" fontId="0" fillId="0" borderId="18" xfId="0" applyNumberFormat="1" applyBorder="1"/>
    <xf numFmtId="0" fontId="0" fillId="0" borderId="26" xfId="0" applyBorder="1"/>
    <xf numFmtId="0" fontId="0" fillId="0" borderId="27" xfId="0" applyBorder="1"/>
    <xf numFmtId="0" fontId="0" fillId="0" borderId="20" xfId="0" applyBorder="1"/>
    <xf numFmtId="4" fontId="0" fillId="0" borderId="20" xfId="0" applyNumberFormat="1" applyBorder="1"/>
    <xf numFmtId="0" fontId="3" fillId="0" borderId="0" xfId="0" applyFont="1"/>
    <xf numFmtId="0" fontId="0" fillId="0" borderId="18" xfId="0" applyFill="1" applyBorder="1"/>
    <xf numFmtId="0" fontId="4" fillId="0" borderId="0" xfId="0" applyFont="1"/>
    <xf numFmtId="0" fontId="0" fillId="0" borderId="0" xfId="0" applyAlignment="1">
      <alignment horizontal="center"/>
    </xf>
    <xf numFmtId="4" fontId="5" fillId="6" borderId="14" xfId="0" applyNumberFormat="1" applyFont="1" applyFill="1" applyBorder="1" applyAlignment="1" applyProtection="1">
      <alignment vertical="top"/>
    </xf>
    <xf numFmtId="2" fontId="5" fillId="6" borderId="14" xfId="0" applyNumberFormat="1" applyFont="1" applyFill="1" applyBorder="1" applyAlignment="1" applyProtection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4" fontId="0" fillId="0" borderId="0" xfId="0" applyNumberFormat="1" applyFill="1" applyAlignment="1">
      <alignment vertical="top"/>
    </xf>
    <xf numFmtId="4" fontId="0" fillId="0" borderId="29" xfId="0" applyNumberFormat="1" applyFill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5" fillId="6" borderId="9" xfId="0" applyFont="1" applyFill="1" applyBorder="1" applyAlignment="1">
      <alignment horizontal="center" vertical="top" wrapText="1"/>
    </xf>
    <xf numFmtId="4" fontId="5" fillId="6" borderId="9" xfId="0" applyNumberFormat="1" applyFont="1" applyFill="1" applyBorder="1" applyAlignment="1" applyProtection="1">
      <alignment vertical="top"/>
    </xf>
    <xf numFmtId="0" fontId="3" fillId="0" borderId="8" xfId="0" applyFont="1" applyBorder="1" applyAlignment="1">
      <alignment horizontal="center" vertical="top" wrapText="1"/>
    </xf>
    <xf numFmtId="4" fontId="0" fillId="0" borderId="8" xfId="0" applyNumberFormat="1" applyBorder="1" applyAlignment="1">
      <alignment vertical="top" wrapText="1"/>
    </xf>
    <xf numFmtId="4" fontId="0" fillId="0" borderId="8" xfId="0" applyNumberForma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5" fillId="6" borderId="9" xfId="0" applyNumberFormat="1" applyFont="1" applyFill="1" applyBorder="1" applyAlignment="1" applyProtection="1">
      <alignment vertical="top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4" fontId="0" fillId="0" borderId="9" xfId="0" applyNumberFormat="1" applyFill="1" applyBorder="1"/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wrapText="1"/>
    </xf>
    <xf numFmtId="4" fontId="0" fillId="0" borderId="12" xfId="0" applyNumberFormat="1" applyFill="1" applyBorder="1"/>
    <xf numFmtId="4" fontId="0" fillId="0" borderId="31" xfId="0" applyNumberFormat="1" applyBorder="1"/>
    <xf numFmtId="0" fontId="0" fillId="0" borderId="9" xfId="0" applyFill="1" applyBorder="1"/>
    <xf numFmtId="4" fontId="3" fillId="0" borderId="32" xfId="0" applyNumberFormat="1" applyFont="1" applyBorder="1" applyAlignment="1">
      <alignment vertical="top"/>
    </xf>
    <xf numFmtId="4" fontId="9" fillId="0" borderId="0" xfId="0" applyNumberFormat="1" applyFont="1"/>
    <xf numFmtId="4" fontId="10" fillId="0" borderId="0" xfId="0" applyNumberFormat="1" applyFont="1"/>
    <xf numFmtId="4" fontId="5" fillId="0" borderId="9" xfId="0" applyNumberFormat="1" applyFont="1" applyBorder="1" applyAlignment="1">
      <alignment horizontal="center"/>
    </xf>
    <xf numFmtId="4" fontId="0" fillId="0" borderId="0" xfId="0" applyNumberFormat="1" applyFill="1"/>
    <xf numFmtId="0" fontId="6" fillId="0" borderId="0" xfId="0" applyFont="1"/>
    <xf numFmtId="4" fontId="5" fillId="0" borderId="9" xfId="0" applyNumberFormat="1" applyFont="1" applyFill="1" applyBorder="1" applyAlignment="1">
      <alignment vertical="top" wrapText="1"/>
    </xf>
    <xf numFmtId="165" fontId="5" fillId="6" borderId="14" xfId="1" applyFont="1" applyFill="1" applyBorder="1" applyAlignment="1">
      <alignment vertical="top"/>
    </xf>
    <xf numFmtId="0" fontId="0" fillId="0" borderId="25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4" fontId="0" fillId="0" borderId="18" xfId="0" applyNumberFormat="1" applyFill="1" applyBorder="1" applyAlignment="1">
      <alignment vertical="top" wrapText="1"/>
    </xf>
    <xf numFmtId="4" fontId="0" fillId="0" borderId="0" xfId="0" applyNumberFormat="1" applyFill="1" applyAlignment="1">
      <alignment vertical="top" wrapText="1"/>
    </xf>
    <xf numFmtId="4" fontId="0" fillId="0" borderId="9" xfId="0" applyNumberFormat="1" applyFill="1" applyBorder="1" applyAlignment="1">
      <alignment vertical="top" wrapText="1"/>
    </xf>
    <xf numFmtId="0" fontId="0" fillId="0" borderId="0" xfId="0" applyFill="1"/>
    <xf numFmtId="165" fontId="0" fillId="0" borderId="0" xfId="0" applyNumberFormat="1"/>
    <xf numFmtId="4" fontId="3" fillId="0" borderId="33" xfId="0" applyNumberFormat="1" applyFont="1" applyFill="1" applyBorder="1" applyAlignment="1">
      <alignment vertical="top" wrapText="1"/>
    </xf>
    <xf numFmtId="4" fontId="3" fillId="0" borderId="34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horizontal="center" wrapText="1"/>
    </xf>
    <xf numFmtId="4" fontId="5" fillId="0" borderId="14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/>
    </xf>
    <xf numFmtId="0" fontId="3" fillId="0" borderId="8" xfId="0" applyFont="1" applyFill="1" applyBorder="1"/>
    <xf numFmtId="0" fontId="3" fillId="0" borderId="35" xfId="0" applyFont="1" applyFill="1" applyBorder="1"/>
    <xf numFmtId="4" fontId="3" fillId="0" borderId="33" xfId="0" applyNumberFormat="1" applyFont="1" applyFill="1" applyBorder="1"/>
    <xf numFmtId="4" fontId="3" fillId="0" borderId="35" xfId="0" applyNumberFormat="1" applyFont="1" applyFill="1" applyBorder="1" applyAlignment="1">
      <alignment vertical="top"/>
    </xf>
    <xf numFmtId="4" fontId="3" fillId="0" borderId="18" xfId="0" applyNumberFormat="1" applyFont="1" applyFill="1" applyBorder="1" applyAlignment="1">
      <alignment vertical="top" wrapText="1"/>
    </xf>
    <xf numFmtId="0" fontId="3" fillId="0" borderId="10" xfId="0" applyFont="1" applyFill="1" applyBorder="1"/>
    <xf numFmtId="0" fontId="3" fillId="0" borderId="18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left"/>
    </xf>
    <xf numFmtId="0" fontId="3" fillId="0" borderId="17" xfId="0" applyFont="1" applyFill="1" applyBorder="1"/>
    <xf numFmtId="0" fontId="3" fillId="0" borderId="25" xfId="0" applyFont="1" applyFill="1" applyBorder="1" applyAlignment="1">
      <alignment horizontal="left" vertical="top" wrapText="1"/>
    </xf>
    <xf numFmtId="4" fontId="3" fillId="0" borderId="36" xfId="0" applyNumberFormat="1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vertical="top"/>
    </xf>
    <xf numFmtId="4" fontId="3" fillId="0" borderId="30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8" xfId="0" applyFont="1" applyFill="1" applyBorder="1"/>
    <xf numFmtId="0" fontId="3" fillId="0" borderId="3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14" fillId="0" borderId="0" xfId="0" applyFont="1" applyFill="1"/>
    <xf numFmtId="4" fontId="5" fillId="0" borderId="14" xfId="0" applyNumberFormat="1" applyFont="1" applyFill="1" applyBorder="1" applyAlignment="1" applyProtection="1">
      <alignment vertical="top"/>
    </xf>
    <xf numFmtId="4" fontId="0" fillId="0" borderId="10" xfId="0" applyNumberFormat="1" applyFill="1" applyBorder="1" applyAlignment="1">
      <alignment vertical="top"/>
    </xf>
    <xf numFmtId="4" fontId="5" fillId="0" borderId="9" xfId="0" applyNumberFormat="1" applyFont="1" applyFill="1" applyBorder="1" applyAlignment="1" applyProtection="1">
      <alignment vertical="center"/>
    </xf>
    <xf numFmtId="4" fontId="5" fillId="0" borderId="34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4" fontId="0" fillId="4" borderId="8" xfId="0" applyNumberFormat="1" applyFill="1" applyBorder="1" applyAlignment="1">
      <alignment vertical="top"/>
    </xf>
    <xf numFmtId="0" fontId="0" fillId="4" borderId="18" xfId="0" applyFill="1" applyBorder="1"/>
    <xf numFmtId="4" fontId="3" fillId="7" borderId="17" xfId="0" applyNumberFormat="1" applyFont="1" applyFill="1" applyBorder="1" applyAlignment="1">
      <alignment vertical="top" wrapText="1"/>
    </xf>
    <xf numFmtId="0" fontId="0" fillId="0" borderId="32" xfId="0" applyFill="1" applyBorder="1"/>
    <xf numFmtId="0" fontId="0" fillId="0" borderId="25" xfId="0" applyBorder="1" applyAlignment="1">
      <alignment horizontal="center"/>
    </xf>
    <xf numFmtId="4" fontId="3" fillId="0" borderId="18" xfId="0" applyNumberFormat="1" applyFont="1" applyFill="1" applyBorder="1"/>
    <xf numFmtId="0" fontId="3" fillId="0" borderId="11" xfId="0" applyFont="1" applyFill="1" applyBorder="1"/>
    <xf numFmtId="0" fontId="3" fillId="0" borderId="25" xfId="0" applyFont="1" applyFill="1" applyBorder="1" applyAlignment="1">
      <alignment horizontal="center" wrapText="1"/>
    </xf>
    <xf numFmtId="0" fontId="3" fillId="0" borderId="9" xfId="0" applyFont="1" applyFill="1" applyBorder="1"/>
    <xf numFmtId="0" fontId="3" fillId="0" borderId="38" xfId="0" applyFont="1" applyFill="1" applyBorder="1" applyAlignment="1">
      <alignment horizontal="center"/>
    </xf>
    <xf numFmtId="4" fontId="0" fillId="0" borderId="36" xfId="0" applyNumberFormat="1" applyFill="1" applyBorder="1" applyAlignment="1"/>
    <xf numFmtId="0" fontId="3" fillId="0" borderId="9" xfId="0" applyFont="1" applyFill="1" applyBorder="1" applyAlignment="1">
      <alignment horizontal="center"/>
    </xf>
    <xf numFmtId="0" fontId="0" fillId="0" borderId="11" xfId="0" applyFill="1" applyBorder="1"/>
    <xf numFmtId="0" fontId="0" fillId="0" borderId="26" xfId="0" applyBorder="1" applyAlignment="1">
      <alignment horizontal="center"/>
    </xf>
    <xf numFmtId="4" fontId="15" fillId="0" borderId="20" xfId="0" applyNumberFormat="1" applyFont="1" applyFill="1" applyBorder="1" applyAlignment="1">
      <alignment vertical="top" wrapText="1"/>
    </xf>
    <xf numFmtId="4" fontId="3" fillId="0" borderId="0" xfId="0" applyNumberFormat="1" applyFont="1" applyFill="1"/>
    <xf numFmtId="0" fontId="5" fillId="0" borderId="14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4" fontId="0" fillId="0" borderId="8" xfId="0" applyNumberFormat="1" applyFill="1" applyBorder="1"/>
    <xf numFmtId="0" fontId="0" fillId="0" borderId="10" xfId="0" applyFill="1" applyBorder="1"/>
    <xf numFmtId="0" fontId="0" fillId="4" borderId="10" xfId="0" applyFill="1" applyBorder="1"/>
    <xf numFmtId="4" fontId="0" fillId="8" borderId="9" xfId="0" applyNumberFormat="1" applyFill="1" applyBorder="1"/>
    <xf numFmtId="0" fontId="0" fillId="0" borderId="10" xfId="0" applyBorder="1"/>
    <xf numFmtId="4" fontId="0" fillId="0" borderId="32" xfId="0" applyNumberFormat="1" applyFill="1" applyBorder="1"/>
    <xf numFmtId="4" fontId="0" fillId="0" borderId="14" xfId="0" applyNumberFormat="1" applyFill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3" fillId="0" borderId="20" xfId="0" applyFont="1" applyBorder="1"/>
    <xf numFmtId="0" fontId="0" fillId="0" borderId="15" xfId="0" applyBorder="1" applyAlignment="1">
      <alignment horizontal="center" vertical="top" wrapText="1"/>
    </xf>
    <xf numFmtId="4" fontId="0" fillId="0" borderId="17" xfId="0" applyNumberFormat="1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4" fontId="0" fillId="0" borderId="21" xfId="0" applyNumberForma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0" fillId="0" borderId="8" xfId="0" applyNumberFormat="1" applyBorder="1" applyAlignment="1">
      <alignment vertical="top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16" fillId="0" borderId="0" xfId="0" applyFont="1"/>
    <xf numFmtId="4" fontId="5" fillId="0" borderId="17" xfId="0" applyNumberFormat="1" applyFont="1" applyFill="1" applyBorder="1" applyAlignment="1">
      <alignment vertical="top" wrapText="1"/>
    </xf>
    <xf numFmtId="0" fontId="0" fillId="0" borderId="38" xfId="0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vertical="top" wrapText="1"/>
    </xf>
    <xf numFmtId="0" fontId="0" fillId="0" borderId="40" xfId="0" applyFill="1" applyBorder="1" applyAlignment="1">
      <alignment horizontal="center" vertical="top" wrapText="1"/>
    </xf>
    <xf numFmtId="4" fontId="3" fillId="0" borderId="41" xfId="0" applyNumberFormat="1" applyFont="1" applyFill="1" applyBorder="1" applyAlignment="1">
      <alignment vertical="top"/>
    </xf>
    <xf numFmtId="0" fontId="0" fillId="0" borderId="42" xfId="0" applyBorder="1" applyAlignment="1">
      <alignment vertical="top"/>
    </xf>
    <xf numFmtId="4" fontId="3" fillId="3" borderId="41" xfId="0" applyNumberFormat="1" applyFont="1" applyFill="1" applyBorder="1" applyAlignment="1">
      <alignment vertical="top"/>
    </xf>
    <xf numFmtId="0" fontId="0" fillId="3" borderId="42" xfId="0" applyFill="1" applyBorder="1" applyAlignment="1">
      <alignment vertical="top"/>
    </xf>
    <xf numFmtId="4" fontId="0" fillId="3" borderId="29" xfId="0" applyNumberFormat="1" applyFill="1" applyBorder="1" applyAlignment="1">
      <alignment vertical="top" wrapText="1"/>
    </xf>
    <xf numFmtId="4" fontId="3" fillId="9" borderId="41" xfId="0" applyNumberFormat="1" applyFont="1" applyFill="1" applyBorder="1" applyAlignment="1">
      <alignment vertical="top"/>
    </xf>
    <xf numFmtId="0" fontId="0" fillId="9" borderId="42" xfId="0" applyFill="1" applyBorder="1" applyAlignment="1">
      <alignment vertical="top"/>
    </xf>
    <xf numFmtId="4" fontId="0" fillId="9" borderId="29" xfId="0" applyNumberFormat="1" applyFill="1" applyBorder="1" applyAlignment="1">
      <alignment vertical="top" wrapText="1"/>
    </xf>
    <xf numFmtId="4" fontId="3" fillId="10" borderId="41" xfId="0" applyNumberFormat="1" applyFont="1" applyFill="1" applyBorder="1" applyAlignment="1">
      <alignment vertical="top"/>
    </xf>
    <xf numFmtId="0" fontId="0" fillId="10" borderId="42" xfId="0" applyFill="1" applyBorder="1" applyAlignment="1">
      <alignment vertical="top"/>
    </xf>
    <xf numFmtId="4" fontId="0" fillId="10" borderId="29" xfId="0" applyNumberFormat="1" applyFill="1" applyBorder="1" applyAlignment="1">
      <alignment vertical="top" wrapText="1"/>
    </xf>
    <xf numFmtId="4" fontId="3" fillId="11" borderId="41" xfId="0" applyNumberFormat="1" applyFont="1" applyFill="1" applyBorder="1" applyAlignment="1">
      <alignment vertical="top"/>
    </xf>
    <xf numFmtId="0" fontId="0" fillId="11" borderId="42" xfId="0" applyFill="1" applyBorder="1" applyAlignment="1">
      <alignment vertical="top"/>
    </xf>
    <xf numFmtId="4" fontId="0" fillId="11" borderId="29" xfId="0" applyNumberFormat="1" applyFill="1" applyBorder="1" applyAlignment="1">
      <alignment vertical="top" wrapText="1"/>
    </xf>
    <xf numFmtId="4" fontId="3" fillId="12" borderId="41" xfId="0" applyNumberFormat="1" applyFont="1" applyFill="1" applyBorder="1" applyAlignment="1">
      <alignment vertical="top"/>
    </xf>
    <xf numFmtId="0" fontId="0" fillId="12" borderId="42" xfId="0" applyFill="1" applyBorder="1" applyAlignment="1">
      <alignment vertical="top"/>
    </xf>
    <xf numFmtId="4" fontId="0" fillId="12" borderId="29" xfId="0" applyNumberFormat="1" applyFill="1" applyBorder="1" applyAlignment="1">
      <alignment vertical="top" wrapText="1"/>
    </xf>
    <xf numFmtId="4" fontId="3" fillId="13" borderId="41" xfId="0" applyNumberFormat="1" applyFont="1" applyFill="1" applyBorder="1" applyAlignment="1">
      <alignment vertical="top"/>
    </xf>
    <xf numFmtId="0" fontId="0" fillId="13" borderId="42" xfId="0" applyFill="1" applyBorder="1" applyAlignment="1">
      <alignment vertical="top"/>
    </xf>
    <xf numFmtId="4" fontId="0" fillId="13" borderId="29" xfId="0" applyNumberFormat="1" applyFill="1" applyBorder="1" applyAlignment="1">
      <alignment vertical="top" wrapText="1"/>
    </xf>
    <xf numFmtId="4" fontId="3" fillId="14" borderId="41" xfId="0" applyNumberFormat="1" applyFont="1" applyFill="1" applyBorder="1" applyAlignment="1">
      <alignment vertical="top"/>
    </xf>
    <xf numFmtId="0" fontId="0" fillId="14" borderId="42" xfId="0" applyFill="1" applyBorder="1" applyAlignment="1">
      <alignment vertical="top"/>
    </xf>
    <xf numFmtId="4" fontId="0" fillId="14" borderId="29" xfId="0" applyNumberFormat="1" applyFill="1" applyBorder="1" applyAlignment="1">
      <alignment vertical="top" wrapText="1"/>
    </xf>
    <xf numFmtId="4" fontId="3" fillId="15" borderId="41" xfId="0" applyNumberFormat="1" applyFont="1" applyFill="1" applyBorder="1" applyAlignment="1">
      <alignment vertical="top"/>
    </xf>
    <xf numFmtId="0" fontId="0" fillId="15" borderId="42" xfId="0" applyFill="1" applyBorder="1" applyAlignment="1">
      <alignment vertical="top"/>
    </xf>
    <xf numFmtId="4" fontId="0" fillId="15" borderId="29" xfId="0" applyNumberFormat="1" applyFill="1" applyBorder="1" applyAlignment="1">
      <alignment vertical="top" wrapText="1"/>
    </xf>
    <xf numFmtId="4" fontId="3" fillId="16" borderId="41" xfId="0" applyNumberFormat="1" applyFont="1" applyFill="1" applyBorder="1" applyAlignment="1">
      <alignment vertical="top"/>
    </xf>
    <xf numFmtId="0" fontId="0" fillId="16" borderId="42" xfId="0" applyFill="1" applyBorder="1" applyAlignment="1">
      <alignment vertical="top"/>
    </xf>
    <xf numFmtId="4" fontId="0" fillId="16" borderId="29" xfId="0" applyNumberFormat="1" applyFill="1" applyBorder="1" applyAlignment="1">
      <alignment vertical="top" wrapText="1"/>
    </xf>
    <xf numFmtId="4" fontId="3" fillId="17" borderId="41" xfId="0" applyNumberFormat="1" applyFont="1" applyFill="1" applyBorder="1" applyAlignment="1">
      <alignment vertical="top"/>
    </xf>
    <xf numFmtId="0" fontId="0" fillId="17" borderId="42" xfId="0" applyFill="1" applyBorder="1" applyAlignment="1">
      <alignment vertical="top"/>
    </xf>
    <xf numFmtId="4" fontId="0" fillId="17" borderId="29" xfId="0" applyNumberFormat="1" applyFill="1" applyBorder="1" applyAlignment="1">
      <alignment vertical="top" wrapText="1"/>
    </xf>
    <xf numFmtId="4" fontId="0" fillId="18" borderId="41" xfId="0" applyNumberFormat="1" applyFill="1" applyBorder="1" applyAlignment="1">
      <alignment vertical="top"/>
    </xf>
    <xf numFmtId="0" fontId="0" fillId="18" borderId="42" xfId="0" applyFill="1" applyBorder="1" applyAlignment="1">
      <alignment vertical="top"/>
    </xf>
    <xf numFmtId="4" fontId="0" fillId="18" borderId="29" xfId="0" applyNumberFormat="1" applyFill="1" applyBorder="1" applyAlignment="1">
      <alignment vertical="top" wrapText="1"/>
    </xf>
    <xf numFmtId="4" fontId="0" fillId="19" borderId="41" xfId="0" applyNumberFormat="1" applyFill="1" applyBorder="1" applyAlignment="1">
      <alignment vertical="top"/>
    </xf>
    <xf numFmtId="0" fontId="0" fillId="19" borderId="42" xfId="0" applyFill="1" applyBorder="1" applyAlignment="1">
      <alignment vertical="top"/>
    </xf>
    <xf numFmtId="4" fontId="0" fillId="19" borderId="42" xfId="0" applyNumberFormat="1" applyFill="1" applyBorder="1" applyAlignment="1">
      <alignment vertical="top" wrapText="1"/>
    </xf>
    <xf numFmtId="4" fontId="3" fillId="20" borderId="41" xfId="0" applyNumberFormat="1" applyFont="1" applyFill="1" applyBorder="1" applyAlignment="1">
      <alignment vertical="top"/>
    </xf>
    <xf numFmtId="0" fontId="0" fillId="20" borderId="42" xfId="0" applyFill="1" applyBorder="1" applyAlignment="1">
      <alignment vertical="top"/>
    </xf>
    <xf numFmtId="4" fontId="0" fillId="20" borderId="42" xfId="0" applyNumberFormat="1" applyFill="1" applyBorder="1" applyAlignment="1">
      <alignment vertical="top" wrapText="1"/>
    </xf>
    <xf numFmtId="4" fontId="3" fillId="21" borderId="41" xfId="0" applyNumberFormat="1" applyFont="1" applyFill="1" applyBorder="1" applyAlignment="1">
      <alignment vertical="top"/>
    </xf>
    <xf numFmtId="0" fontId="0" fillId="21" borderId="42" xfId="0" applyFill="1" applyBorder="1" applyAlignment="1">
      <alignment vertical="top"/>
    </xf>
    <xf numFmtId="4" fontId="0" fillId="21" borderId="42" xfId="0" applyNumberFormat="1" applyFill="1" applyBorder="1" applyAlignment="1">
      <alignment vertical="top" wrapText="1"/>
    </xf>
    <xf numFmtId="4" fontId="3" fillId="22" borderId="41" xfId="0" applyNumberFormat="1" applyFont="1" applyFill="1" applyBorder="1" applyAlignment="1">
      <alignment vertical="top"/>
    </xf>
    <xf numFmtId="0" fontId="0" fillId="22" borderId="42" xfId="0" applyFill="1" applyBorder="1" applyAlignment="1">
      <alignment vertical="top"/>
    </xf>
    <xf numFmtId="4" fontId="0" fillId="22" borderId="42" xfId="0" applyNumberFormat="1" applyFill="1" applyBorder="1" applyAlignment="1">
      <alignment vertical="top" wrapText="1"/>
    </xf>
    <xf numFmtId="4" fontId="3" fillId="23" borderId="41" xfId="0" applyNumberFormat="1" applyFont="1" applyFill="1" applyBorder="1" applyAlignment="1">
      <alignment vertical="top"/>
    </xf>
    <xf numFmtId="0" fontId="0" fillId="23" borderId="42" xfId="0" applyFill="1" applyBorder="1" applyAlignment="1">
      <alignment vertical="top"/>
    </xf>
    <xf numFmtId="4" fontId="0" fillId="23" borderId="42" xfId="0" applyNumberFormat="1" applyFill="1" applyBorder="1" applyAlignment="1">
      <alignment vertical="top" wrapText="1"/>
    </xf>
    <xf numFmtId="4" fontId="0" fillId="24" borderId="41" xfId="0" applyNumberFormat="1" applyFill="1" applyBorder="1" applyAlignment="1">
      <alignment vertical="top"/>
    </xf>
    <xf numFmtId="0" fontId="0" fillId="24" borderId="42" xfId="0" applyFill="1" applyBorder="1" applyAlignment="1">
      <alignment vertical="top"/>
    </xf>
    <xf numFmtId="4" fontId="0" fillId="24" borderId="42" xfId="0" applyNumberFormat="1" applyFill="1" applyBorder="1" applyAlignment="1">
      <alignment vertical="top" wrapText="1"/>
    </xf>
    <xf numFmtId="4" fontId="3" fillId="25" borderId="41" xfId="0" applyNumberFormat="1" applyFont="1" applyFill="1" applyBorder="1" applyAlignment="1">
      <alignment vertical="top"/>
    </xf>
    <xf numFmtId="0" fontId="0" fillId="25" borderId="42" xfId="0" applyFill="1" applyBorder="1" applyAlignment="1">
      <alignment vertical="top"/>
    </xf>
    <xf numFmtId="4" fontId="0" fillId="25" borderId="42" xfId="0" applyNumberFormat="1" applyFill="1" applyBorder="1" applyAlignment="1">
      <alignment vertical="top" wrapText="1"/>
    </xf>
    <xf numFmtId="4" fontId="0" fillId="8" borderId="41" xfId="0" applyNumberFormat="1" applyFill="1" applyBorder="1" applyAlignment="1">
      <alignment vertical="top"/>
    </xf>
    <xf numFmtId="0" fontId="0" fillId="8" borderId="42" xfId="0" applyFill="1" applyBorder="1" applyAlignment="1">
      <alignment vertical="top"/>
    </xf>
    <xf numFmtId="4" fontId="0" fillId="8" borderId="42" xfId="0" applyNumberFormat="1" applyFill="1" applyBorder="1" applyAlignment="1">
      <alignment vertical="top" wrapText="1"/>
    </xf>
    <xf numFmtId="4" fontId="0" fillId="26" borderId="41" xfId="0" applyNumberFormat="1" applyFill="1" applyBorder="1" applyAlignment="1">
      <alignment vertical="top"/>
    </xf>
    <xf numFmtId="0" fontId="0" fillId="26" borderId="42" xfId="0" applyFill="1" applyBorder="1" applyAlignment="1">
      <alignment vertical="top"/>
    </xf>
    <xf numFmtId="4" fontId="0" fillId="26" borderId="42" xfId="0" applyNumberFormat="1" applyFill="1" applyBorder="1" applyAlignment="1">
      <alignment vertical="top" wrapText="1"/>
    </xf>
    <xf numFmtId="4" fontId="3" fillId="27" borderId="41" xfId="0" applyNumberFormat="1" applyFont="1" applyFill="1" applyBorder="1" applyAlignment="1">
      <alignment vertical="top"/>
    </xf>
    <xf numFmtId="0" fontId="0" fillId="27" borderId="42" xfId="0" applyFill="1" applyBorder="1" applyAlignment="1">
      <alignment vertical="top"/>
    </xf>
    <xf numFmtId="4" fontId="0" fillId="27" borderId="43" xfId="0" applyNumberFormat="1" applyFill="1" applyBorder="1" applyAlignment="1">
      <alignment vertical="top" wrapText="1"/>
    </xf>
    <xf numFmtId="4" fontId="3" fillId="28" borderId="41" xfId="0" applyNumberFormat="1" applyFont="1" applyFill="1" applyBorder="1" applyAlignment="1">
      <alignment vertical="top"/>
    </xf>
    <xf numFmtId="0" fontId="0" fillId="28" borderId="42" xfId="0" applyFill="1" applyBorder="1" applyAlignment="1">
      <alignment vertical="top"/>
    </xf>
    <xf numFmtId="4" fontId="0" fillId="28" borderId="43" xfId="0" applyNumberFormat="1" applyFill="1" applyBorder="1" applyAlignment="1">
      <alignment vertical="top" wrapText="1"/>
    </xf>
    <xf numFmtId="4" fontId="0" fillId="14" borderId="43" xfId="0" applyNumberFormat="1" applyFill="1" applyBorder="1" applyAlignment="1">
      <alignment vertical="top" wrapText="1"/>
    </xf>
    <xf numFmtId="4" fontId="3" fillId="29" borderId="41" xfId="0" applyNumberFormat="1" applyFont="1" applyFill="1" applyBorder="1" applyAlignment="1">
      <alignment vertical="top"/>
    </xf>
    <xf numFmtId="0" fontId="0" fillId="29" borderId="42" xfId="0" applyFill="1" applyBorder="1" applyAlignment="1">
      <alignment vertical="top"/>
    </xf>
    <xf numFmtId="4" fontId="0" fillId="29" borderId="33" xfId="0" applyNumberFormat="1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44" xfId="0" applyFont="1" applyBorder="1" applyAlignment="1">
      <alignment horizontal="left" wrapText="1"/>
    </xf>
    <xf numFmtId="0" fontId="3" fillId="0" borderId="16" xfId="0" applyFont="1" applyFill="1" applyBorder="1" applyAlignment="1">
      <alignment vertical="top" wrapText="1"/>
    </xf>
    <xf numFmtId="4" fontId="3" fillId="0" borderId="45" xfId="0" applyNumberFormat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vertical="top" wrapText="1"/>
    </xf>
    <xf numFmtId="4" fontId="3" fillId="3" borderId="46" xfId="0" applyNumberFormat="1" applyFont="1" applyFill="1" applyBorder="1" applyAlignment="1">
      <alignment horizontal="right" vertical="top" wrapText="1"/>
    </xf>
    <xf numFmtId="0" fontId="3" fillId="9" borderId="6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left" wrapText="1"/>
    </xf>
    <xf numFmtId="0" fontId="3" fillId="9" borderId="18" xfId="0" applyFont="1" applyFill="1" applyBorder="1" applyAlignment="1">
      <alignment vertical="top" wrapText="1"/>
    </xf>
    <xf numFmtId="4" fontId="3" fillId="9" borderId="46" xfId="0" applyNumberFormat="1" applyFont="1" applyFill="1" applyBorder="1" applyAlignment="1">
      <alignment horizontal="right" vertical="top" wrapText="1"/>
    </xf>
    <xf numFmtId="0" fontId="3" fillId="10" borderId="6" xfId="0" applyFont="1" applyFill="1" applyBorder="1" applyAlignment="1">
      <alignment horizontal="center"/>
    </xf>
    <xf numFmtId="0" fontId="3" fillId="10" borderId="44" xfId="0" applyFont="1" applyFill="1" applyBorder="1" applyAlignment="1">
      <alignment horizontal="left" wrapText="1"/>
    </xf>
    <xf numFmtId="0" fontId="3" fillId="10" borderId="18" xfId="0" applyFont="1" applyFill="1" applyBorder="1" applyAlignment="1">
      <alignment vertical="top" wrapText="1"/>
    </xf>
    <xf numFmtId="4" fontId="3" fillId="10" borderId="46" xfId="0" applyNumberFormat="1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4" fontId="3" fillId="0" borderId="47" xfId="0" applyNumberFormat="1" applyFont="1" applyFill="1" applyBorder="1" applyAlignment="1">
      <alignment horizontal="right" vertical="top" wrapText="1"/>
    </xf>
    <xf numFmtId="0" fontId="3" fillId="3" borderId="2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 wrapText="1"/>
    </xf>
    <xf numFmtId="4" fontId="3" fillId="3" borderId="47" xfId="0" applyNumberFormat="1" applyFont="1" applyFill="1" applyBorder="1" applyAlignment="1">
      <alignment horizontal="right" vertical="top" wrapText="1"/>
    </xf>
    <xf numFmtId="0" fontId="3" fillId="9" borderId="25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 wrapText="1"/>
    </xf>
    <xf numFmtId="4" fontId="3" fillId="9" borderId="47" xfId="0" applyNumberFormat="1" applyFont="1" applyFill="1" applyBorder="1" applyAlignment="1">
      <alignment horizontal="right" vertical="top" wrapText="1"/>
    </xf>
    <xf numFmtId="0" fontId="3" fillId="10" borderId="25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 wrapText="1"/>
    </xf>
    <xf numFmtId="4" fontId="3" fillId="10" borderId="47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 wrapText="1"/>
    </xf>
    <xf numFmtId="4" fontId="3" fillId="0" borderId="47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30" borderId="25" xfId="0" applyFont="1" applyFill="1" applyBorder="1" applyAlignment="1">
      <alignment horizontal="center" vertical="top" wrapText="1"/>
    </xf>
    <xf numFmtId="4" fontId="3" fillId="30" borderId="8" xfId="0" applyNumberFormat="1" applyFont="1" applyFill="1" applyBorder="1" applyAlignment="1">
      <alignment vertical="top" wrapText="1"/>
    </xf>
    <xf numFmtId="0" fontId="3" fillId="30" borderId="18" xfId="0" applyFont="1" applyFill="1" applyBorder="1" applyAlignment="1">
      <alignment vertical="top" wrapText="1"/>
    </xf>
    <xf numFmtId="4" fontId="0" fillId="30" borderId="17" xfId="0" applyNumberFormat="1" applyFill="1" applyBorder="1" applyAlignment="1">
      <alignment vertical="top" wrapText="1"/>
    </xf>
    <xf numFmtId="4" fontId="0" fillId="0" borderId="18" xfId="0" applyNumberFormat="1" applyFill="1" applyBorder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4" fontId="0" fillId="0" borderId="17" xfId="0" applyNumberFormat="1" applyFill="1" applyBorder="1"/>
    <xf numFmtId="0" fontId="3" fillId="0" borderId="25" xfId="0" applyFont="1" applyBorder="1" applyAlignment="1">
      <alignment horizontal="center" wrapText="1"/>
    </xf>
    <xf numFmtId="4" fontId="3" fillId="0" borderId="35" xfId="0" applyNumberFormat="1" applyFont="1" applyFill="1" applyBorder="1" applyAlignment="1">
      <alignment vertical="top" wrapText="1"/>
    </xf>
    <xf numFmtId="4" fontId="0" fillId="0" borderId="46" xfId="0" applyNumberFormat="1" applyFill="1" applyBorder="1" applyAlignment="1">
      <alignment vertical="top" wrapText="1"/>
    </xf>
    <xf numFmtId="0" fontId="3" fillId="3" borderId="25" xfId="0" applyFont="1" applyFill="1" applyBorder="1" applyAlignment="1">
      <alignment horizontal="center" vertical="top" wrapText="1"/>
    </xf>
    <xf numFmtId="4" fontId="3" fillId="3" borderId="8" xfId="0" applyNumberFormat="1" applyFont="1" applyFill="1" applyBorder="1" applyAlignment="1">
      <alignment vertical="top" wrapText="1"/>
    </xf>
    <xf numFmtId="4" fontId="0" fillId="3" borderId="17" xfId="0" applyNumberFormat="1" applyFill="1" applyBorder="1" applyAlignment="1">
      <alignment vertical="top" wrapText="1"/>
    </xf>
    <xf numFmtId="0" fontId="3" fillId="9" borderId="25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wrapText="1"/>
    </xf>
    <xf numFmtId="4" fontId="0" fillId="9" borderId="18" xfId="0" applyNumberFormat="1" applyFill="1" applyBorder="1"/>
    <xf numFmtId="0" fontId="3" fillId="0" borderId="8" xfId="0" applyFont="1" applyFill="1" applyBorder="1" applyAlignment="1">
      <alignment wrapText="1"/>
    </xf>
    <xf numFmtId="0" fontId="3" fillId="10" borderId="25" xfId="0" applyFont="1" applyFill="1" applyBorder="1" applyAlignment="1">
      <alignment horizontal="center" vertical="top" wrapText="1"/>
    </xf>
    <xf numFmtId="4" fontId="3" fillId="10" borderId="8" xfId="0" applyNumberFormat="1" applyFont="1" applyFill="1" applyBorder="1" applyAlignment="1">
      <alignment vertical="top" wrapText="1"/>
    </xf>
    <xf numFmtId="4" fontId="0" fillId="10" borderId="17" xfId="0" applyNumberFormat="1" applyFill="1" applyBorder="1" applyAlignment="1">
      <alignment vertical="top" wrapText="1"/>
    </xf>
    <xf numFmtId="4" fontId="3" fillId="0" borderId="0" xfId="0" applyNumberFormat="1" applyFont="1"/>
    <xf numFmtId="0" fontId="3" fillId="12" borderId="15" xfId="0" applyFont="1" applyFill="1" applyBorder="1" applyAlignment="1">
      <alignment horizontal="center" vertical="top" wrapText="1"/>
    </xf>
    <xf numFmtId="4" fontId="3" fillId="12" borderId="8" xfId="0" applyNumberFormat="1" applyFont="1" applyFill="1" applyBorder="1" applyAlignment="1">
      <alignment vertical="top" wrapText="1"/>
    </xf>
    <xf numFmtId="0" fontId="3" fillId="12" borderId="17" xfId="0" applyFont="1" applyFill="1" applyBorder="1" applyAlignment="1">
      <alignment vertical="top" wrapText="1"/>
    </xf>
    <xf numFmtId="4" fontId="0" fillId="12" borderId="17" xfId="0" applyNumberFormat="1" applyFill="1" applyBorder="1" applyAlignment="1">
      <alignment vertical="top" wrapText="1"/>
    </xf>
    <xf numFmtId="0" fontId="3" fillId="13" borderId="15" xfId="0" applyFont="1" applyFill="1" applyBorder="1" applyAlignment="1">
      <alignment horizontal="center" vertical="top" wrapText="1"/>
    </xf>
    <xf numFmtId="4" fontId="3" fillId="13" borderId="8" xfId="0" applyNumberFormat="1" applyFont="1" applyFill="1" applyBorder="1" applyAlignment="1">
      <alignment vertical="top" wrapText="1"/>
    </xf>
    <xf numFmtId="0" fontId="3" fillId="13" borderId="17" xfId="0" applyFont="1" applyFill="1" applyBorder="1" applyAlignment="1">
      <alignment vertical="top" wrapText="1"/>
    </xf>
    <xf numFmtId="4" fontId="0" fillId="13" borderId="17" xfId="0" applyNumberFormat="1" applyFill="1" applyBorder="1" applyAlignment="1">
      <alignment vertical="top" wrapText="1"/>
    </xf>
    <xf numFmtId="0" fontId="3" fillId="14" borderId="15" xfId="0" applyFont="1" applyFill="1" applyBorder="1" applyAlignment="1">
      <alignment horizontal="center" vertical="top" wrapText="1"/>
    </xf>
    <xf numFmtId="4" fontId="3" fillId="14" borderId="8" xfId="0" applyNumberFormat="1" applyFont="1" applyFill="1" applyBorder="1" applyAlignment="1">
      <alignment vertical="top" wrapText="1"/>
    </xf>
    <xf numFmtId="0" fontId="3" fillId="14" borderId="17" xfId="0" applyFont="1" applyFill="1" applyBorder="1" applyAlignment="1">
      <alignment vertical="top" wrapText="1"/>
    </xf>
    <xf numFmtId="4" fontId="0" fillId="14" borderId="17" xfId="0" applyNumberFormat="1" applyFill="1" applyBorder="1" applyAlignment="1">
      <alignment vertical="top" wrapText="1"/>
    </xf>
    <xf numFmtId="0" fontId="3" fillId="11" borderId="15" xfId="0" applyFont="1" applyFill="1" applyBorder="1" applyAlignment="1">
      <alignment horizontal="center" vertical="top" wrapText="1"/>
    </xf>
    <xf numFmtId="4" fontId="3" fillId="11" borderId="8" xfId="0" applyNumberFormat="1" applyFont="1" applyFill="1" applyBorder="1" applyAlignment="1">
      <alignment vertical="top" wrapText="1"/>
    </xf>
    <xf numFmtId="0" fontId="3" fillId="11" borderId="17" xfId="0" applyFont="1" applyFill="1" applyBorder="1" applyAlignment="1">
      <alignment vertical="top" wrapText="1"/>
    </xf>
    <xf numFmtId="4" fontId="0" fillId="11" borderId="17" xfId="0" applyNumberFormat="1" applyFill="1" applyBorder="1" applyAlignment="1">
      <alignment vertical="top" wrapText="1"/>
    </xf>
    <xf numFmtId="0" fontId="3" fillId="5" borderId="15" xfId="0" applyFont="1" applyFill="1" applyBorder="1" applyAlignment="1">
      <alignment horizontal="center" vertical="top" wrapText="1"/>
    </xf>
    <xf numFmtId="4" fontId="3" fillId="5" borderId="8" xfId="0" applyNumberFormat="1" applyFont="1" applyFill="1" applyBorder="1" applyAlignment="1">
      <alignment vertical="top" wrapText="1"/>
    </xf>
    <xf numFmtId="0" fontId="3" fillId="5" borderId="17" xfId="0" applyFont="1" applyFill="1" applyBorder="1" applyAlignment="1">
      <alignment vertical="top" wrapText="1"/>
    </xf>
    <xf numFmtId="0" fontId="3" fillId="16" borderId="15" xfId="0" applyFont="1" applyFill="1" applyBorder="1" applyAlignment="1">
      <alignment horizontal="center" vertical="top" wrapText="1"/>
    </xf>
    <xf numFmtId="4" fontId="3" fillId="16" borderId="8" xfId="0" applyNumberFormat="1" applyFont="1" applyFill="1" applyBorder="1" applyAlignment="1">
      <alignment vertical="top" wrapText="1"/>
    </xf>
    <xf numFmtId="0" fontId="3" fillId="16" borderId="17" xfId="0" applyFont="1" applyFill="1" applyBorder="1" applyAlignment="1">
      <alignment vertical="top" wrapText="1"/>
    </xf>
    <xf numFmtId="4" fontId="0" fillId="16" borderId="17" xfId="0" applyNumberFormat="1" applyFill="1" applyBorder="1" applyAlignment="1">
      <alignment vertical="top" wrapText="1"/>
    </xf>
    <xf numFmtId="0" fontId="3" fillId="15" borderId="15" xfId="0" applyFont="1" applyFill="1" applyBorder="1" applyAlignment="1">
      <alignment horizontal="center" vertical="top" wrapText="1"/>
    </xf>
    <xf numFmtId="4" fontId="3" fillId="15" borderId="8" xfId="0" applyNumberFormat="1" applyFont="1" applyFill="1" applyBorder="1" applyAlignment="1">
      <alignment vertical="top" wrapText="1"/>
    </xf>
    <xf numFmtId="0" fontId="3" fillId="15" borderId="17" xfId="0" applyFont="1" applyFill="1" applyBorder="1" applyAlignment="1">
      <alignment vertical="top" wrapText="1"/>
    </xf>
    <xf numFmtId="4" fontId="3" fillId="15" borderId="17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4" fontId="0" fillId="0" borderId="47" xfId="0" applyNumberFormat="1" applyFill="1" applyBorder="1"/>
    <xf numFmtId="0" fontId="3" fillId="17" borderId="15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wrapText="1"/>
    </xf>
    <xf numFmtId="0" fontId="3" fillId="17" borderId="18" xfId="0" applyFont="1" applyFill="1" applyBorder="1" applyAlignment="1">
      <alignment horizontal="left" vertical="top" wrapText="1"/>
    </xf>
    <xf numFmtId="4" fontId="0" fillId="17" borderId="47" xfId="0" applyNumberFormat="1" applyFill="1" applyBorder="1"/>
    <xf numFmtId="0" fontId="3" fillId="27" borderId="25" xfId="0" applyFont="1" applyFill="1" applyBorder="1" applyAlignment="1">
      <alignment horizontal="center"/>
    </xf>
    <xf numFmtId="0" fontId="3" fillId="27" borderId="9" xfId="0" applyFont="1" applyFill="1" applyBorder="1" applyAlignment="1">
      <alignment wrapText="1"/>
    </xf>
    <xf numFmtId="0" fontId="3" fillId="27" borderId="18" xfId="0" applyFont="1" applyFill="1" applyBorder="1" applyAlignment="1">
      <alignment vertical="top" wrapText="1"/>
    </xf>
    <xf numFmtId="4" fontId="0" fillId="27" borderId="18" xfId="0" applyNumberFormat="1" applyFill="1" applyBorder="1"/>
    <xf numFmtId="0" fontId="3" fillId="0" borderId="25" xfId="0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4" fontId="0" fillId="0" borderId="36" xfId="0" applyNumberFormat="1" applyFill="1" applyBorder="1"/>
    <xf numFmtId="0" fontId="3" fillId="28" borderId="25" xfId="0" applyFont="1" applyFill="1" applyBorder="1" applyAlignment="1">
      <alignment horizontal="center"/>
    </xf>
    <xf numFmtId="0" fontId="3" fillId="28" borderId="9" xfId="0" applyFont="1" applyFill="1" applyBorder="1" applyAlignment="1">
      <alignment wrapText="1"/>
    </xf>
    <xf numFmtId="0" fontId="3" fillId="28" borderId="18" xfId="0" applyFont="1" applyFill="1" applyBorder="1" applyAlignment="1">
      <alignment vertical="top" wrapText="1"/>
    </xf>
    <xf numFmtId="4" fontId="0" fillId="28" borderId="47" xfId="0" applyNumberFormat="1" applyFill="1" applyBorder="1"/>
    <xf numFmtId="0" fontId="3" fillId="26" borderId="25" xfId="0" applyFont="1" applyFill="1" applyBorder="1" applyAlignment="1">
      <alignment horizontal="center"/>
    </xf>
    <xf numFmtId="0" fontId="3" fillId="26" borderId="9" xfId="0" applyFont="1" applyFill="1" applyBorder="1" applyAlignment="1">
      <alignment wrapText="1"/>
    </xf>
    <xf numFmtId="0" fontId="3" fillId="26" borderId="18" xfId="0" applyFont="1" applyFill="1" applyBorder="1" applyAlignment="1">
      <alignment vertical="top" wrapText="1"/>
    </xf>
    <xf numFmtId="4" fontId="0" fillId="26" borderId="18" xfId="0" applyNumberFormat="1" applyFill="1" applyBorder="1"/>
    <xf numFmtId="0" fontId="3" fillId="14" borderId="25" xfId="0" applyFont="1" applyFill="1" applyBorder="1" applyAlignment="1">
      <alignment horizontal="center"/>
    </xf>
    <xf numFmtId="0" fontId="3" fillId="14" borderId="9" xfId="0" applyFont="1" applyFill="1" applyBorder="1" applyAlignment="1">
      <alignment wrapText="1"/>
    </xf>
    <xf numFmtId="0" fontId="3" fillId="14" borderId="18" xfId="0" applyFont="1" applyFill="1" applyBorder="1" applyAlignment="1">
      <alignment vertical="top" wrapText="1"/>
    </xf>
    <xf numFmtId="4" fontId="0" fillId="14" borderId="18" xfId="0" applyNumberFormat="1" applyFill="1" applyBorder="1"/>
    <xf numFmtId="0" fontId="3" fillId="29" borderId="25" xfId="0" applyFont="1" applyFill="1" applyBorder="1" applyAlignment="1">
      <alignment horizontal="center"/>
    </xf>
    <xf numFmtId="0" fontId="3" fillId="29" borderId="9" xfId="0" applyFont="1" applyFill="1" applyBorder="1" applyAlignment="1">
      <alignment wrapText="1"/>
    </xf>
    <xf numFmtId="0" fontId="3" fillId="29" borderId="18" xfId="0" applyFont="1" applyFill="1" applyBorder="1" applyAlignment="1">
      <alignment vertical="top" wrapText="1"/>
    </xf>
    <xf numFmtId="4" fontId="0" fillId="29" borderId="18" xfId="0" applyNumberFormat="1" applyFill="1" applyBorder="1"/>
    <xf numFmtId="0" fontId="3" fillId="18" borderId="25" xfId="0" applyFont="1" applyFill="1" applyBorder="1" applyAlignment="1">
      <alignment horizontal="center"/>
    </xf>
    <xf numFmtId="0" fontId="3" fillId="18" borderId="9" xfId="0" applyFont="1" applyFill="1" applyBorder="1" applyAlignment="1">
      <alignment wrapText="1"/>
    </xf>
    <xf numFmtId="0" fontId="3" fillId="18" borderId="18" xfId="0" applyFont="1" applyFill="1" applyBorder="1" applyAlignment="1">
      <alignment wrapText="1"/>
    </xf>
    <xf numFmtId="4" fontId="0" fillId="18" borderId="18" xfId="0" applyNumberFormat="1" applyFill="1" applyBorder="1"/>
    <xf numFmtId="0" fontId="3" fillId="0" borderId="18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5" borderId="25" xfId="0" applyFont="1" applyFill="1" applyBorder="1" applyAlignment="1">
      <alignment horizontal="center"/>
    </xf>
    <xf numFmtId="0" fontId="3" fillId="5" borderId="9" xfId="0" applyFont="1" applyFill="1" applyBorder="1" applyAlignment="1">
      <alignment wrapText="1"/>
    </xf>
    <xf numFmtId="0" fontId="3" fillId="5" borderId="18" xfId="0" applyFont="1" applyFill="1" applyBorder="1" applyAlignment="1">
      <alignment wrapText="1"/>
    </xf>
    <xf numFmtId="4" fontId="0" fillId="5" borderId="18" xfId="0" applyNumberFormat="1" applyFill="1" applyBorder="1"/>
    <xf numFmtId="0" fontId="3" fillId="23" borderId="15" xfId="0" applyFont="1" applyFill="1" applyBorder="1" applyAlignment="1">
      <alignment horizontal="center" vertical="top" wrapText="1"/>
    </xf>
    <xf numFmtId="4" fontId="3" fillId="23" borderId="8" xfId="0" applyNumberFormat="1" applyFont="1" applyFill="1" applyBorder="1" applyAlignment="1">
      <alignment vertical="top" wrapText="1"/>
    </xf>
    <xf numFmtId="0" fontId="3" fillId="23" borderId="17" xfId="0" applyFont="1" applyFill="1" applyBorder="1" applyAlignment="1">
      <alignment vertical="top" wrapText="1"/>
    </xf>
    <xf numFmtId="4" fontId="0" fillId="23" borderId="17" xfId="0" applyNumberFormat="1" applyFill="1" applyBorder="1" applyAlignment="1">
      <alignment vertical="top" wrapText="1"/>
    </xf>
    <xf numFmtId="0" fontId="3" fillId="19" borderId="25" xfId="0" applyFont="1" applyFill="1" applyBorder="1" applyAlignment="1">
      <alignment horizontal="center"/>
    </xf>
    <xf numFmtId="0" fontId="3" fillId="19" borderId="9" xfId="0" applyFont="1" applyFill="1" applyBorder="1" applyAlignment="1">
      <alignment wrapText="1"/>
    </xf>
    <xf numFmtId="0" fontId="3" fillId="19" borderId="18" xfId="0" applyFont="1" applyFill="1" applyBorder="1" applyAlignment="1">
      <alignment wrapText="1"/>
    </xf>
    <xf numFmtId="4" fontId="0" fillId="19" borderId="18" xfId="0" applyNumberFormat="1" applyFill="1" applyBorder="1"/>
    <xf numFmtId="0" fontId="3" fillId="20" borderId="25" xfId="0" applyFont="1" applyFill="1" applyBorder="1" applyAlignment="1">
      <alignment horizontal="center"/>
    </xf>
    <xf numFmtId="0" fontId="3" fillId="20" borderId="9" xfId="0" applyFont="1" applyFill="1" applyBorder="1" applyAlignment="1">
      <alignment wrapText="1"/>
    </xf>
    <xf numFmtId="0" fontId="3" fillId="20" borderId="18" xfId="0" applyFont="1" applyFill="1" applyBorder="1" applyAlignment="1">
      <alignment wrapText="1"/>
    </xf>
    <xf numFmtId="4" fontId="0" fillId="20" borderId="18" xfId="0" applyNumberFormat="1" applyFill="1" applyBorder="1"/>
    <xf numFmtId="0" fontId="3" fillId="21" borderId="25" xfId="0" applyFont="1" applyFill="1" applyBorder="1" applyAlignment="1">
      <alignment horizontal="center"/>
    </xf>
    <xf numFmtId="0" fontId="3" fillId="21" borderId="9" xfId="0" applyFont="1" applyFill="1" applyBorder="1" applyAlignment="1">
      <alignment wrapText="1"/>
    </xf>
    <xf numFmtId="0" fontId="3" fillId="21" borderId="18" xfId="0" applyFont="1" applyFill="1" applyBorder="1" applyAlignment="1">
      <alignment wrapText="1"/>
    </xf>
    <xf numFmtId="4" fontId="0" fillId="21" borderId="18" xfId="0" applyNumberFormat="1" applyFill="1" applyBorder="1"/>
    <xf numFmtId="0" fontId="3" fillId="22" borderId="25" xfId="0" applyFont="1" applyFill="1" applyBorder="1" applyAlignment="1">
      <alignment horizontal="center"/>
    </xf>
    <xf numFmtId="0" fontId="3" fillId="22" borderId="9" xfId="0" applyFont="1" applyFill="1" applyBorder="1" applyAlignment="1">
      <alignment wrapText="1"/>
    </xf>
    <xf numFmtId="0" fontId="3" fillId="22" borderId="18" xfId="0" applyFont="1" applyFill="1" applyBorder="1" applyAlignment="1">
      <alignment wrapText="1"/>
    </xf>
    <xf numFmtId="4" fontId="0" fillId="22" borderId="18" xfId="0" applyNumberFormat="1" applyFill="1" applyBorder="1"/>
    <xf numFmtId="0" fontId="3" fillId="24" borderId="25" xfId="0" applyFont="1" applyFill="1" applyBorder="1" applyAlignment="1">
      <alignment horizontal="center"/>
    </xf>
    <xf numFmtId="0" fontId="3" fillId="24" borderId="9" xfId="0" applyFont="1" applyFill="1" applyBorder="1" applyAlignment="1">
      <alignment wrapText="1"/>
    </xf>
    <xf numFmtId="0" fontId="3" fillId="24" borderId="18" xfId="0" applyFont="1" applyFill="1" applyBorder="1" applyAlignment="1">
      <alignment wrapText="1"/>
    </xf>
    <xf numFmtId="4" fontId="0" fillId="24" borderId="18" xfId="0" applyNumberFormat="1" applyFill="1" applyBorder="1"/>
    <xf numFmtId="0" fontId="3" fillId="25" borderId="25" xfId="0" applyFont="1" applyFill="1" applyBorder="1" applyAlignment="1">
      <alignment horizontal="center"/>
    </xf>
    <xf numFmtId="0" fontId="3" fillId="25" borderId="9" xfId="0" applyFont="1" applyFill="1" applyBorder="1" applyAlignment="1">
      <alignment wrapText="1"/>
    </xf>
    <xf numFmtId="0" fontId="3" fillId="25" borderId="18" xfId="0" applyFont="1" applyFill="1" applyBorder="1" applyAlignment="1">
      <alignment vertical="top" wrapText="1"/>
    </xf>
    <xf numFmtId="4" fontId="0" fillId="25" borderId="18" xfId="0" applyNumberFormat="1" applyFill="1" applyBorder="1"/>
    <xf numFmtId="0" fontId="3" fillId="8" borderId="25" xfId="0" applyFont="1" applyFill="1" applyBorder="1" applyAlignment="1">
      <alignment horizontal="center"/>
    </xf>
    <xf numFmtId="0" fontId="3" fillId="8" borderId="9" xfId="0" applyFont="1" applyFill="1" applyBorder="1" applyAlignment="1">
      <alignment wrapText="1"/>
    </xf>
    <xf numFmtId="0" fontId="3" fillId="8" borderId="18" xfId="0" applyFont="1" applyFill="1" applyBorder="1" applyAlignment="1">
      <alignment vertical="top" wrapText="1"/>
    </xf>
    <xf numFmtId="4" fontId="0" fillId="8" borderId="18" xfId="0" applyNumberFormat="1" applyFill="1" applyBorder="1"/>
    <xf numFmtId="0" fontId="3" fillId="0" borderId="27" xfId="0" applyFont="1" applyBorder="1" applyAlignment="1">
      <alignment wrapText="1"/>
    </xf>
    <xf numFmtId="0" fontId="3" fillId="0" borderId="20" xfId="0" applyFont="1" applyFill="1" applyBorder="1" applyAlignment="1">
      <alignment vertical="top" wrapText="1"/>
    </xf>
    <xf numFmtId="4" fontId="0" fillId="0" borderId="20" xfId="0" applyNumberFormat="1" applyFill="1" applyBorder="1"/>
    <xf numFmtId="4" fontId="0" fillId="0" borderId="48" xfId="0" applyNumberFormat="1" applyBorder="1"/>
    <xf numFmtId="4" fontId="3" fillId="30" borderId="41" xfId="0" applyNumberFormat="1" applyFont="1" applyFill="1" applyBorder="1" applyAlignment="1">
      <alignment vertical="top" wrapText="1"/>
    </xf>
    <xf numFmtId="0" fontId="0" fillId="30" borderId="42" xfId="0" applyFill="1" applyBorder="1" applyAlignment="1">
      <alignment vertical="top"/>
    </xf>
    <xf numFmtId="4" fontId="0" fillId="30" borderId="29" xfId="0" applyNumberFormat="1" applyFill="1" applyBorder="1" applyAlignment="1">
      <alignment vertical="top" wrapText="1"/>
    </xf>
    <xf numFmtId="0" fontId="0" fillId="0" borderId="42" xfId="0" applyFill="1" applyBorder="1" applyAlignment="1">
      <alignment vertical="top"/>
    </xf>
    <xf numFmtId="4" fontId="3" fillId="31" borderId="41" xfId="0" applyNumberFormat="1" applyFont="1" applyFill="1" applyBorder="1" applyAlignment="1">
      <alignment vertical="top"/>
    </xf>
    <xf numFmtId="0" fontId="0" fillId="31" borderId="42" xfId="0" applyFill="1" applyBorder="1" applyAlignment="1">
      <alignment vertical="top"/>
    </xf>
    <xf numFmtId="4" fontId="0" fillId="31" borderId="43" xfId="0" applyNumberFormat="1" applyFill="1" applyBorder="1" applyAlignment="1">
      <alignment vertical="top" wrapText="1"/>
    </xf>
    <xf numFmtId="4" fontId="3" fillId="32" borderId="41" xfId="0" applyNumberFormat="1" applyFont="1" applyFill="1" applyBorder="1" applyAlignment="1">
      <alignment vertical="top"/>
    </xf>
    <xf numFmtId="0" fontId="0" fillId="32" borderId="42" xfId="0" applyFill="1" applyBorder="1" applyAlignment="1">
      <alignment vertical="top"/>
    </xf>
    <xf numFmtId="4" fontId="0" fillId="32" borderId="43" xfId="0" applyNumberFormat="1" applyFill="1" applyBorder="1" applyAlignment="1">
      <alignment vertical="top" wrapText="1"/>
    </xf>
    <xf numFmtId="0" fontId="3" fillId="30" borderId="6" xfId="0" applyFont="1" applyFill="1" applyBorder="1" applyAlignment="1">
      <alignment horizontal="center"/>
    </xf>
    <xf numFmtId="0" fontId="3" fillId="30" borderId="44" xfId="0" applyFont="1" applyFill="1" applyBorder="1" applyAlignment="1">
      <alignment horizontal="left" wrapText="1"/>
    </xf>
    <xf numFmtId="4" fontId="3" fillId="30" borderId="46" xfId="0" applyNumberFormat="1" applyFont="1" applyFill="1" applyBorder="1" applyAlignment="1">
      <alignment horizontal="right" vertical="top" wrapText="1"/>
    </xf>
    <xf numFmtId="0" fontId="3" fillId="30" borderId="25" xfId="0" applyFont="1" applyFill="1" applyBorder="1" applyAlignment="1">
      <alignment horizontal="center"/>
    </xf>
    <xf numFmtId="0" fontId="3" fillId="30" borderId="9" xfId="0" applyFont="1" applyFill="1" applyBorder="1" applyAlignment="1">
      <alignment horizontal="left" wrapText="1"/>
    </xf>
    <xf numFmtId="4" fontId="3" fillId="30" borderId="47" xfId="0" applyNumberFormat="1" applyFont="1" applyFill="1" applyBorder="1" applyAlignment="1">
      <alignment horizontal="right" vertical="top" wrapText="1"/>
    </xf>
    <xf numFmtId="4" fontId="3" fillId="13" borderId="47" xfId="0" applyNumberFormat="1" applyFont="1" applyFill="1" applyBorder="1" applyAlignment="1">
      <alignment vertical="top" wrapText="1"/>
    </xf>
    <xf numFmtId="4" fontId="0" fillId="13" borderId="18" xfId="0" applyNumberFormat="1" applyFill="1" applyBorder="1"/>
    <xf numFmtId="4" fontId="0" fillId="13" borderId="17" xfId="0" applyNumberFormat="1" applyFill="1" applyBorder="1"/>
    <xf numFmtId="4" fontId="0" fillId="13" borderId="36" xfId="0" applyNumberFormat="1" applyFill="1" applyBorder="1"/>
    <xf numFmtId="0" fontId="3" fillId="0" borderId="38" xfId="0" applyFont="1" applyBorder="1" applyAlignment="1">
      <alignment horizontal="center"/>
    </xf>
    <xf numFmtId="4" fontId="0" fillId="13" borderId="46" xfId="0" applyNumberFormat="1" applyFill="1" applyBorder="1" applyAlignment="1">
      <alignment vertical="top" wrapText="1"/>
    </xf>
    <xf numFmtId="0" fontId="3" fillId="0" borderId="0" xfId="0" applyFont="1" applyFill="1"/>
    <xf numFmtId="0" fontId="3" fillId="10" borderId="8" xfId="0" applyFont="1" applyFill="1" applyBorder="1" applyAlignment="1">
      <alignment wrapText="1"/>
    </xf>
    <xf numFmtId="4" fontId="0" fillId="10" borderId="17" xfId="0" applyNumberFormat="1" applyFill="1" applyBorder="1"/>
    <xf numFmtId="4" fontId="0" fillId="15" borderId="17" xfId="0" applyNumberFormat="1" applyFill="1" applyBorder="1" applyAlignment="1">
      <alignment vertical="top" wrapText="1"/>
    </xf>
    <xf numFmtId="4" fontId="3" fillId="0" borderId="46" xfId="0" applyNumberFormat="1" applyFont="1" applyFill="1" applyBorder="1" applyAlignment="1">
      <alignment vertical="top" wrapText="1"/>
    </xf>
    <xf numFmtId="0" fontId="3" fillId="31" borderId="25" xfId="0" applyFont="1" applyFill="1" applyBorder="1" applyAlignment="1">
      <alignment horizontal="center"/>
    </xf>
    <xf numFmtId="0" fontId="3" fillId="31" borderId="9" xfId="0" applyFont="1" applyFill="1" applyBorder="1" applyAlignment="1">
      <alignment wrapText="1"/>
    </xf>
    <xf numFmtId="0" fontId="3" fillId="31" borderId="18" xfId="0" applyFont="1" applyFill="1" applyBorder="1" applyAlignment="1">
      <alignment vertical="top" wrapText="1"/>
    </xf>
    <xf numFmtId="4" fontId="0" fillId="31" borderId="18" xfId="0" applyNumberFormat="1" applyFill="1" applyBorder="1"/>
    <xf numFmtId="0" fontId="3" fillId="32" borderId="25" xfId="0" applyFont="1" applyFill="1" applyBorder="1" applyAlignment="1">
      <alignment horizontal="center"/>
    </xf>
    <xf numFmtId="0" fontId="3" fillId="32" borderId="9" xfId="0" applyFont="1" applyFill="1" applyBorder="1" applyAlignment="1">
      <alignment wrapText="1"/>
    </xf>
    <xf numFmtId="0" fontId="3" fillId="32" borderId="18" xfId="0" applyFont="1" applyFill="1" applyBorder="1" applyAlignment="1">
      <alignment vertical="top" wrapText="1"/>
    </xf>
    <xf numFmtId="4" fontId="0" fillId="32" borderId="18" xfId="0" applyNumberFormat="1" applyFill="1" applyBorder="1"/>
    <xf numFmtId="4" fontId="0" fillId="0" borderId="48" xfId="0" applyNumberFormat="1" applyFill="1" applyBorder="1"/>
    <xf numFmtId="0" fontId="0" fillId="0" borderId="25" xfId="0" applyBorder="1" applyAlignment="1">
      <alignment horizontal="left"/>
    </xf>
    <xf numFmtId="0" fontId="3" fillId="0" borderId="46" xfId="0" applyFont="1" applyFill="1" applyBorder="1" applyAlignment="1">
      <alignment vertical="top" wrapText="1"/>
    </xf>
    <xf numFmtId="0" fontId="3" fillId="0" borderId="25" xfId="0" applyFont="1" applyBorder="1" applyAlignment="1">
      <alignment horizontal="left"/>
    </xf>
    <xf numFmtId="0" fontId="3" fillId="0" borderId="17" xfId="0" applyFont="1" applyBorder="1"/>
    <xf numFmtId="0" fontId="0" fillId="0" borderId="26" xfId="0" applyBorder="1" applyAlignment="1">
      <alignment horizontal="left"/>
    </xf>
    <xf numFmtId="4" fontId="0" fillId="5" borderId="20" xfId="0" applyNumberFormat="1" applyFill="1" applyBorder="1"/>
    <xf numFmtId="0" fontId="0" fillId="0" borderId="6" xfId="0" applyFill="1" applyBorder="1" applyAlignment="1">
      <alignment horizontal="left" vertical="top" wrapText="1"/>
    </xf>
    <xf numFmtId="4" fontId="0" fillId="0" borderId="44" xfId="0" applyNumberForma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4" fontId="0" fillId="5" borderId="49" xfId="0" applyNumberFormat="1" applyFill="1" applyBorder="1" applyAlignment="1">
      <alignment vertical="top" wrapText="1"/>
    </xf>
    <xf numFmtId="4" fontId="0" fillId="5" borderId="33" xfId="0" applyNumberFormat="1" applyFill="1" applyBorder="1" applyAlignment="1">
      <alignment vertical="top" wrapText="1"/>
    </xf>
    <xf numFmtId="4" fontId="0" fillId="5" borderId="36" xfId="0" applyNumberFormat="1" applyFill="1" applyBorder="1"/>
    <xf numFmtId="0" fontId="3" fillId="0" borderId="10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35" xfId="0" applyFont="1" applyBorder="1"/>
    <xf numFmtId="0" fontId="0" fillId="0" borderId="38" xfId="0" applyBorder="1" applyAlignment="1">
      <alignment horizontal="left"/>
    </xf>
    <xf numFmtId="0" fontId="0" fillId="0" borderId="32" xfId="0" applyBorder="1"/>
    <xf numFmtId="0" fontId="0" fillId="0" borderId="10" xfId="0" applyFill="1" applyBorder="1" applyAlignment="1">
      <alignment vertical="top" wrapText="1"/>
    </xf>
    <xf numFmtId="4" fontId="0" fillId="5" borderId="50" xfId="0" applyNumberFormat="1" applyFill="1" applyBorder="1"/>
    <xf numFmtId="0" fontId="0" fillId="0" borderId="51" xfId="0" applyBorder="1"/>
    <xf numFmtId="4" fontId="0" fillId="5" borderId="52" xfId="0" applyNumberFormat="1" applyFill="1" applyBorder="1"/>
    <xf numFmtId="0" fontId="3" fillId="0" borderId="0" xfId="6" applyFont="1" applyFill="1" applyAlignment="1" applyProtection="1">
      <protection locked="0"/>
    </xf>
    <xf numFmtId="0" fontId="3" fillId="0" borderId="0" xfId="6" applyFont="1" applyFill="1" applyAlignment="1" applyProtection="1"/>
    <xf numFmtId="0" fontId="13" fillId="0" borderId="31" xfId="6" applyFont="1" applyFill="1" applyBorder="1" applyAlignment="1" applyProtection="1">
      <protection locked="0"/>
    </xf>
    <xf numFmtId="0" fontId="3" fillId="0" borderId="0" xfId="6" applyFont="1" applyFill="1" applyAlignment="1" applyProtection="1">
      <alignment wrapText="1"/>
      <protection locked="0"/>
    </xf>
    <xf numFmtId="0" fontId="3" fillId="0" borderId="0" xfId="6" applyFont="1" applyFill="1" applyAlignment="1" applyProtection="1">
      <alignment wrapText="1"/>
    </xf>
    <xf numFmtId="2" fontId="3" fillId="0" borderId="0" xfId="6" applyNumberFormat="1" applyFont="1" applyFill="1" applyAlignment="1" applyProtection="1">
      <alignment wrapText="1"/>
    </xf>
    <xf numFmtId="0" fontId="3" fillId="0" borderId="53" xfId="6" applyFont="1" applyFill="1" applyBorder="1" applyAlignment="1" applyProtection="1">
      <alignment vertical="top"/>
      <protection locked="0"/>
    </xf>
    <xf numFmtId="0" fontId="3" fillId="0" borderId="31" xfId="6" applyFont="1" applyFill="1" applyBorder="1" applyAlignment="1" applyProtection="1">
      <alignment vertical="top"/>
      <protection locked="0"/>
    </xf>
    <xf numFmtId="0" fontId="3" fillId="0" borderId="54" xfId="6" applyFont="1" applyFill="1" applyBorder="1" applyAlignment="1" applyProtection="1">
      <alignment vertical="top"/>
      <protection locked="0"/>
    </xf>
    <xf numFmtId="0" fontId="3" fillId="0" borderId="55" xfId="6" applyFont="1" applyFill="1" applyBorder="1" applyAlignment="1" applyProtection="1">
      <alignment vertical="top"/>
      <protection locked="0"/>
    </xf>
    <xf numFmtId="0" fontId="3" fillId="0" borderId="27" xfId="6" applyFont="1" applyFill="1" applyBorder="1" applyAlignment="1" applyProtection="1">
      <alignment horizontal="center" vertical="top"/>
      <protection locked="0"/>
    </xf>
    <xf numFmtId="0" fontId="3" fillId="0" borderId="56" xfId="6" applyFont="1" applyFill="1" applyBorder="1" applyAlignment="1" applyProtection="1">
      <alignment horizontal="center" vertical="top" wrapText="1"/>
      <protection locked="0"/>
    </xf>
    <xf numFmtId="0" fontId="3" fillId="0" borderId="27" xfId="6" applyFont="1" applyFill="1" applyBorder="1" applyAlignment="1" applyProtection="1">
      <alignment horizontal="center" vertical="top" wrapText="1"/>
      <protection locked="0"/>
    </xf>
    <xf numFmtId="0" fontId="3" fillId="33" borderId="27" xfId="6" applyFont="1" applyFill="1" applyBorder="1" applyAlignment="1" applyProtection="1">
      <alignment horizontal="center" vertical="top"/>
    </xf>
    <xf numFmtId="2" fontId="3" fillId="2" borderId="57" xfId="6" applyNumberFormat="1" applyFont="1" applyFill="1" applyBorder="1" applyAlignment="1" applyProtection="1">
      <alignment horizontal="center" vertical="top"/>
      <protection locked="0"/>
    </xf>
    <xf numFmtId="2" fontId="3" fillId="2" borderId="3" xfId="6" applyNumberFormat="1" applyFont="1" applyFill="1" applyBorder="1" applyAlignment="1" applyProtection="1">
      <alignment horizontal="center" vertical="top"/>
      <protection locked="0"/>
    </xf>
    <xf numFmtId="2" fontId="3" fillId="33" borderId="37" xfId="6" applyNumberFormat="1" applyFont="1" applyFill="1" applyBorder="1" applyAlignment="1" applyProtection="1">
      <alignment horizontal="center" vertical="top"/>
    </xf>
    <xf numFmtId="0" fontId="5" fillId="0" borderId="42" xfId="6" applyFont="1" applyFill="1" applyBorder="1" applyAlignment="1" applyProtection="1">
      <alignment horizontal="center"/>
      <protection locked="0"/>
    </xf>
    <xf numFmtId="3" fontId="3" fillId="0" borderId="59" xfId="6" applyNumberFormat="1" applyFont="1" applyFill="1" applyBorder="1" applyAlignment="1" applyProtection="1">
      <protection locked="0"/>
    </xf>
    <xf numFmtId="3" fontId="3" fillId="0" borderId="60" xfId="6" applyNumberFormat="1" applyFont="1" applyFill="1" applyBorder="1" applyAlignment="1" applyProtection="1">
      <protection locked="0"/>
    </xf>
    <xf numFmtId="3" fontId="3" fillId="33" borderId="59" xfId="6" applyNumberFormat="1" applyFont="1" applyFill="1" applyBorder="1" applyAlignment="1" applyProtection="1"/>
    <xf numFmtId="0" fontId="3" fillId="0" borderId="28" xfId="6" applyFont="1" applyFill="1" applyBorder="1" applyAlignment="1" applyProtection="1">
      <protection locked="0"/>
    </xf>
    <xf numFmtId="0" fontId="3" fillId="0" borderId="42" xfId="6" applyFont="1" applyFill="1" applyBorder="1" applyAlignment="1" applyProtection="1">
      <protection locked="0"/>
    </xf>
    <xf numFmtId="3" fontId="3" fillId="0" borderId="12" xfId="6" applyNumberFormat="1" applyFont="1" applyFill="1" applyBorder="1" applyAlignment="1" applyProtection="1">
      <protection locked="0"/>
    </xf>
    <xf numFmtId="3" fontId="3" fillId="0" borderId="0" xfId="6" applyNumberFormat="1" applyFont="1" applyFill="1" applyAlignment="1" applyProtection="1">
      <protection locked="0"/>
    </xf>
    <xf numFmtId="3" fontId="3" fillId="33" borderId="12" xfId="6" applyNumberFormat="1" applyFont="1" applyFill="1" applyBorder="1" applyAlignment="1" applyProtection="1"/>
    <xf numFmtId="0" fontId="5" fillId="0" borderId="28" xfId="6" applyFont="1" applyFill="1" applyBorder="1" applyAlignment="1" applyProtection="1">
      <alignment horizontal="left"/>
      <protection locked="0"/>
    </xf>
    <xf numFmtId="0" fontId="3" fillId="0" borderId="0" xfId="6" applyFont="1" applyFill="1" applyAlignment="1" applyProtection="1">
      <alignment horizontal="left"/>
      <protection locked="0"/>
    </xf>
    <xf numFmtId="0" fontId="5" fillId="0" borderId="0" xfId="6" applyFont="1" applyFill="1" applyAlignment="1" applyProtection="1">
      <alignment horizontal="left"/>
      <protection locked="0"/>
    </xf>
    <xf numFmtId="49" fontId="3" fillId="0" borderId="42" xfId="6" applyNumberFormat="1" applyFont="1" applyFill="1" applyBorder="1" applyAlignment="1" applyProtection="1">
      <protection locked="0"/>
    </xf>
    <xf numFmtId="4" fontId="3" fillId="0" borderId="12" xfId="6" applyNumberFormat="1" applyFont="1" applyFill="1" applyBorder="1" applyAlignment="1" applyProtection="1">
      <protection locked="0"/>
    </xf>
    <xf numFmtId="4" fontId="3" fillId="33" borderId="12" xfId="6" applyNumberFormat="1" applyFont="1" applyFill="1" applyBorder="1" applyAlignment="1" applyProtection="1"/>
    <xf numFmtId="4" fontId="3" fillId="0" borderId="8" xfId="6" applyNumberFormat="1" applyFont="1" applyFill="1" applyBorder="1" applyAlignment="1" applyProtection="1">
      <protection locked="0"/>
    </xf>
    <xf numFmtId="4" fontId="3" fillId="33" borderId="8" xfId="6" applyNumberFormat="1" applyFont="1" applyFill="1" applyBorder="1" applyAlignment="1" applyProtection="1"/>
    <xf numFmtId="4" fontId="3" fillId="0" borderId="13" xfId="6" applyNumberFormat="1" applyFont="1" applyFill="1" applyBorder="1" applyAlignment="1" applyProtection="1">
      <protection locked="0"/>
    </xf>
    <xf numFmtId="0" fontId="3" fillId="0" borderId="42" xfId="6" applyFont="1" applyFill="1" applyBorder="1" applyAlignment="1" applyProtection="1">
      <alignment wrapText="1"/>
      <protection locked="0"/>
    </xf>
    <xf numFmtId="4" fontId="3" fillId="0" borderId="30" xfId="6" applyNumberFormat="1" applyFont="1" applyFill="1" applyBorder="1" applyAlignment="1" applyProtection="1">
      <protection locked="0"/>
    </xf>
    <xf numFmtId="4" fontId="3" fillId="33" borderId="9" xfId="6" applyNumberFormat="1" applyFont="1" applyFill="1" applyBorder="1" applyAlignment="1" applyProtection="1"/>
    <xf numFmtId="0" fontId="18" fillId="0" borderId="0" xfId="6" applyFont="1" applyFill="1" applyAlignment="1" applyProtection="1">
      <alignment wrapText="1"/>
      <protection locked="0"/>
    </xf>
    <xf numFmtId="4" fontId="3" fillId="0" borderId="9" xfId="6" applyNumberFormat="1" applyFont="1" applyFill="1" applyBorder="1" applyAlignment="1" applyProtection="1">
      <protection locked="0"/>
    </xf>
    <xf numFmtId="0" fontId="3" fillId="0" borderId="0" xfId="6" applyFont="1" applyFill="1" applyAlignment="1" applyProtection="1">
      <alignment horizontal="right" vertical="top"/>
      <protection locked="0"/>
    </xf>
    <xf numFmtId="4" fontId="3" fillId="0" borderId="0" xfId="6" applyNumberFormat="1" applyFont="1" applyFill="1" applyAlignment="1" applyProtection="1">
      <protection locked="0"/>
    </xf>
    <xf numFmtId="0" fontId="18" fillId="0" borderId="42" xfId="6" applyFont="1" applyFill="1" applyBorder="1" applyAlignment="1" applyProtection="1"/>
    <xf numFmtId="0" fontId="3" fillId="0" borderId="0" xfId="6" applyFont="1" applyFill="1" applyAlignment="1" applyProtection="1">
      <alignment horizontal="left"/>
    </xf>
    <xf numFmtId="0" fontId="3" fillId="0" borderId="28" xfId="6" applyFont="1" applyFill="1" applyBorder="1" applyAlignment="1" applyProtection="1"/>
    <xf numFmtId="4" fontId="3" fillId="0" borderId="32" xfId="6" applyNumberFormat="1" applyFont="1" applyFill="1" applyBorder="1" applyAlignment="1" applyProtection="1">
      <protection locked="0"/>
    </xf>
    <xf numFmtId="4" fontId="3" fillId="0" borderId="31" xfId="6" applyNumberFormat="1" applyFont="1" applyFill="1" applyBorder="1" applyAlignment="1" applyProtection="1">
      <protection locked="0"/>
    </xf>
    <xf numFmtId="4" fontId="3" fillId="33" borderId="32" xfId="6" applyNumberFormat="1" applyFont="1" applyFill="1" applyBorder="1" applyAlignment="1" applyProtection="1"/>
    <xf numFmtId="0" fontId="5" fillId="0" borderId="28" xfId="6" applyFont="1" applyFill="1" applyBorder="1" applyAlignment="1" applyProtection="1">
      <protection locked="0"/>
    </xf>
    <xf numFmtId="0" fontId="5" fillId="0" borderId="0" xfId="6" applyFont="1" applyFill="1" applyAlignment="1" applyProtection="1">
      <protection locked="0"/>
    </xf>
    <xf numFmtId="0" fontId="18" fillId="0" borderId="42" xfId="6" applyFont="1" applyFill="1" applyBorder="1" applyAlignment="1" applyProtection="1">
      <protection locked="0"/>
    </xf>
    <xf numFmtId="0" fontId="3" fillId="0" borderId="22" xfId="6" applyFont="1" applyFill="1" applyBorder="1" applyAlignment="1" applyProtection="1">
      <protection locked="0"/>
    </xf>
    <xf numFmtId="0" fontId="3" fillId="0" borderId="61" xfId="6" applyFont="1" applyFill="1" applyBorder="1" applyAlignment="1" applyProtection="1">
      <protection locked="0"/>
    </xf>
    <xf numFmtId="0" fontId="3" fillId="0" borderId="24" xfId="6" applyFont="1" applyFill="1" applyBorder="1" applyAlignment="1" applyProtection="1">
      <protection locked="0"/>
    </xf>
    <xf numFmtId="0" fontId="3" fillId="0" borderId="13" xfId="6" applyFont="1" applyFill="1" applyBorder="1" applyAlignment="1" applyProtection="1">
      <protection locked="0"/>
    </xf>
    <xf numFmtId="3" fontId="3" fillId="0" borderId="8" xfId="6" applyNumberFormat="1" applyFont="1" applyFill="1" applyBorder="1" applyAlignment="1" applyProtection="1">
      <protection locked="0"/>
    </xf>
    <xf numFmtId="3" fontId="3" fillId="0" borderId="13" xfId="6" applyNumberFormat="1" applyFont="1" applyFill="1" applyBorder="1" applyAlignment="1" applyProtection="1">
      <protection locked="0"/>
    </xf>
    <xf numFmtId="3" fontId="3" fillId="33" borderId="8" xfId="6" applyNumberFormat="1" applyFont="1" applyFill="1" applyBorder="1" applyAlignment="1" applyProtection="1"/>
    <xf numFmtId="4" fontId="3" fillId="0" borderId="0" xfId="6" applyNumberFormat="1" applyFont="1" applyFill="1" applyAlignment="1" applyProtection="1"/>
    <xf numFmtId="165" fontId="3" fillId="0" borderId="0" xfId="1" applyFont="1"/>
    <xf numFmtId="165" fontId="20" fillId="0" borderId="0" xfId="1" applyFont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3" fillId="0" borderId="31" xfId="0" applyFont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54" xfId="0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13" borderId="56" xfId="0" applyFill="1" applyBorder="1" applyAlignment="1" applyProtection="1">
      <alignment horizontal="center" vertical="top" wrapText="1"/>
      <protection locked="0"/>
    </xf>
    <xf numFmtId="0" fontId="0" fillId="13" borderId="27" xfId="0" applyFill="1" applyBorder="1" applyAlignment="1" applyProtection="1">
      <alignment horizontal="center" vertical="top" wrapText="1"/>
      <protection locked="0"/>
    </xf>
    <xf numFmtId="0" fontId="3" fillId="13" borderId="27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2" borderId="57" xfId="0" applyFill="1" applyBorder="1" applyAlignment="1" applyProtection="1">
      <alignment horizontal="center" vertical="top"/>
      <protection locked="0"/>
    </xf>
    <xf numFmtId="4" fontId="0" fillId="2" borderId="57" xfId="0" applyNumberFormat="1" applyFill="1" applyBorder="1" applyAlignment="1" applyProtection="1">
      <alignment horizontal="center" vertical="top"/>
      <protection locked="0"/>
    </xf>
    <xf numFmtId="0" fontId="0" fillId="2" borderId="37" xfId="0" applyFill="1" applyBorder="1" applyAlignment="1" applyProtection="1">
      <alignment horizontal="center" vertical="top"/>
      <protection locked="0"/>
    </xf>
    <xf numFmtId="0" fontId="0" fillId="34" borderId="37" xfId="0" applyFill="1" applyBorder="1" applyAlignment="1" applyProtection="1">
      <alignment horizontal="center" vertical="top"/>
    </xf>
    <xf numFmtId="0" fontId="5" fillId="0" borderId="42" xfId="0" applyFont="1" applyBorder="1" applyAlignment="1" applyProtection="1">
      <alignment horizontal="center"/>
      <protection locked="0"/>
    </xf>
    <xf numFmtId="3" fontId="0" fillId="0" borderId="59" xfId="0" applyNumberFormat="1" applyBorder="1" applyAlignment="1" applyProtection="1">
      <protection locked="0"/>
    </xf>
    <xf numFmtId="3" fontId="0" fillId="0" borderId="60" xfId="0" applyNumberFormat="1" applyBorder="1" applyAlignment="1" applyProtection="1">
      <protection locked="0"/>
    </xf>
    <xf numFmtId="3" fontId="0" fillId="34" borderId="59" xfId="0" applyNumberFormat="1" applyFill="1" applyBorder="1" applyAlignment="1" applyProtection="1"/>
    <xf numFmtId="0" fontId="0" fillId="0" borderId="28" xfId="0" applyBorder="1" applyProtection="1">
      <protection locked="0"/>
    </xf>
    <xf numFmtId="0" fontId="0" fillId="0" borderId="42" xfId="0" applyBorder="1" applyProtection="1">
      <protection locked="0"/>
    </xf>
    <xf numFmtId="3" fontId="0" fillId="0" borderId="12" xfId="0" applyNumberFormat="1" applyBorder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0" fillId="34" borderId="12" xfId="0" applyNumberFormat="1" applyFill="1" applyBorder="1" applyAlignment="1" applyProtection="1"/>
    <xf numFmtId="0" fontId="5" fillId="0" borderId="28" xfId="0" applyFont="1" applyBorder="1" applyAlignment="1" applyProtection="1">
      <alignment horizontal="left"/>
      <protection locked="0"/>
    </xf>
    <xf numFmtId="0" fontId="0" fillId="0" borderId="42" xfId="0" applyBorder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9" fontId="0" fillId="0" borderId="42" xfId="0" applyNumberFormat="1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4" fontId="0" fillId="0" borderId="12" xfId="0" applyNumberFormat="1" applyBorder="1" applyAlignment="1" applyProtection="1">
      <protection locked="0"/>
    </xf>
    <xf numFmtId="4" fontId="0" fillId="34" borderId="12" xfId="0" applyNumberFormat="1" applyFill="1" applyBorder="1" applyAlignment="1" applyProtection="1"/>
    <xf numFmtId="0" fontId="0" fillId="0" borderId="0" xfId="0" applyAlignment="1" applyProtection="1">
      <protection locked="0"/>
    </xf>
    <xf numFmtId="4" fontId="0" fillId="0" borderId="9" xfId="0" applyNumberFormat="1" applyBorder="1" applyAlignment="1" applyProtection="1">
      <protection locked="0"/>
    </xf>
    <xf numFmtId="4" fontId="0" fillId="0" borderId="8" xfId="0" applyNumberFormat="1" applyBorder="1" applyAlignment="1" applyProtection="1">
      <protection locked="0"/>
    </xf>
    <xf numFmtId="0" fontId="0" fillId="0" borderId="42" xfId="0" applyBorder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4" fontId="3" fillId="0" borderId="9" xfId="0" applyNumberFormat="1" applyFont="1" applyBorder="1" applyAlignment="1" applyProtection="1">
      <protection locked="0"/>
    </xf>
    <xf numFmtId="4" fontId="0" fillId="0" borderId="30" xfId="0" applyNumberFormat="1" applyBorder="1" applyAlignme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3" fontId="0" fillId="0" borderId="12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34" borderId="12" xfId="0" applyNumberFormat="1" applyFill="1" applyBorder="1" applyProtection="1"/>
    <xf numFmtId="0" fontId="18" fillId="0" borderId="42" xfId="0" applyFont="1" applyBorder="1" applyAlignment="1" applyProtection="1"/>
    <xf numFmtId="0" fontId="0" fillId="0" borderId="0" xfId="0" applyAlignment="1" applyProtection="1">
      <alignment horizontal="left"/>
    </xf>
    <xf numFmtId="4" fontId="0" fillId="34" borderId="9" xfId="0" applyNumberFormat="1" applyFill="1" applyBorder="1" applyAlignment="1" applyProtection="1"/>
    <xf numFmtId="0" fontId="0" fillId="0" borderId="0" xfId="0" applyProtection="1"/>
    <xf numFmtId="0" fontId="0" fillId="0" borderId="28" xfId="0" applyBorder="1" applyProtection="1"/>
    <xf numFmtId="3" fontId="0" fillId="0" borderId="32" xfId="0" applyNumberFormat="1" applyBorder="1" applyAlignment="1" applyProtection="1">
      <protection locked="0"/>
    </xf>
    <xf numFmtId="4" fontId="0" fillId="0" borderId="31" xfId="0" applyNumberFormat="1" applyBorder="1" applyAlignment="1" applyProtection="1">
      <protection locked="0"/>
    </xf>
    <xf numFmtId="4" fontId="0" fillId="0" borderId="32" xfId="0" applyNumberFormat="1" applyBorder="1" applyAlignment="1" applyProtection="1">
      <protection locked="0"/>
    </xf>
    <xf numFmtId="4" fontId="0" fillId="34" borderId="32" xfId="0" applyNumberFormat="1" applyFill="1" applyBorder="1" applyAlignment="1" applyProtection="1"/>
    <xf numFmtId="0" fontId="5" fillId="0" borderId="28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4" fontId="0" fillId="0" borderId="8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34" borderId="9" xfId="0" applyNumberFormat="1" applyFill="1" applyBorder="1" applyProtection="1"/>
    <xf numFmtId="0" fontId="18" fillId="0" borderId="42" xfId="0" applyFont="1" applyBorder="1" applyProtection="1">
      <protection locked="0"/>
    </xf>
    <xf numFmtId="0" fontId="18" fillId="0" borderId="42" xfId="0" applyFont="1" applyBorder="1" applyProtection="1"/>
    <xf numFmtId="0" fontId="0" fillId="0" borderId="22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34" borderId="8" xfId="0" applyNumberFormat="1" applyFill="1" applyBorder="1" applyProtection="1"/>
    <xf numFmtId="0" fontId="17" fillId="0" borderId="0" xfId="0" applyFont="1" applyAlignment="1" applyProtection="1">
      <protection locked="0"/>
    </xf>
    <xf numFmtId="0" fontId="22" fillId="0" borderId="27" xfId="0" applyFont="1" applyBorder="1" applyAlignment="1" applyProtection="1">
      <alignment horizontal="center" vertical="top"/>
      <protection locked="0"/>
    </xf>
    <xf numFmtId="0" fontId="22" fillId="0" borderId="56" xfId="0" applyFont="1" applyBorder="1" applyAlignment="1" applyProtection="1">
      <alignment horizontal="center" vertical="top" wrapText="1"/>
      <protection locked="0"/>
    </xf>
    <xf numFmtId="0" fontId="22" fillId="0" borderId="27" xfId="0" applyFont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4" fontId="0" fillId="0" borderId="59" xfId="0" applyNumberFormat="1" applyBorder="1" applyAlignment="1" applyProtection="1">
      <protection locked="0"/>
    </xf>
    <xf numFmtId="4" fontId="0" fillId="0" borderId="0" xfId="0" applyNumberFormat="1" applyAlignment="1" applyProtection="1">
      <protection locked="0"/>
    </xf>
    <xf numFmtId="4" fontId="0" fillId="0" borderId="13" xfId="0" applyNumberFormat="1" applyBorder="1" applyAlignment="1" applyProtection="1">
      <protection locked="0"/>
    </xf>
    <xf numFmtId="4" fontId="0" fillId="34" borderId="8" xfId="0" applyNumberFormat="1" applyFill="1" applyBorder="1" applyAlignment="1" applyProtection="1"/>
    <xf numFmtId="4" fontId="0" fillId="0" borderId="13" xfId="0" applyNumberFormat="1" applyBorder="1" applyProtection="1">
      <protection locked="0"/>
    </xf>
    <xf numFmtId="4" fontId="0" fillId="34" borderId="8" xfId="0" applyNumberFormat="1" applyFill="1" applyBorder="1" applyProtection="1"/>
    <xf numFmtId="4" fontId="0" fillId="0" borderId="0" xfId="0" applyNumberFormat="1" applyAlignment="1">
      <alignment wrapText="1"/>
    </xf>
    <xf numFmtId="0" fontId="0" fillId="0" borderId="62" xfId="0" applyFill="1" applyBorder="1" applyAlignment="1" applyProtection="1">
      <alignment vertical="top"/>
      <protection locked="0"/>
    </xf>
    <xf numFmtId="0" fontId="0" fillId="0" borderId="31" xfId="0" applyFill="1" applyBorder="1" applyAlignment="1" applyProtection="1">
      <alignment vertical="top"/>
      <protection locked="0"/>
    </xf>
    <xf numFmtId="0" fontId="0" fillId="0" borderId="63" xfId="0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4" fontId="3" fillId="35" borderId="9" xfId="0" applyNumberFormat="1" applyFont="1" applyFill="1" applyBorder="1" applyAlignment="1" applyProtection="1">
      <alignment horizontal="center" vertical="top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0" fontId="3" fillId="35" borderId="9" xfId="0" applyFont="1" applyFill="1" applyBorder="1" applyAlignment="1" applyProtection="1">
      <alignment horizontal="center" vertical="top" wrapText="1"/>
      <protection locked="0"/>
    </xf>
    <xf numFmtId="0" fontId="3" fillId="35" borderId="30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vertical="top"/>
      <protection locked="0"/>
    </xf>
    <xf numFmtId="4" fontId="0" fillId="2" borderId="8" xfId="0" applyNumberFormat="1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30" xfId="0" applyFill="1" applyBorder="1" applyAlignment="1" applyProtection="1">
      <alignment horizontal="center" vertical="top"/>
      <protection locked="0"/>
    </xf>
    <xf numFmtId="0" fontId="0" fillId="34" borderId="9" xfId="0" applyFill="1" applyBorder="1" applyAlignment="1" applyProtection="1">
      <alignment horizontal="center" vertical="top"/>
    </xf>
    <xf numFmtId="0" fontId="5" fillId="0" borderId="64" xfId="0" applyFont="1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protection locked="0"/>
    </xf>
    <xf numFmtId="3" fontId="0" fillId="0" borderId="63" xfId="0" applyNumberFormat="1" applyBorder="1" applyAlignment="1" applyProtection="1">
      <protection locked="0"/>
    </xf>
    <xf numFmtId="3" fontId="0" fillId="34" borderId="32" xfId="0" applyNumberFormat="1" applyFill="1" applyBorder="1" applyAlignment="1" applyProtection="1"/>
    <xf numFmtId="0" fontId="0" fillId="0" borderId="41" xfId="0" applyBorder="1" applyProtection="1">
      <protection locked="0"/>
    </xf>
    <xf numFmtId="0" fontId="0" fillId="0" borderId="64" xfId="0" applyBorder="1" applyProtection="1">
      <protection locked="0"/>
    </xf>
    <xf numFmtId="3" fontId="0" fillId="0" borderId="64" xfId="0" applyNumberFormat="1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5" fillId="0" borderId="41" xfId="0" applyFont="1" applyBorder="1" applyAlignment="1" applyProtection="1">
      <alignment horizontal="left"/>
      <protection locked="0"/>
    </xf>
    <xf numFmtId="49" fontId="3" fillId="0" borderId="64" xfId="0" applyNumberFormat="1" applyFont="1" applyBorder="1" applyAlignment="1" applyProtection="1">
      <protection locked="0"/>
    </xf>
    <xf numFmtId="0" fontId="0" fillId="36" borderId="0" xfId="0" applyFill="1" applyAlignment="1" applyProtection="1">
      <alignment horizontal="left"/>
      <protection locked="0"/>
    </xf>
    <xf numFmtId="4" fontId="0" fillId="36" borderId="12" xfId="0" applyNumberFormat="1" applyFill="1" applyBorder="1" applyAlignment="1" applyProtection="1">
      <protection locked="0"/>
    </xf>
    <xf numFmtId="4" fontId="0" fillId="36" borderId="64" xfId="0" applyNumberFormat="1" applyFill="1" applyBorder="1" applyAlignment="1" applyProtection="1">
      <protection locked="0"/>
    </xf>
    <xf numFmtId="4" fontId="0" fillId="36" borderId="0" xfId="0" applyNumberFormat="1" applyFill="1" applyAlignment="1" applyProtection="1">
      <protection locked="0"/>
    </xf>
    <xf numFmtId="4" fontId="0" fillId="0" borderId="65" xfId="0" applyNumberFormat="1" applyBorder="1" applyAlignment="1" applyProtection="1">
      <protection locked="0"/>
    </xf>
    <xf numFmtId="0" fontId="0" fillId="0" borderId="64" xfId="0" applyBorder="1" applyAlignment="1" applyProtection="1">
      <alignment wrapText="1"/>
      <protection locked="0"/>
    </xf>
    <xf numFmtId="0" fontId="0" fillId="0" borderId="0" xfId="0" applyFill="1" applyAlignment="1" applyProtection="1">
      <alignment horizontal="left"/>
      <protection locked="0"/>
    </xf>
    <xf numFmtId="4" fontId="0" fillId="0" borderId="9" xfId="0" applyNumberFormat="1" applyFill="1" applyBorder="1" applyAlignment="1" applyProtection="1">
      <protection locked="0"/>
    </xf>
    <xf numFmtId="4" fontId="0" fillId="0" borderId="30" xfId="0" applyNumberFormat="1" applyFill="1" applyBorder="1" applyAlignment="1" applyProtection="1">
      <protection locked="0"/>
    </xf>
    <xf numFmtId="4" fontId="0" fillId="0" borderId="11" xfId="0" applyNumberFormat="1" applyFill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64" xfId="0" applyNumberFormat="1" applyBorder="1" applyProtection="1">
      <protection locked="0"/>
    </xf>
    <xf numFmtId="0" fontId="18" fillId="0" borderId="64" xfId="0" applyFont="1" applyBorder="1" applyAlignment="1" applyProtection="1"/>
    <xf numFmtId="0" fontId="0" fillId="36" borderId="0" xfId="0" applyFill="1" applyAlignment="1" applyProtection="1">
      <alignment horizontal="left"/>
    </xf>
    <xf numFmtId="4" fontId="0" fillId="36" borderId="9" xfId="0" applyNumberFormat="1" applyFill="1" applyBorder="1" applyAlignment="1" applyProtection="1">
      <protection locked="0"/>
    </xf>
    <xf numFmtId="4" fontId="0" fillId="36" borderId="30" xfId="0" applyNumberFormat="1" applyFill="1" applyBorder="1" applyAlignment="1" applyProtection="1">
      <protection locked="0"/>
    </xf>
    <xf numFmtId="4" fontId="0" fillId="36" borderId="11" xfId="0" applyNumberFormat="1" applyFill="1" applyBorder="1" applyAlignment="1" applyProtection="1">
      <protection locked="0"/>
    </xf>
    <xf numFmtId="0" fontId="0" fillId="0" borderId="41" xfId="0" applyBorder="1" applyProtection="1"/>
    <xf numFmtId="4" fontId="0" fillId="0" borderId="63" xfId="0" applyNumberFormat="1" applyBorder="1" applyAlignment="1" applyProtection="1">
      <protection locked="0"/>
    </xf>
    <xf numFmtId="0" fontId="5" fillId="0" borderId="41" xfId="0" applyFont="1" applyBorder="1" applyAlignment="1" applyProtection="1">
      <protection locked="0"/>
    </xf>
    <xf numFmtId="4" fontId="0" fillId="0" borderId="65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0" fontId="18" fillId="0" borderId="64" xfId="0" applyFont="1" applyBorder="1" applyProtection="1">
      <protection locked="0"/>
    </xf>
    <xf numFmtId="0" fontId="18" fillId="0" borderId="64" xfId="0" applyFont="1" applyBorder="1" applyProtection="1"/>
    <xf numFmtId="0" fontId="0" fillId="0" borderId="35" xfId="0" applyBorder="1" applyProtection="1">
      <protection locked="0"/>
    </xf>
    <xf numFmtId="0" fontId="0" fillId="0" borderId="65" xfId="0" applyBorder="1" applyProtection="1">
      <protection locked="0"/>
    </xf>
    <xf numFmtId="3" fontId="0" fillId="0" borderId="65" xfId="0" applyNumberFormat="1" applyBorder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166" fontId="0" fillId="2" borderId="57" xfId="0" applyNumberFormat="1" applyFill="1" applyBorder="1" applyAlignment="1" applyProtection="1">
      <alignment horizontal="center" vertical="top"/>
      <protection locked="0"/>
    </xf>
    <xf numFmtId="167" fontId="0" fillId="2" borderId="57" xfId="0" applyNumberFormat="1" applyFill="1" applyBorder="1" applyAlignment="1" applyProtection="1">
      <alignment horizontal="center" vertical="top"/>
      <protection locked="0"/>
    </xf>
    <xf numFmtId="168" fontId="0" fillId="34" borderId="9" xfId="0" applyNumberFormat="1" applyFill="1" applyBorder="1" applyAlignment="1" applyProtection="1"/>
    <xf numFmtId="3" fontId="0" fillId="0" borderId="8" xfId="0" applyNumberFormat="1" applyBorder="1" applyAlignment="1" applyProtection="1">
      <protection locked="0"/>
    </xf>
    <xf numFmtId="3" fontId="0" fillId="0" borderId="9" xfId="0" applyNumberFormat="1" applyBorder="1" applyAlignme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/>
    </xf>
    <xf numFmtId="0" fontId="0" fillId="0" borderId="0" xfId="0" applyFill="1" applyProtection="1">
      <protection locked="0"/>
    </xf>
    <xf numFmtId="0" fontId="0" fillId="5" borderId="0" xfId="0" applyFill="1" applyProtection="1"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3" xfId="0" applyFont="1" applyBorder="1" applyAlignment="1">
      <alignment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2" fontId="5" fillId="2" borderId="3" xfId="0" applyNumberFormat="1" applyFont="1" applyFill="1" applyBorder="1" applyAlignment="1" applyProtection="1">
      <alignment horizontal="center" vertical="top"/>
      <protection locked="0"/>
    </xf>
    <xf numFmtId="2" fontId="5" fillId="2" borderId="37" xfId="0" applyNumberFormat="1" applyFont="1" applyFill="1" applyBorder="1" applyAlignment="1" applyProtection="1">
      <alignment horizontal="center" vertical="top"/>
      <protection locked="0"/>
    </xf>
    <xf numFmtId="2" fontId="0" fillId="34" borderId="37" xfId="0" applyNumberFormat="1" applyFill="1" applyBorder="1" applyAlignment="1" applyProtection="1">
      <alignment horizontal="center" vertical="top"/>
    </xf>
    <xf numFmtId="2" fontId="0" fillId="0" borderId="0" xfId="0" applyNumberFormat="1" applyAlignment="1" applyProtection="1">
      <alignment vertical="top"/>
      <protection locked="0"/>
    </xf>
    <xf numFmtId="3" fontId="5" fillId="0" borderId="59" xfId="0" applyNumberFormat="1" applyFont="1" applyBorder="1" applyAlignment="1" applyProtection="1">
      <protection locked="0"/>
    </xf>
    <xf numFmtId="3" fontId="5" fillId="0" borderId="60" xfId="0" applyNumberFormat="1" applyFont="1" applyBorder="1" applyAlignment="1" applyProtection="1">
      <protection locked="0"/>
    </xf>
    <xf numFmtId="3" fontId="0" fillId="0" borderId="59" xfId="0" applyNumberFormat="1" applyFill="1" applyBorder="1" applyAlignment="1" applyProtection="1">
      <protection locked="0"/>
    </xf>
    <xf numFmtId="3" fontId="5" fillId="0" borderId="12" xfId="0" applyNumberFormat="1" applyFont="1" applyBorder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0" fillId="0" borderId="12" xfId="0" applyNumberFormat="1" applyFill="1" applyBorder="1" applyAlignment="1" applyProtection="1">
      <protection locked="0"/>
    </xf>
    <xf numFmtId="4" fontId="5" fillId="0" borderId="12" xfId="0" applyNumberFormat="1" applyFont="1" applyBorder="1" applyAlignment="1" applyProtection="1">
      <protection locked="0"/>
    </xf>
    <xf numFmtId="4" fontId="3" fillId="0" borderId="12" xfId="0" applyNumberFormat="1" applyFont="1" applyFill="1" applyBorder="1" applyAlignment="1" applyProtection="1">
      <protection locked="0"/>
    </xf>
    <xf numFmtId="4" fontId="3" fillId="0" borderId="12" xfId="0" applyNumberFormat="1" applyFont="1" applyBorder="1" applyAlignment="1" applyProtection="1">
      <protection locked="0"/>
    </xf>
    <xf numFmtId="4" fontId="5" fillId="0" borderId="8" xfId="0" applyNumberFormat="1" applyFont="1" applyBorder="1" applyAlignment="1" applyProtection="1">
      <protection locked="0"/>
    </xf>
    <xf numFmtId="4" fontId="3" fillId="0" borderId="8" xfId="0" applyNumberFormat="1" applyFont="1" applyFill="1" applyBorder="1" applyAlignment="1" applyProtection="1">
      <protection locked="0"/>
    </xf>
    <xf numFmtId="4" fontId="3" fillId="0" borderId="8" xfId="0" applyNumberFormat="1" applyFont="1" applyBorder="1" applyAlignment="1" applyProtection="1">
      <protection locked="0"/>
    </xf>
    <xf numFmtId="4" fontId="5" fillId="0" borderId="9" xfId="0" applyNumberFormat="1" applyFont="1" applyBorder="1" applyAlignment="1" applyProtection="1">
      <protection locked="0"/>
    </xf>
    <xf numFmtId="4" fontId="3" fillId="0" borderId="9" xfId="0" applyNumberFormat="1" applyFont="1" applyFill="1" applyBorder="1" applyAlignment="1" applyProtection="1">
      <protection locked="0"/>
    </xf>
    <xf numFmtId="4" fontId="3" fillId="5" borderId="9" xfId="0" applyNumberFormat="1" applyFont="1" applyFill="1" applyBorder="1" applyAlignment="1" applyProtection="1">
      <protection locked="0"/>
    </xf>
    <xf numFmtId="4" fontId="3" fillId="5" borderId="8" xfId="0" applyNumberFormat="1" applyFont="1" applyFill="1" applyBorder="1" applyAlignment="1" applyProtection="1">
      <protection locked="0"/>
    </xf>
    <xf numFmtId="4" fontId="0" fillId="0" borderId="9" xfId="7" applyNumberFormat="1" applyFont="1" applyFill="1" applyBorder="1" applyAlignment="1" applyProtection="1"/>
    <xf numFmtId="4" fontId="0" fillId="0" borderId="11" xfId="7" applyNumberFormat="1" applyFont="1" applyFill="1" applyBorder="1" applyAlignment="1" applyProtection="1"/>
    <xf numFmtId="3" fontId="5" fillId="0" borderId="12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5" borderId="12" xfId="0" applyNumberFormat="1" applyFont="1" applyFill="1" applyBorder="1" applyProtection="1">
      <protection locked="0"/>
    </xf>
    <xf numFmtId="4" fontId="5" fillId="0" borderId="30" xfId="0" applyNumberFormat="1" applyFont="1" applyBorder="1" applyAlignment="1" applyProtection="1">
      <protection locked="0"/>
    </xf>
    <xf numFmtId="4" fontId="5" fillId="0" borderId="32" xfId="0" applyNumberFormat="1" applyFont="1" applyBorder="1" applyAlignment="1" applyProtection="1">
      <protection locked="0"/>
    </xf>
    <xf numFmtId="4" fontId="5" fillId="0" borderId="31" xfId="0" applyNumberFormat="1" applyFont="1" applyBorder="1" applyAlignment="1" applyProtection="1">
      <protection locked="0"/>
    </xf>
    <xf numFmtId="4" fontId="3" fillId="0" borderId="32" xfId="0" applyNumberFormat="1" applyFont="1" applyFill="1" applyBorder="1" applyAlignment="1" applyProtection="1">
      <protection locked="0"/>
    </xf>
    <xf numFmtId="4" fontId="3" fillId="0" borderId="32" xfId="0" applyNumberFormat="1" applyFont="1" applyBorder="1" applyAlignment="1" applyProtection="1">
      <protection locked="0"/>
    </xf>
    <xf numFmtId="4" fontId="3" fillId="5" borderId="32" xfId="0" applyNumberFormat="1" applyFont="1" applyFill="1" applyBorder="1" applyAlignment="1" applyProtection="1">
      <protection locked="0"/>
    </xf>
    <xf numFmtId="4" fontId="5" fillId="0" borderId="8" xfId="0" applyNumberFormat="1" applyFont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5" borderId="8" xfId="0" applyNumberFormat="1" applyFont="1" applyFill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" fontId="5" fillId="0" borderId="30" xfId="0" applyNumberFormat="1" applyFont="1" applyBorder="1" applyProtection="1">
      <protection locked="0"/>
    </xf>
    <xf numFmtId="4" fontId="3" fillId="0" borderId="9" xfId="0" applyNumberFormat="1" applyFont="1" applyFill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4" fontId="3" fillId="5" borderId="9" xfId="0" applyNumberFormat="1" applyFont="1" applyFill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5" fillId="0" borderId="13" xfId="0" applyNumberFormat="1" applyFont="1" applyBorder="1" applyProtection="1">
      <protection locked="0"/>
    </xf>
    <xf numFmtId="3" fontId="3" fillId="0" borderId="8" xfId="0" applyNumberFormat="1" applyFont="1" applyFill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3" fontId="3" fillId="5" borderId="8" xfId="0" applyNumberFormat="1" applyFont="1" applyFill="1" applyBorder="1" applyProtection="1">
      <protection locked="0"/>
    </xf>
    <xf numFmtId="0" fontId="0" fillId="0" borderId="53" xfId="0" applyBorder="1" applyProtection="1">
      <protection locked="0"/>
    </xf>
    <xf numFmtId="0" fontId="5" fillId="0" borderId="32" xfId="0" applyFont="1" applyBorder="1" applyProtection="1">
      <protection locked="0"/>
    </xf>
    <xf numFmtId="0" fontId="3" fillId="0" borderId="32" xfId="0" applyFont="1" applyFill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5" borderId="32" xfId="0" applyFont="1" applyFill="1" applyBorder="1" applyProtection="1">
      <protection locked="0"/>
    </xf>
    <xf numFmtId="0" fontId="0" fillId="34" borderId="32" xfId="0" applyFill="1" applyBorder="1" applyProtection="1">
      <protection locked="0"/>
    </xf>
    <xf numFmtId="4" fontId="5" fillId="0" borderId="62" xfId="0" applyNumberFormat="1" applyFont="1" applyBorder="1" applyAlignment="1" applyProtection="1">
      <protection locked="0"/>
    </xf>
    <xf numFmtId="4" fontId="5" fillId="0" borderId="0" xfId="0" applyNumberFormat="1" applyFont="1" applyAlignment="1" applyProtection="1">
      <protection locked="0"/>
    </xf>
    <xf numFmtId="3" fontId="25" fillId="0" borderId="12" xfId="0" applyNumberFormat="1" applyFont="1" applyBorder="1" applyProtection="1">
      <protection locked="0"/>
    </xf>
    <xf numFmtId="4" fontId="5" fillId="37" borderId="9" xfId="0" applyNumberFormat="1" applyFont="1" applyFill="1" applyBorder="1" applyAlignment="1" applyProtection="1">
      <protection locked="0"/>
    </xf>
    <xf numFmtId="3" fontId="20" fillId="0" borderId="8" xfId="0" applyNumberFormat="1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Fill="1" applyProtection="1">
      <protection locked="0"/>
    </xf>
    <xf numFmtId="0" fontId="20" fillId="5" borderId="0" xfId="0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0" fontId="0" fillId="13" borderId="0" xfId="0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8" borderId="27" xfId="0" applyFill="1" applyBorder="1" applyAlignment="1" applyProtection="1">
      <alignment horizontal="center" vertical="center" wrapText="1"/>
      <protection locked="0"/>
    </xf>
    <xf numFmtId="0" fontId="26" fillId="39" borderId="56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7" fillId="0" borderId="56" xfId="0" applyFont="1" applyFill="1" applyBorder="1" applyAlignment="1" applyProtection="1">
      <alignment horizontal="center" vertical="center" wrapText="1"/>
      <protection locked="0"/>
    </xf>
    <xf numFmtId="0" fontId="27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top"/>
      <protection locked="0"/>
    </xf>
    <xf numFmtId="0" fontId="0" fillId="13" borderId="57" xfId="0" applyFill="1" applyBorder="1" applyAlignment="1" applyProtection="1">
      <alignment horizontal="center" vertical="top"/>
      <protection locked="0"/>
    </xf>
    <xf numFmtId="4" fontId="0" fillId="2" borderId="3" xfId="0" applyNumberFormat="1" applyFill="1" applyBorder="1" applyAlignment="1" applyProtection="1">
      <alignment horizontal="center" vertical="top"/>
      <protection locked="0"/>
    </xf>
    <xf numFmtId="0" fontId="3" fillId="13" borderId="37" xfId="0" applyFont="1" applyFill="1" applyBorder="1" applyAlignment="1" applyProtection="1">
      <alignment horizontal="center" vertical="top"/>
      <protection locked="0"/>
    </xf>
    <xf numFmtId="0" fontId="3" fillId="13" borderId="3" xfId="0" applyFont="1" applyFill="1" applyBorder="1" applyAlignment="1" applyProtection="1">
      <alignment horizontal="center" vertical="top"/>
      <protection locked="0"/>
    </xf>
    <xf numFmtId="4" fontId="3" fillId="5" borderId="37" xfId="0" applyNumberFormat="1" applyFont="1" applyFill="1" applyBorder="1" applyAlignment="1" applyProtection="1">
      <alignment horizontal="center" vertical="top"/>
    </xf>
    <xf numFmtId="3" fontId="0" fillId="5" borderId="59" xfId="0" applyNumberFormat="1" applyFill="1" applyBorder="1" applyAlignment="1" applyProtection="1">
      <protection locked="0"/>
    </xf>
    <xf numFmtId="3" fontId="0" fillId="5" borderId="60" xfId="0" applyNumberFormat="1" applyFill="1" applyBorder="1" applyAlignment="1" applyProtection="1">
      <protection locked="0"/>
    </xf>
    <xf numFmtId="3" fontId="0" fillId="5" borderId="59" xfId="0" applyNumberFormat="1" applyFill="1" applyBorder="1" applyAlignment="1" applyProtection="1"/>
    <xf numFmtId="3" fontId="0" fillId="5" borderId="12" xfId="0" applyNumberFormat="1" applyFill="1" applyBorder="1" applyAlignment="1" applyProtection="1">
      <protection locked="0"/>
    </xf>
    <xf numFmtId="3" fontId="0" fillId="5" borderId="0" xfId="0" applyNumberFormat="1" applyFill="1" applyAlignment="1" applyProtection="1">
      <protection locked="0"/>
    </xf>
    <xf numFmtId="3" fontId="0" fillId="5" borderId="12" xfId="0" applyNumberFormat="1" applyFill="1" applyBorder="1" applyAlignment="1" applyProtection="1"/>
    <xf numFmtId="3" fontId="28" fillId="5" borderId="12" xfId="0" applyNumberFormat="1" applyFont="1" applyFill="1" applyBorder="1" applyAlignment="1" applyProtection="1">
      <protection locked="0"/>
    </xf>
    <xf numFmtId="4" fontId="28" fillId="0" borderId="13" xfId="0" applyNumberFormat="1" applyFont="1" applyFill="1" applyBorder="1" applyAlignment="1" applyProtection="1">
      <protection locked="0"/>
    </xf>
    <xf numFmtId="3" fontId="3" fillId="5" borderId="12" xfId="0" applyNumberFormat="1" applyFont="1" applyFill="1" applyBorder="1" applyAlignment="1" applyProtection="1">
      <protection locked="0"/>
    </xf>
    <xf numFmtId="3" fontId="5" fillId="5" borderId="12" xfId="0" applyNumberFormat="1" applyFont="1" applyFill="1" applyBorder="1" applyAlignment="1" applyProtection="1">
      <protection locked="0"/>
    </xf>
    <xf numFmtId="3" fontId="5" fillId="5" borderId="0" xfId="0" applyNumberFormat="1" applyFont="1" applyFill="1" applyAlignment="1" applyProtection="1">
      <protection locked="0"/>
    </xf>
    <xf numFmtId="3" fontId="5" fillId="5" borderId="8" xfId="0" applyNumberFormat="1" applyFont="1" applyFill="1" applyBorder="1" applyAlignment="1" applyProtection="1">
      <protection locked="0"/>
    </xf>
    <xf numFmtId="3" fontId="5" fillId="5" borderId="9" xfId="0" applyNumberFormat="1" applyFont="1" applyFill="1" applyBorder="1" applyAlignment="1" applyProtection="1">
      <protection locked="0"/>
    </xf>
    <xf numFmtId="3" fontId="5" fillId="5" borderId="64" xfId="0" applyNumberFormat="1" applyFont="1" applyFill="1" applyBorder="1" applyAlignment="1" applyProtection="1">
      <protection locked="0"/>
    </xf>
    <xf numFmtId="4" fontId="0" fillId="5" borderId="12" xfId="0" applyNumberFormat="1" applyFill="1" applyBorder="1" applyAlignment="1" applyProtection="1"/>
    <xf numFmtId="0" fontId="0" fillId="0" borderId="28" xfId="0" applyFill="1" applyBorder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3" fontId="28" fillId="5" borderId="8" xfId="0" applyNumberFormat="1" applyFont="1" applyFill="1" applyBorder="1" applyAlignment="1" applyProtection="1">
      <protection locked="0"/>
    </xf>
    <xf numFmtId="3" fontId="5" fillId="5" borderId="32" xfId="0" applyNumberFormat="1" applyFont="1" applyFill="1" applyBorder="1" applyAlignment="1" applyProtection="1">
      <protection locked="0"/>
    </xf>
    <xf numFmtId="4" fontId="0" fillId="0" borderId="0" xfId="0" applyNumberFormat="1" applyFill="1" applyProtection="1">
      <protection locked="0"/>
    </xf>
    <xf numFmtId="4" fontId="28" fillId="0" borderId="9" xfId="0" applyNumberFormat="1" applyFont="1" applyFill="1" applyBorder="1" applyAlignment="1" applyProtection="1">
      <protection locked="0"/>
    </xf>
    <xf numFmtId="3" fontId="28" fillId="5" borderId="65" xfId="0" applyNumberFormat="1" applyFont="1" applyFill="1" applyBorder="1" applyAlignment="1" applyProtection="1">
      <protection locked="0"/>
    </xf>
    <xf numFmtId="3" fontId="28" fillId="5" borderId="9" xfId="0" applyNumberFormat="1" applyFont="1" applyFill="1" applyBorder="1" applyAlignment="1" applyProtection="1">
      <protection locked="0"/>
    </xf>
    <xf numFmtId="3" fontId="28" fillId="5" borderId="30" xfId="0" applyNumberFormat="1" applyFont="1" applyFill="1" applyBorder="1" applyAlignment="1" applyProtection="1">
      <protection locked="0"/>
    </xf>
    <xf numFmtId="3" fontId="0" fillId="5" borderId="9" xfId="0" applyNumberFormat="1" applyFill="1" applyBorder="1" applyAlignment="1" applyProtection="1">
      <protection locked="0"/>
    </xf>
    <xf numFmtId="4" fontId="0" fillId="5" borderId="9" xfId="0" applyNumberFormat="1" applyFill="1" applyBorder="1" applyAlignment="1" applyProtection="1"/>
    <xf numFmtId="0" fontId="0" fillId="0" borderId="42" xfId="0" applyFill="1" applyBorder="1" applyAlignment="1" applyProtection="1">
      <alignment wrapText="1"/>
      <protection locked="0"/>
    </xf>
    <xf numFmtId="4" fontId="28" fillId="0" borderId="8" xfId="0" applyNumberFormat="1" applyFont="1" applyFill="1" applyBorder="1" applyAlignment="1" applyProtection="1">
      <protection locked="0"/>
    </xf>
    <xf numFmtId="3" fontId="3" fillId="5" borderId="65" xfId="0" applyNumberFormat="1" applyFont="1" applyFill="1" applyBorder="1" applyAlignment="1" applyProtection="1">
      <protection locked="0"/>
    </xf>
    <xf numFmtId="3" fontId="5" fillId="5" borderId="13" xfId="0" applyNumberFormat="1" applyFont="1" applyFill="1" applyBorder="1" applyAlignment="1" applyProtection="1">
      <protection locked="0"/>
    </xf>
    <xf numFmtId="3" fontId="5" fillId="0" borderId="13" xfId="0" applyNumberFormat="1" applyFont="1" applyFill="1" applyBorder="1" applyAlignment="1" applyProtection="1">
      <protection locked="0"/>
    </xf>
    <xf numFmtId="4" fontId="0" fillId="5" borderId="8" xfId="0" applyNumberFormat="1" applyFill="1" applyBorder="1" applyAlignment="1" applyProtection="1"/>
    <xf numFmtId="0" fontId="18" fillId="0" borderId="0" xfId="0" applyFont="1" applyFill="1" applyAlignment="1" applyProtection="1">
      <alignment wrapText="1"/>
      <protection locked="0"/>
    </xf>
    <xf numFmtId="3" fontId="3" fillId="5" borderId="11" xfId="0" applyNumberFormat="1" applyFont="1" applyFill="1" applyBorder="1" applyAlignment="1" applyProtection="1">
      <protection locked="0"/>
    </xf>
    <xf numFmtId="3" fontId="5" fillId="5" borderId="30" xfId="0" applyNumberFormat="1" applyFont="1" applyFill="1" applyBorder="1" applyAlignment="1" applyProtection="1">
      <protection locked="0"/>
    </xf>
    <xf numFmtId="4" fontId="28" fillId="5" borderId="9" xfId="0" applyNumberFormat="1" applyFont="1" applyFill="1" applyBorder="1" applyAlignment="1" applyProtection="1">
      <protection locked="0"/>
    </xf>
    <xf numFmtId="4" fontId="5" fillId="5" borderId="11" xfId="0" applyNumberFormat="1" applyFont="1" applyFill="1" applyBorder="1" applyAlignment="1" applyProtection="1">
      <protection locked="0"/>
    </xf>
    <xf numFmtId="3" fontId="3" fillId="5" borderId="0" xfId="0" applyNumberFormat="1" applyFont="1" applyFill="1"/>
    <xf numFmtId="3" fontId="28" fillId="5" borderId="11" xfId="0" applyNumberFormat="1" applyFont="1" applyFill="1" applyBorder="1" applyAlignment="1" applyProtection="1">
      <protection locked="0"/>
    </xf>
    <xf numFmtId="4" fontId="28" fillId="5" borderId="11" xfId="0" applyNumberFormat="1" applyFont="1" applyFill="1" applyBorder="1" applyAlignment="1" applyProtection="1">
      <protection locked="0"/>
    </xf>
    <xf numFmtId="3" fontId="3" fillId="5" borderId="9" xfId="0" applyNumberFormat="1" applyFont="1" applyFill="1" applyBorder="1" applyAlignment="1" applyProtection="1">
      <protection locked="0"/>
    </xf>
    <xf numFmtId="4" fontId="3" fillId="5" borderId="11" xfId="0" applyNumberFormat="1" applyFont="1" applyFill="1" applyBorder="1" applyAlignment="1" applyProtection="1">
      <protection locked="0"/>
    </xf>
    <xf numFmtId="3" fontId="28" fillId="0" borderId="9" xfId="0" applyNumberFormat="1" applyFont="1" applyBorder="1" applyAlignment="1" applyProtection="1">
      <protection locked="0"/>
    </xf>
    <xf numFmtId="3" fontId="28" fillId="0" borderId="12" xfId="0" applyNumberFormat="1" applyFont="1" applyBorder="1" applyProtection="1">
      <protection locked="0"/>
    </xf>
    <xf numFmtId="4" fontId="28" fillId="0" borderId="0" xfId="0" applyNumberFormat="1" applyFont="1" applyProtection="1">
      <protection locked="0"/>
    </xf>
    <xf numFmtId="3" fontId="28" fillId="5" borderId="12" xfId="0" applyNumberFormat="1" applyFont="1" applyFill="1" applyBorder="1" applyProtection="1">
      <protection locked="0"/>
    </xf>
    <xf numFmtId="3" fontId="28" fillId="5" borderId="0" xfId="0" applyNumberFormat="1" applyFont="1" applyFill="1" applyProtection="1">
      <protection locked="0"/>
    </xf>
    <xf numFmtId="3" fontId="0" fillId="5" borderId="12" xfId="0" applyNumberFormat="1" applyFill="1" applyBorder="1" applyProtection="1">
      <protection locked="0"/>
    </xf>
    <xf numFmtId="4" fontId="0" fillId="5" borderId="12" xfId="0" applyNumberFormat="1" applyFill="1" applyBorder="1" applyProtection="1"/>
    <xf numFmtId="4" fontId="28" fillId="0" borderId="30" xfId="0" applyNumberFormat="1" applyFont="1" applyBorder="1" applyAlignment="1" applyProtection="1">
      <protection locked="0"/>
    </xf>
    <xf numFmtId="4" fontId="0" fillId="0" borderId="0" xfId="0" applyNumberFormat="1" applyProtection="1"/>
    <xf numFmtId="3" fontId="28" fillId="0" borderId="32" xfId="0" applyNumberFormat="1" applyFont="1" applyBorder="1" applyAlignment="1" applyProtection="1">
      <protection locked="0"/>
    </xf>
    <xf numFmtId="4" fontId="28" fillId="0" borderId="31" xfId="0" applyNumberFormat="1" applyFont="1" applyBorder="1" applyAlignment="1" applyProtection="1">
      <protection locked="0"/>
    </xf>
    <xf numFmtId="3" fontId="28" fillId="5" borderId="32" xfId="0" applyNumberFormat="1" applyFont="1" applyFill="1" applyBorder="1" applyAlignment="1" applyProtection="1">
      <protection locked="0"/>
    </xf>
    <xf numFmtId="3" fontId="28" fillId="5" borderId="31" xfId="0" applyNumberFormat="1" applyFont="1" applyFill="1" applyBorder="1" applyAlignment="1" applyProtection="1">
      <protection locked="0"/>
    </xf>
    <xf numFmtId="3" fontId="0" fillId="5" borderId="32" xfId="0" applyNumberFormat="1" applyFill="1" applyBorder="1" applyAlignment="1" applyProtection="1">
      <protection locked="0"/>
    </xf>
    <xf numFmtId="4" fontId="0" fillId="5" borderId="32" xfId="0" applyNumberFormat="1" applyFill="1" applyBorder="1" applyAlignment="1" applyProtection="1"/>
    <xf numFmtId="0" fontId="5" fillId="0" borderId="28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42" xfId="0" applyFill="1" applyBorder="1" applyProtection="1">
      <protection locked="0"/>
    </xf>
    <xf numFmtId="3" fontId="3" fillId="5" borderId="8" xfId="0" applyNumberFormat="1" applyFont="1" applyFill="1" applyBorder="1" applyAlignment="1" applyProtection="1">
      <protection locked="0"/>
    </xf>
    <xf numFmtId="3" fontId="28" fillId="5" borderId="13" xfId="0" applyNumberFormat="1" applyFont="1" applyFill="1" applyBorder="1" applyAlignment="1" applyProtection="1">
      <protection locked="0"/>
    </xf>
    <xf numFmtId="3" fontId="0" fillId="5" borderId="8" xfId="0" applyNumberFormat="1" applyFill="1" applyBorder="1" applyAlignment="1" applyProtection="1">
      <protection locked="0"/>
    </xf>
    <xf numFmtId="3" fontId="28" fillId="0" borderId="32" xfId="0" applyNumberFormat="1" applyFont="1" applyFill="1" applyBorder="1" applyAlignment="1" applyProtection="1">
      <protection locked="0"/>
    </xf>
    <xf numFmtId="4" fontId="28" fillId="0" borderId="31" xfId="0" applyNumberFormat="1" applyFont="1" applyFill="1" applyBorder="1" applyAlignment="1" applyProtection="1">
      <protection locked="0"/>
    </xf>
    <xf numFmtId="3" fontId="28" fillId="5" borderId="8" xfId="0" applyNumberFormat="1" applyFont="1" applyFill="1" applyBorder="1" applyProtection="1">
      <protection locked="0"/>
    </xf>
    <xf numFmtId="3" fontId="28" fillId="5" borderId="13" xfId="0" applyNumberFormat="1" applyFont="1" applyFill="1" applyBorder="1" applyProtection="1">
      <protection locked="0"/>
    </xf>
    <xf numFmtId="3" fontId="0" fillId="5" borderId="8" xfId="0" applyNumberFormat="1" applyFill="1" applyBorder="1" applyProtection="1">
      <protection locked="0"/>
    </xf>
    <xf numFmtId="4" fontId="0" fillId="5" borderId="8" xfId="0" applyNumberFormat="1" applyFill="1" applyBorder="1" applyProtection="1"/>
    <xf numFmtId="3" fontId="28" fillId="0" borderId="9" xfId="0" applyNumberFormat="1" applyFont="1" applyBorder="1" applyProtection="1">
      <protection locked="0"/>
    </xf>
    <xf numFmtId="4" fontId="28" fillId="0" borderId="30" xfId="0" applyNumberFormat="1" applyFont="1" applyBorder="1" applyProtection="1">
      <protection locked="0"/>
    </xf>
    <xf numFmtId="3" fontId="28" fillId="5" borderId="9" xfId="0" applyNumberFormat="1" applyFont="1" applyFill="1" applyBorder="1" applyProtection="1">
      <protection locked="0"/>
    </xf>
    <xf numFmtId="3" fontId="28" fillId="5" borderId="30" xfId="0" applyNumberFormat="1" applyFont="1" applyFill="1" applyBorder="1" applyProtection="1">
      <protection locked="0"/>
    </xf>
    <xf numFmtId="3" fontId="0" fillId="5" borderId="9" xfId="0" applyNumberFormat="1" applyFill="1" applyBorder="1" applyProtection="1">
      <protection locked="0"/>
    </xf>
    <xf numFmtId="4" fontId="0" fillId="5" borderId="9" xfId="0" applyNumberFormat="1" applyFill="1" applyBorder="1" applyProtection="1"/>
    <xf numFmtId="4" fontId="28" fillId="5" borderId="12" xfId="0" applyNumberFormat="1" applyFont="1" applyFill="1" applyBorder="1" applyProtection="1">
      <protection locked="0"/>
    </xf>
    <xf numFmtId="4" fontId="28" fillId="5" borderId="8" xfId="0" applyNumberFormat="1" applyFont="1" applyFill="1" applyBorder="1" applyAlignment="1" applyProtection="1">
      <protection locked="0"/>
    </xf>
    <xf numFmtId="4" fontId="28" fillId="5" borderId="32" xfId="0" applyNumberFormat="1" applyFont="1" applyFill="1" applyBorder="1" applyAlignment="1" applyProtection="1">
      <protection locked="0"/>
    </xf>
    <xf numFmtId="3" fontId="5" fillId="5" borderId="8" xfId="0" applyNumberFormat="1" applyFont="1" applyFill="1" applyBorder="1" applyProtection="1">
      <protection locked="0"/>
    </xf>
    <xf numFmtId="4" fontId="28" fillId="5" borderId="8" xfId="0" applyNumberFormat="1" applyFont="1" applyFill="1" applyBorder="1" applyProtection="1">
      <protection locked="0"/>
    </xf>
    <xf numFmtId="3" fontId="0" fillId="5" borderId="13" xfId="0" applyNumberFormat="1" applyFill="1" applyBorder="1" applyProtection="1">
      <protection locked="0"/>
    </xf>
    <xf numFmtId="3" fontId="0" fillId="5" borderId="8" xfId="0" applyNumberFormat="1" applyFill="1" applyBorder="1" applyProtection="1"/>
    <xf numFmtId="0" fontId="3" fillId="0" borderId="27" xfId="0" applyFont="1" applyBorder="1" applyAlignment="1" applyProtection="1">
      <alignment horizontal="center" vertical="top" wrapText="1"/>
      <protection locked="0"/>
    </xf>
    <xf numFmtId="2" fontId="0" fillId="2" borderId="37" xfId="0" applyNumberFormat="1" applyFill="1" applyBorder="1" applyAlignment="1" applyProtection="1">
      <alignment horizontal="center" vertical="top"/>
      <protection locked="0"/>
    </xf>
    <xf numFmtId="0" fontId="4" fillId="0" borderId="0" xfId="6" applyFont="1" applyFill="1" applyAlignment="1" applyProtection="1"/>
    <xf numFmtId="4" fontId="4" fillId="0" borderId="0" xfId="6" applyNumberFormat="1" applyFont="1" applyFill="1" applyAlignment="1" applyProtection="1"/>
    <xf numFmtId="0" fontId="25" fillId="0" borderId="0" xfId="6" applyFont="1" applyFill="1" applyAlignment="1" applyProtection="1">
      <protection locked="0"/>
    </xf>
    <xf numFmtId="0" fontId="5" fillId="0" borderId="3" xfId="6" applyFont="1" applyFill="1" applyBorder="1" applyAlignment="1" applyProtection="1">
      <alignment horizontal="center" wrapText="1"/>
    </xf>
    <xf numFmtId="0" fontId="5" fillId="0" borderId="66" xfId="6" applyFont="1" applyFill="1" applyBorder="1" applyAlignment="1" applyProtection="1">
      <alignment horizontal="center" wrapText="1"/>
    </xf>
    <xf numFmtId="0" fontId="3" fillId="0" borderId="58" xfId="6" applyFont="1" applyFill="1" applyBorder="1" applyAlignment="1" applyProtection="1">
      <alignment vertical="top"/>
      <protection locked="0"/>
    </xf>
    <xf numFmtId="0" fontId="3" fillId="0" borderId="60" xfId="6" applyFont="1" applyFill="1" applyBorder="1" applyAlignment="1" applyProtection="1">
      <alignment vertical="top"/>
      <protection locked="0"/>
    </xf>
    <xf numFmtId="0" fontId="3" fillId="0" borderId="67" xfId="6" applyFont="1" applyFill="1" applyBorder="1" applyAlignment="1" applyProtection="1">
      <alignment vertical="top"/>
      <protection locked="0"/>
    </xf>
    <xf numFmtId="0" fontId="3" fillId="0" borderId="2" xfId="6" applyFont="1" applyFill="1" applyBorder="1" applyAlignment="1" applyProtection="1">
      <alignment vertical="top"/>
      <protection locked="0"/>
    </xf>
    <xf numFmtId="0" fontId="3" fillId="0" borderId="37" xfId="6" applyFont="1" applyFill="1" applyBorder="1" applyAlignment="1" applyProtection="1">
      <alignment horizontal="center" vertical="top"/>
      <protection locked="0"/>
    </xf>
    <xf numFmtId="0" fontId="3" fillId="0" borderId="66" xfId="6" applyFont="1" applyFill="1" applyBorder="1" applyAlignment="1" applyProtection="1">
      <alignment horizontal="center" vertical="top" wrapText="1"/>
      <protection locked="0"/>
    </xf>
    <xf numFmtId="0" fontId="3" fillId="0" borderId="4" xfId="6" applyFont="1" applyFill="1" applyBorder="1" applyAlignment="1" applyProtection="1">
      <alignment horizontal="center" vertical="top"/>
      <protection locked="0"/>
    </xf>
    <xf numFmtId="0" fontId="3" fillId="0" borderId="37" xfId="6" applyFont="1" applyFill="1" applyBorder="1" applyAlignment="1" applyProtection="1">
      <alignment horizontal="center" vertical="top" wrapText="1"/>
      <protection locked="0"/>
    </xf>
    <xf numFmtId="0" fontId="3" fillId="0" borderId="4" xfId="6" applyFont="1" applyFill="1" applyBorder="1" applyAlignment="1" applyProtection="1">
      <alignment horizontal="center" vertical="top" wrapText="1"/>
      <protection locked="0"/>
    </xf>
    <xf numFmtId="0" fontId="3" fillId="0" borderId="1" xfId="6" applyFont="1" applyFill="1" applyBorder="1" applyAlignment="1" applyProtection="1">
      <alignment horizontal="center" vertical="top" wrapText="1"/>
      <protection locked="0"/>
    </xf>
    <xf numFmtId="0" fontId="3" fillId="0" borderId="5" xfId="6" applyFont="1" applyFill="1" applyBorder="1" applyAlignment="1" applyProtection="1">
      <alignment horizontal="center" vertical="top" wrapText="1"/>
      <protection locked="0"/>
    </xf>
    <xf numFmtId="0" fontId="3" fillId="0" borderId="14" xfId="6" applyFont="1" applyFill="1" applyBorder="1" applyAlignment="1" applyProtection="1">
      <alignment horizontal="center" vertical="top" wrapText="1"/>
      <protection locked="0"/>
    </xf>
    <xf numFmtId="4" fontId="3" fillId="0" borderId="68" xfId="6" applyNumberFormat="1" applyFont="1" applyFill="1" applyBorder="1" applyAlignment="1" applyProtection="1">
      <alignment vertical="top" wrapText="1"/>
      <protection locked="0"/>
    </xf>
    <xf numFmtId="4" fontId="3" fillId="0" borderId="37" xfId="6" applyNumberFormat="1" applyFont="1" applyFill="1" applyBorder="1" applyAlignment="1" applyProtection="1">
      <alignment vertical="top" wrapText="1"/>
      <protection locked="0"/>
    </xf>
    <xf numFmtId="0" fontId="3" fillId="0" borderId="37" xfId="6" applyFont="1" applyFill="1" applyBorder="1" applyAlignment="1" applyProtection="1">
      <alignment vertical="top" wrapText="1"/>
      <protection locked="0"/>
    </xf>
    <xf numFmtId="0" fontId="3" fillId="0" borderId="68" xfId="6" applyFont="1" applyFill="1" applyBorder="1" applyAlignment="1" applyProtection="1">
      <alignment horizontal="center" vertical="top" wrapText="1"/>
      <protection locked="0"/>
    </xf>
    <xf numFmtId="0" fontId="3" fillId="5" borderId="37" xfId="6" applyFont="1" applyFill="1" applyBorder="1" applyAlignment="1" applyProtection="1">
      <alignment horizontal="center" vertical="top" wrapText="1"/>
      <protection locked="0"/>
    </xf>
    <xf numFmtId="0" fontId="3" fillId="0" borderId="68" xfId="6" applyFont="1" applyFill="1" applyBorder="1" applyAlignment="1" applyProtection="1">
      <alignment horizontal="center" vertical="top"/>
      <protection locked="0"/>
    </xf>
    <xf numFmtId="0" fontId="3" fillId="0" borderId="0" xfId="6" applyFont="1" applyFill="1" applyAlignment="1" applyProtection="1">
      <alignment vertical="top"/>
      <protection locked="0"/>
    </xf>
    <xf numFmtId="0" fontId="3" fillId="2" borderId="57" xfId="6" applyFont="1" applyFill="1" applyBorder="1" applyAlignment="1" applyProtection="1">
      <alignment horizontal="center" vertical="top"/>
      <protection locked="0"/>
    </xf>
    <xf numFmtId="4" fontId="3" fillId="2" borderId="66" xfId="6" applyNumberFormat="1" applyFont="1" applyFill="1" applyBorder="1" applyAlignment="1" applyProtection="1">
      <alignment horizontal="center" vertical="top"/>
      <protection locked="0"/>
    </xf>
    <xf numFmtId="4" fontId="3" fillId="2" borderId="23" xfId="6" applyNumberFormat="1" applyFont="1" applyFill="1" applyBorder="1" applyAlignment="1" applyProtection="1">
      <alignment horizontal="center" vertical="top"/>
      <protection locked="0"/>
    </xf>
    <xf numFmtId="4" fontId="3" fillId="2" borderId="37" xfId="6" applyNumberFormat="1" applyFont="1" applyFill="1" applyBorder="1" applyAlignment="1" applyProtection="1">
      <alignment horizontal="center" vertical="top"/>
      <protection locked="0"/>
    </xf>
    <xf numFmtId="0" fontId="3" fillId="2" borderId="23" xfId="6" applyFont="1" applyFill="1" applyBorder="1" applyAlignment="1" applyProtection="1">
      <alignment horizontal="center" vertical="top"/>
      <protection locked="0"/>
    </xf>
    <xf numFmtId="0" fontId="3" fillId="2" borderId="19" xfId="6" applyFont="1" applyFill="1" applyBorder="1" applyAlignment="1" applyProtection="1">
      <alignment horizontal="center" vertical="top"/>
      <protection locked="0"/>
    </xf>
    <xf numFmtId="0" fontId="3" fillId="2" borderId="21" xfId="6" applyFont="1" applyFill="1" applyBorder="1" applyAlignment="1" applyProtection="1">
      <alignment horizontal="center" vertical="top"/>
      <protection locked="0"/>
    </xf>
    <xf numFmtId="0" fontId="3" fillId="2" borderId="34" xfId="6" applyFont="1" applyFill="1" applyBorder="1" applyAlignment="1" applyProtection="1">
      <alignment horizontal="center" vertical="top"/>
      <protection locked="0"/>
    </xf>
    <xf numFmtId="4" fontId="3" fillId="2" borderId="68" xfId="6" applyNumberFormat="1" applyFont="1" applyFill="1" applyBorder="1" applyAlignment="1" applyProtection="1">
      <alignment horizontal="center" vertical="top"/>
      <protection locked="0"/>
    </xf>
    <xf numFmtId="4" fontId="3" fillId="2" borderId="61" xfId="6" applyNumberFormat="1" applyFont="1" applyFill="1" applyBorder="1" applyAlignment="1" applyProtection="1">
      <alignment horizontal="center" vertical="top"/>
      <protection locked="0"/>
    </xf>
    <xf numFmtId="0" fontId="3" fillId="2" borderId="61" xfId="6" applyFont="1" applyFill="1" applyBorder="1" applyAlignment="1" applyProtection="1">
      <alignment horizontal="center" vertical="top"/>
      <protection locked="0"/>
    </xf>
    <xf numFmtId="0" fontId="3" fillId="2" borderId="3" xfId="6" applyFont="1" applyFill="1" applyBorder="1" applyAlignment="1" applyProtection="1">
      <alignment horizontal="center" vertical="top"/>
      <protection locked="0"/>
    </xf>
    <xf numFmtId="0" fontId="3" fillId="2" borderId="68" xfId="6" applyFont="1" applyFill="1" applyBorder="1" applyAlignment="1" applyProtection="1">
      <alignment horizontal="center" vertical="top"/>
      <protection locked="0"/>
    </xf>
    <xf numFmtId="0" fontId="3" fillId="2" borderId="69" xfId="6" applyFont="1" applyFill="1" applyBorder="1" applyAlignment="1" applyProtection="1">
      <alignment horizontal="center" vertical="top"/>
      <protection locked="0"/>
    </xf>
    <xf numFmtId="2" fontId="3" fillId="2" borderId="69" xfId="6" applyNumberFormat="1" applyFont="1" applyFill="1" applyBorder="1" applyAlignment="1" applyProtection="1">
      <alignment horizontal="center" vertical="top"/>
      <protection locked="0"/>
    </xf>
    <xf numFmtId="0" fontId="3" fillId="2" borderId="37" xfId="6" applyFont="1" applyFill="1" applyBorder="1" applyAlignment="1" applyProtection="1">
      <alignment horizontal="center" vertical="top"/>
      <protection locked="0"/>
    </xf>
    <xf numFmtId="4" fontId="3" fillId="2" borderId="69" xfId="6" applyNumberFormat="1" applyFont="1" applyFill="1" applyBorder="1" applyAlignment="1" applyProtection="1">
      <alignment horizontal="center" vertical="top"/>
      <protection locked="0"/>
    </xf>
    <xf numFmtId="0" fontId="3" fillId="2" borderId="24" xfId="6" applyFont="1" applyFill="1" applyBorder="1" applyAlignment="1" applyProtection="1">
      <alignment horizontal="center" vertical="top"/>
      <protection locked="0"/>
    </xf>
    <xf numFmtId="10" fontId="3" fillId="2" borderId="69" xfId="6" applyNumberFormat="1" applyFont="1" applyFill="1" applyBorder="1" applyAlignment="1" applyProtection="1">
      <alignment horizontal="center" vertical="top"/>
      <protection locked="0"/>
    </xf>
    <xf numFmtId="10" fontId="3" fillId="2" borderId="66" xfId="6" applyNumberFormat="1" applyFont="1" applyFill="1" applyBorder="1" applyAlignment="1" applyProtection="1">
      <alignment horizontal="center" vertical="top"/>
      <protection locked="0"/>
    </xf>
    <xf numFmtId="3" fontId="3" fillId="0" borderId="67" xfId="6" applyNumberFormat="1" applyFont="1" applyFill="1" applyBorder="1" applyAlignment="1" applyProtection="1">
      <protection locked="0"/>
    </xf>
    <xf numFmtId="3" fontId="3" fillId="0" borderId="70" xfId="6" applyNumberFormat="1" applyFont="1" applyFill="1" applyBorder="1" applyAlignment="1" applyProtection="1">
      <protection locked="0"/>
    </xf>
    <xf numFmtId="3" fontId="3" fillId="0" borderId="71" xfId="6" applyNumberFormat="1" applyFont="1" applyFill="1" applyBorder="1" applyAlignment="1" applyProtection="1">
      <protection locked="0"/>
    </xf>
    <xf numFmtId="3" fontId="3" fillId="0" borderId="72" xfId="6" applyNumberFormat="1" applyFont="1" applyFill="1" applyBorder="1" applyAlignment="1" applyProtection="1">
      <protection locked="0"/>
    </xf>
    <xf numFmtId="3" fontId="3" fillId="0" borderId="73" xfId="6" applyNumberFormat="1" applyFont="1" applyFill="1" applyBorder="1" applyAlignment="1" applyProtection="1">
      <protection locked="0"/>
    </xf>
    <xf numFmtId="3" fontId="3" fillId="0" borderId="74" xfId="6" applyNumberFormat="1" applyFont="1" applyFill="1" applyBorder="1" applyAlignment="1" applyProtection="1">
      <protection locked="0"/>
    </xf>
    <xf numFmtId="4" fontId="3" fillId="0" borderId="71" xfId="6" applyNumberFormat="1" applyFont="1" applyFill="1" applyBorder="1" applyAlignment="1" applyProtection="1">
      <protection locked="0"/>
    </xf>
    <xf numFmtId="4" fontId="3" fillId="0" borderId="59" xfId="6" applyNumberFormat="1" applyFont="1" applyFill="1" applyBorder="1" applyAlignment="1" applyProtection="1">
      <protection locked="0"/>
    </xf>
    <xf numFmtId="10" fontId="3" fillId="0" borderId="67" xfId="6" applyNumberFormat="1" applyFont="1" applyFill="1" applyBorder="1" applyAlignment="1" applyProtection="1">
      <protection locked="0"/>
    </xf>
    <xf numFmtId="3" fontId="3" fillId="0" borderId="42" xfId="6" applyNumberFormat="1" applyFont="1" applyFill="1" applyBorder="1" applyAlignment="1" applyProtection="1">
      <protection locked="0"/>
    </xf>
    <xf numFmtId="3" fontId="3" fillId="0" borderId="40" xfId="6" applyNumberFormat="1" applyFont="1" applyFill="1" applyBorder="1" applyAlignment="1" applyProtection="1">
      <protection locked="0"/>
    </xf>
    <xf numFmtId="3" fontId="3" fillId="0" borderId="64" xfId="6" applyNumberFormat="1" applyFont="1" applyFill="1" applyBorder="1" applyAlignment="1" applyProtection="1">
      <protection locked="0"/>
    </xf>
    <xf numFmtId="3" fontId="3" fillId="0" borderId="41" xfId="6" applyNumberFormat="1" applyFont="1" applyFill="1" applyBorder="1" applyAlignment="1" applyProtection="1">
      <protection locked="0"/>
    </xf>
    <xf numFmtId="3" fontId="3" fillId="0" borderId="29" xfId="6" applyNumberFormat="1" applyFont="1" applyFill="1" applyBorder="1" applyAlignment="1" applyProtection="1">
      <protection locked="0"/>
    </xf>
    <xf numFmtId="3" fontId="3" fillId="0" borderId="43" xfId="6" applyNumberFormat="1" applyFont="1" applyFill="1" applyBorder="1" applyAlignment="1" applyProtection="1">
      <protection locked="0"/>
    </xf>
    <xf numFmtId="4" fontId="3" fillId="0" borderId="64" xfId="6" applyNumberFormat="1" applyFont="1" applyFill="1" applyBorder="1" applyAlignment="1" applyProtection="1">
      <protection locked="0"/>
    </xf>
    <xf numFmtId="10" fontId="3" fillId="0" borderId="42" xfId="6" applyNumberFormat="1" applyFont="1" applyFill="1" applyBorder="1" applyAlignment="1" applyProtection="1">
      <protection locked="0"/>
    </xf>
    <xf numFmtId="4" fontId="3" fillId="0" borderId="12" xfId="6" applyNumberFormat="1" applyFont="1" applyFill="1" applyBorder="1" applyAlignment="1" applyProtection="1"/>
    <xf numFmtId="4" fontId="3" fillId="0" borderId="29" xfId="6" applyNumberFormat="1" applyFont="1" applyFill="1" applyBorder="1" applyAlignment="1" applyProtection="1"/>
    <xf numFmtId="4" fontId="3" fillId="0" borderId="40" xfId="6" applyNumberFormat="1" applyFont="1" applyFill="1" applyBorder="1" applyAlignment="1" applyProtection="1"/>
    <xf numFmtId="4" fontId="3" fillId="0" borderId="64" xfId="6" applyNumberFormat="1" applyFont="1" applyFill="1" applyBorder="1" applyAlignment="1" applyProtection="1"/>
    <xf numFmtId="4" fontId="3" fillId="0" borderId="28" xfId="6" applyNumberFormat="1" applyFont="1" applyFill="1" applyBorder="1" applyAlignment="1" applyProtection="1"/>
    <xf numFmtId="10" fontId="3" fillId="0" borderId="64" xfId="6" applyNumberFormat="1" applyFont="1" applyFill="1" applyBorder="1" applyAlignment="1" applyProtection="1"/>
    <xf numFmtId="10" fontId="3" fillId="0" borderId="42" xfId="6" applyNumberFormat="1" applyFont="1" applyFill="1" applyBorder="1" applyAlignment="1" applyProtection="1"/>
    <xf numFmtId="4" fontId="3" fillId="0" borderId="15" xfId="6" applyNumberFormat="1" applyFont="1" applyFill="1" applyBorder="1" applyAlignment="1" applyProtection="1">
      <protection locked="0"/>
    </xf>
    <xf numFmtId="4" fontId="3" fillId="0" borderId="65" xfId="6" applyNumberFormat="1" applyFont="1" applyFill="1" applyBorder="1" applyAlignment="1" applyProtection="1">
      <protection locked="0"/>
    </xf>
    <xf numFmtId="4" fontId="3" fillId="0" borderId="17" xfId="6" applyNumberFormat="1" applyFont="1" applyFill="1" applyBorder="1" applyAlignment="1" applyProtection="1">
      <protection locked="0"/>
    </xf>
    <xf numFmtId="4" fontId="3" fillId="0" borderId="35" xfId="6" applyNumberFormat="1" applyFont="1" applyFill="1" applyBorder="1" applyAlignment="1" applyProtection="1">
      <protection locked="0"/>
    </xf>
    <xf numFmtId="4" fontId="3" fillId="0" borderId="65" xfId="6" applyNumberFormat="1" applyFont="1" applyFill="1" applyBorder="1" applyAlignment="1" applyProtection="1"/>
    <xf numFmtId="10" fontId="3" fillId="0" borderId="8" xfId="6" applyNumberFormat="1" applyFont="1" applyFill="1" applyBorder="1" applyAlignment="1" applyProtection="1"/>
    <xf numFmtId="10" fontId="3" fillId="0" borderId="46" xfId="6" applyNumberFormat="1" applyFont="1" applyFill="1" applyBorder="1" applyAlignment="1" applyProtection="1">
      <protection locked="0"/>
    </xf>
    <xf numFmtId="4" fontId="3" fillId="0" borderId="18" xfId="6" applyNumberFormat="1" applyFont="1" applyFill="1" applyBorder="1" applyAlignment="1" applyProtection="1">
      <protection locked="0"/>
    </xf>
    <xf numFmtId="4" fontId="3" fillId="0" borderId="33" xfId="6" applyNumberFormat="1" applyFont="1" applyFill="1" applyBorder="1" applyAlignment="1" applyProtection="1">
      <protection locked="0"/>
    </xf>
    <xf numFmtId="4" fontId="3" fillId="0" borderId="11" xfId="6" applyNumberFormat="1" applyFont="1" applyFill="1" applyBorder="1" applyAlignment="1" applyProtection="1">
      <protection locked="0"/>
    </xf>
    <xf numFmtId="0" fontId="3" fillId="0" borderId="38" xfId="6" applyFont="1" applyFill="1" applyBorder="1" applyAlignment="1" applyProtection="1">
      <protection locked="0"/>
    </xf>
    <xf numFmtId="0" fontId="3" fillId="0" borderId="32" xfId="6" applyFont="1" applyFill="1" applyBorder="1" applyAlignment="1" applyProtection="1">
      <protection locked="0"/>
    </xf>
    <xf numFmtId="0" fontId="3" fillId="0" borderId="62" xfId="6" applyFont="1" applyFill="1" applyBorder="1" applyAlignment="1" applyProtection="1">
      <protection locked="0"/>
    </xf>
    <xf numFmtId="0" fontId="3" fillId="0" borderId="12" xfId="6" applyFont="1" applyFill="1" applyBorder="1" applyAlignment="1" applyProtection="1">
      <protection locked="0"/>
    </xf>
    <xf numFmtId="0" fontId="3" fillId="0" borderId="29" xfId="6" applyFont="1" applyFill="1" applyBorder="1" applyAlignment="1" applyProtection="1">
      <protection locked="0"/>
    </xf>
    <xf numFmtId="4" fontId="3" fillId="0" borderId="46" xfId="6" applyNumberFormat="1" applyFont="1" applyFill="1" applyBorder="1" applyAlignment="1" applyProtection="1">
      <protection locked="0"/>
    </xf>
    <xf numFmtId="4" fontId="3" fillId="0" borderId="11" xfId="6" applyNumberFormat="1" applyFont="1" applyFill="1" applyBorder="1" applyAlignment="1" applyProtection="1"/>
    <xf numFmtId="10" fontId="3" fillId="0" borderId="9" xfId="6" applyNumberFormat="1" applyFont="1" applyFill="1" applyBorder="1" applyAlignment="1" applyProtection="1"/>
    <xf numFmtId="10" fontId="3" fillId="0" borderId="18" xfId="6" applyNumberFormat="1" applyFont="1" applyFill="1" applyBorder="1" applyAlignment="1" applyProtection="1">
      <protection locked="0"/>
    </xf>
    <xf numFmtId="4" fontId="3" fillId="0" borderId="25" xfId="6" applyNumberFormat="1" applyFont="1" applyFill="1" applyBorder="1" applyAlignment="1" applyProtection="1">
      <protection locked="0"/>
    </xf>
    <xf numFmtId="4" fontId="3" fillId="0" borderId="10" xfId="6" applyNumberFormat="1" applyFont="1" applyFill="1" applyBorder="1" applyAlignment="1" applyProtection="1">
      <protection locked="0"/>
    </xf>
    <xf numFmtId="4" fontId="3" fillId="5" borderId="10" xfId="6" applyNumberFormat="1" applyFont="1" applyFill="1" applyBorder="1" applyAlignment="1" applyProtection="1">
      <protection locked="0"/>
    </xf>
    <xf numFmtId="4" fontId="3" fillId="5" borderId="65" xfId="6" applyNumberFormat="1" applyFont="1" applyFill="1" applyBorder="1" applyAlignment="1" applyProtection="1">
      <protection locked="0"/>
    </xf>
    <xf numFmtId="4" fontId="3" fillId="5" borderId="8" xfId="6" applyNumberFormat="1" applyFont="1" applyFill="1" applyBorder="1" applyAlignment="1" applyProtection="1">
      <protection locked="0"/>
    </xf>
    <xf numFmtId="4" fontId="3" fillId="5" borderId="35" xfId="6" applyNumberFormat="1" applyFont="1" applyFill="1" applyBorder="1" applyAlignment="1" applyProtection="1">
      <protection locked="0"/>
    </xf>
    <xf numFmtId="4" fontId="3" fillId="0" borderId="47" xfId="6" applyNumberFormat="1" applyFont="1" applyFill="1" applyBorder="1" applyAlignment="1" applyProtection="1">
      <protection locked="0"/>
    </xf>
    <xf numFmtId="4" fontId="3" fillId="5" borderId="9" xfId="6" applyNumberFormat="1" applyFont="1" applyFill="1" applyBorder="1" applyAlignment="1" applyProtection="1">
      <protection locked="0"/>
    </xf>
    <xf numFmtId="4" fontId="3" fillId="0" borderId="29" xfId="6" applyNumberFormat="1" applyFont="1" applyFill="1" applyBorder="1" applyAlignment="1" applyProtection="1">
      <protection locked="0"/>
    </xf>
    <xf numFmtId="4" fontId="3" fillId="0" borderId="38" xfId="6" applyNumberFormat="1" applyFont="1" applyFill="1" applyBorder="1" applyAlignment="1" applyProtection="1">
      <protection locked="0"/>
    </xf>
    <xf numFmtId="4" fontId="3" fillId="0" borderId="41" xfId="6" applyNumberFormat="1" applyFont="1" applyFill="1" applyBorder="1" applyAlignment="1" applyProtection="1">
      <protection locked="0"/>
    </xf>
    <xf numFmtId="4" fontId="3" fillId="0" borderId="40" xfId="6" applyNumberFormat="1" applyFont="1" applyFill="1" applyBorder="1" applyAlignment="1" applyProtection="1">
      <protection locked="0"/>
    </xf>
    <xf numFmtId="4" fontId="3" fillId="0" borderId="43" xfId="6" applyNumberFormat="1" applyFont="1" applyFill="1" applyBorder="1" applyAlignment="1" applyProtection="1">
      <protection locked="0"/>
    </xf>
    <xf numFmtId="4" fontId="3" fillId="0" borderId="42" xfId="6" applyNumberFormat="1" applyFont="1" applyFill="1" applyBorder="1" applyAlignment="1" applyProtection="1">
      <protection locked="0"/>
    </xf>
    <xf numFmtId="10" fontId="3" fillId="0" borderId="64" xfId="6" applyNumberFormat="1" applyFont="1" applyFill="1" applyBorder="1" applyAlignment="1" applyProtection="1">
      <protection locked="0"/>
    </xf>
    <xf numFmtId="10" fontId="3" fillId="0" borderId="11" xfId="6" applyNumberFormat="1" applyFont="1" applyFill="1" applyBorder="1" applyAlignment="1" applyProtection="1">
      <protection locked="0"/>
    </xf>
    <xf numFmtId="10" fontId="3" fillId="0" borderId="47" xfId="6" applyNumberFormat="1" applyFont="1" applyFill="1" applyBorder="1" applyAlignment="1" applyProtection="1">
      <protection locked="0"/>
    </xf>
    <xf numFmtId="4" fontId="3" fillId="0" borderId="39" xfId="6" applyNumberFormat="1" applyFont="1" applyFill="1" applyBorder="1" applyAlignment="1" applyProtection="1"/>
    <xf numFmtId="4" fontId="3" fillId="0" borderId="38" xfId="6" applyNumberFormat="1" applyFont="1" applyFill="1" applyBorder="1" applyAlignment="1" applyProtection="1"/>
    <xf numFmtId="4" fontId="3" fillId="0" borderId="32" xfId="6" applyNumberFormat="1" applyFont="1" applyFill="1" applyBorder="1" applyAlignment="1" applyProtection="1"/>
    <xf numFmtId="4" fontId="3" fillId="0" borderId="62" xfId="6" applyNumberFormat="1" applyFont="1" applyFill="1" applyBorder="1" applyAlignment="1" applyProtection="1"/>
    <xf numFmtId="4" fontId="3" fillId="0" borderId="63" xfId="6" applyNumberFormat="1" applyFont="1" applyFill="1" applyBorder="1" applyAlignment="1" applyProtection="1"/>
    <xf numFmtId="4" fontId="3" fillId="0" borderId="54" xfId="6" applyNumberFormat="1" applyFont="1" applyFill="1" applyBorder="1" applyAlignment="1" applyProtection="1"/>
    <xf numFmtId="10" fontId="3" fillId="0" borderId="63" xfId="6" applyNumberFormat="1" applyFont="1" applyFill="1" applyBorder="1" applyAlignment="1" applyProtection="1"/>
    <xf numFmtId="10" fontId="3" fillId="0" borderId="54" xfId="6" applyNumberFormat="1" applyFont="1" applyFill="1" applyBorder="1" applyAlignment="1" applyProtection="1"/>
    <xf numFmtId="4" fontId="3" fillId="0" borderId="15" xfId="6" applyNumberFormat="1" applyFont="1" applyFill="1" applyBorder="1" applyAlignment="1" applyProtection="1"/>
    <xf numFmtId="4" fontId="3" fillId="0" borderId="39" xfId="6" applyNumberFormat="1" applyFont="1" applyFill="1" applyBorder="1" applyAlignment="1" applyProtection="1">
      <protection locked="0"/>
    </xf>
    <xf numFmtId="4" fontId="3" fillId="0" borderId="62" xfId="6" applyNumberFormat="1" applyFont="1" applyFill="1" applyBorder="1" applyAlignment="1" applyProtection="1">
      <protection locked="0"/>
    </xf>
    <xf numFmtId="4" fontId="3" fillId="0" borderId="63" xfId="6" applyNumberFormat="1" applyFont="1" applyFill="1" applyBorder="1" applyAlignment="1" applyProtection="1">
      <protection locked="0"/>
    </xf>
    <xf numFmtId="4" fontId="3" fillId="0" borderId="54" xfId="6" applyNumberFormat="1" applyFont="1" applyFill="1" applyBorder="1" applyAlignment="1" applyProtection="1">
      <protection locked="0"/>
    </xf>
    <xf numFmtId="10" fontId="3" fillId="0" borderId="63" xfId="6" applyNumberFormat="1" applyFont="1" applyFill="1" applyBorder="1" applyAlignment="1" applyProtection="1">
      <protection locked="0"/>
    </xf>
    <xf numFmtId="10" fontId="3" fillId="0" borderId="54" xfId="6" applyNumberFormat="1" applyFont="1" applyFill="1" applyBorder="1" applyAlignment="1" applyProtection="1">
      <protection locked="0"/>
    </xf>
    <xf numFmtId="4" fontId="3" fillId="0" borderId="75" xfId="6" applyNumberFormat="1" applyFont="1" applyFill="1" applyBorder="1" applyAlignment="1" applyProtection="1">
      <protection locked="0"/>
    </xf>
    <xf numFmtId="10" fontId="3" fillId="0" borderId="65" xfId="6" applyNumberFormat="1" applyFont="1" applyFill="1" applyBorder="1" applyAlignment="1" applyProtection="1"/>
    <xf numFmtId="4" fontId="3" fillId="0" borderId="51" xfId="6" applyNumberFormat="1" applyFont="1" applyFill="1" applyBorder="1" applyAlignment="1" applyProtection="1">
      <protection locked="0"/>
    </xf>
    <xf numFmtId="4" fontId="3" fillId="0" borderId="76" xfId="6" applyNumberFormat="1" applyFont="1" applyFill="1" applyBorder="1" applyAlignment="1" applyProtection="1">
      <protection locked="0"/>
    </xf>
    <xf numFmtId="4" fontId="3" fillId="0" borderId="55" xfId="6" applyNumberFormat="1" applyFont="1" applyFill="1" applyBorder="1" applyAlignment="1" applyProtection="1">
      <protection locked="0"/>
    </xf>
    <xf numFmtId="4" fontId="3" fillId="0" borderId="56" xfId="6" applyNumberFormat="1" applyFont="1" applyFill="1" applyBorder="1" applyAlignment="1" applyProtection="1">
      <protection locked="0"/>
    </xf>
    <xf numFmtId="4" fontId="3" fillId="0" borderId="26" xfId="6" applyNumberFormat="1" applyFont="1" applyFill="1" applyBorder="1" applyAlignment="1" applyProtection="1">
      <protection locked="0"/>
    </xf>
    <xf numFmtId="4" fontId="3" fillId="0" borderId="20" xfId="6" applyNumberFormat="1" applyFont="1" applyFill="1" applyBorder="1" applyAlignment="1" applyProtection="1">
      <protection locked="0"/>
    </xf>
    <xf numFmtId="4" fontId="3" fillId="0" borderId="52" xfId="6" applyNumberFormat="1" applyFont="1" applyFill="1" applyBorder="1" applyAlignment="1" applyProtection="1">
      <protection locked="0"/>
    </xf>
    <xf numFmtId="4" fontId="3" fillId="0" borderId="61" xfId="6" applyNumberFormat="1" applyFont="1" applyFill="1" applyBorder="1" applyAlignment="1" applyProtection="1">
      <protection locked="0"/>
    </xf>
    <xf numFmtId="4" fontId="3" fillId="0" borderId="69" xfId="6" applyNumberFormat="1" applyFont="1" applyFill="1" applyBorder="1" applyAlignment="1" applyProtection="1">
      <protection locked="0"/>
    </xf>
    <xf numFmtId="4" fontId="3" fillId="0" borderId="57" xfId="6" applyNumberFormat="1" applyFont="1" applyFill="1" applyBorder="1" applyAlignment="1" applyProtection="1">
      <protection locked="0"/>
    </xf>
    <xf numFmtId="4" fontId="3" fillId="0" borderId="24" xfId="6" applyNumberFormat="1" applyFont="1" applyFill="1" applyBorder="1" applyAlignment="1" applyProtection="1">
      <protection locked="0"/>
    </xf>
    <xf numFmtId="164" fontId="3" fillId="0" borderId="0" xfId="6" applyNumberFormat="1" applyFont="1" applyFill="1" applyAlignment="1" applyProtection="1">
      <protection locked="0"/>
    </xf>
    <xf numFmtId="14" fontId="3" fillId="0" borderId="0" xfId="6" applyNumberFormat="1" applyFont="1" applyFill="1" applyAlignment="1" applyProtection="1">
      <protection locked="0"/>
    </xf>
    <xf numFmtId="0" fontId="17" fillId="0" borderId="0" xfId="0" applyFont="1" applyAlignment="1"/>
    <xf numFmtId="4" fontId="5" fillId="6" borderId="5" xfId="0" applyNumberFormat="1" applyFon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 vertical="top"/>
    </xf>
    <xf numFmtId="4" fontId="0" fillId="0" borderId="20" xfId="0" applyNumberFormat="1" applyFill="1" applyBorder="1" applyAlignment="1">
      <alignment vertical="top"/>
    </xf>
    <xf numFmtId="0" fontId="0" fillId="0" borderId="5" xfId="0" applyFill="1" applyBorder="1" applyAlignment="1">
      <alignment horizontal="left" vertical="top" wrapText="1"/>
    </xf>
    <xf numFmtId="0" fontId="8" fillId="0" borderId="13" xfId="0" applyFont="1" applyFill="1" applyBorder="1" applyAlignment="1"/>
    <xf numFmtId="0" fontId="3" fillId="0" borderId="9" xfId="0" applyFont="1" applyFill="1" applyBorder="1" applyAlignment="1">
      <alignment horizontal="left" vertical="top" wrapText="1"/>
    </xf>
    <xf numFmtId="4" fontId="5" fillId="6" borderId="9" xfId="0" applyNumberFormat="1" applyFont="1" applyFill="1" applyBorder="1" applyAlignment="1">
      <alignment vertical="top"/>
    </xf>
    <xf numFmtId="4" fontId="3" fillId="0" borderId="9" xfId="0" applyNumberFormat="1" applyFont="1" applyFill="1" applyBorder="1" applyAlignment="1">
      <alignment vertical="top"/>
    </xf>
    <xf numFmtId="0" fontId="13" fillId="0" borderId="13" xfId="0" applyFont="1" applyFill="1" applyBorder="1" applyAlignment="1"/>
    <xf numFmtId="0" fontId="0" fillId="0" borderId="37" xfId="0" applyFill="1" applyBorder="1" applyAlignment="1">
      <alignment horizontal="left" vertical="top" wrapText="1"/>
    </xf>
    <xf numFmtId="0" fontId="8" fillId="0" borderId="13" xfId="0" applyFont="1" applyFill="1" applyBorder="1"/>
    <xf numFmtId="4" fontId="0" fillId="0" borderId="39" xfId="0" applyNumberFormat="1" applyFill="1" applyBorder="1" applyAlignment="1">
      <alignment vertical="top"/>
    </xf>
    <xf numFmtId="0" fontId="5" fillId="0" borderId="28" xfId="6" applyFont="1" applyFill="1" applyBorder="1" applyAlignment="1" applyProtection="1">
      <alignment horizontal="left"/>
      <protection locked="0"/>
    </xf>
    <xf numFmtId="0" fontId="19" fillId="0" borderId="28" xfId="6" applyFont="1" applyFill="1" applyBorder="1" applyAlignment="1" applyProtection="1">
      <alignment horizontal="left"/>
      <protection locked="0"/>
    </xf>
    <xf numFmtId="0" fontId="19" fillId="0" borderId="28" xfId="6" applyFont="1" applyFill="1" applyBorder="1" applyAlignment="1" applyProtection="1">
      <alignment horizontal="left"/>
    </xf>
    <xf numFmtId="0" fontId="0" fillId="0" borderId="0" xfId="0" applyFill="1"/>
    <xf numFmtId="49" fontId="18" fillId="0" borderId="0" xfId="6" applyNumberFormat="1" applyFont="1" applyFill="1" applyAlignment="1" applyProtection="1">
      <protection locked="0"/>
    </xf>
    <xf numFmtId="49" fontId="18" fillId="0" borderId="0" xfId="6" applyNumberFormat="1" applyFont="1" applyFill="1" applyAlignment="1" applyProtection="1">
      <alignment wrapText="1"/>
      <protection locked="0"/>
    </xf>
    <xf numFmtId="0" fontId="3" fillId="0" borderId="0" xfId="6" applyFont="1" applyFill="1" applyAlignment="1" applyProtection="1">
      <alignment horizontal="left" wrapText="1"/>
      <protection locked="0"/>
    </xf>
    <xf numFmtId="0" fontId="19" fillId="0" borderId="28" xfId="6" applyFont="1" applyFill="1" applyBorder="1" applyAlignment="1" applyProtection="1">
      <alignment horizontal="left" vertical="top"/>
    </xf>
    <xf numFmtId="0" fontId="3" fillId="0" borderId="0" xfId="6" applyFont="1" applyFill="1" applyAlignment="1" applyProtection="1">
      <protection locked="0"/>
    </xf>
    <xf numFmtId="0" fontId="17" fillId="0" borderId="0" xfId="6" applyFont="1" applyFill="1" applyAlignment="1" applyProtection="1">
      <protection locked="0"/>
    </xf>
    <xf numFmtId="0" fontId="13" fillId="0" borderId="13" xfId="6" applyFont="1" applyFill="1" applyBorder="1" applyAlignment="1" applyProtection="1">
      <protection locked="0"/>
    </xf>
    <xf numFmtId="0" fontId="5" fillId="2" borderId="1" xfId="6" applyFont="1" applyFill="1" applyBorder="1" applyAlignment="1" applyProtection="1">
      <alignment horizontal="center" vertical="center"/>
      <protection locked="0"/>
    </xf>
    <xf numFmtId="0" fontId="5" fillId="0" borderId="58" xfId="6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19" fillId="0" borderId="28" xfId="0" applyFont="1" applyFill="1" applyBorder="1" applyAlignment="1" applyProtection="1">
      <alignment horizontal="left"/>
      <protection locked="0"/>
    </xf>
    <xf numFmtId="0" fontId="19" fillId="0" borderId="28" xfId="0" applyFont="1" applyFill="1" applyBorder="1" applyAlignment="1" applyProtection="1">
      <alignment horizontal="left"/>
    </xf>
    <xf numFmtId="0" fontId="0" fillId="0" borderId="0" xfId="0"/>
    <xf numFmtId="49" fontId="18" fillId="0" borderId="0" xfId="0" applyNumberFormat="1" applyFont="1" applyAlignment="1" applyProtection="1">
      <protection locked="0"/>
    </xf>
    <xf numFmtId="49" fontId="18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19" fillId="0" borderId="28" xfId="0" applyFont="1" applyFill="1" applyBorder="1" applyAlignment="1" applyProtection="1">
      <alignment horizontal="left" vertical="top"/>
    </xf>
    <xf numFmtId="0" fontId="0" fillId="0" borderId="0" xfId="0" applyAlignment="1" applyProtection="1">
      <protection locked="0"/>
    </xf>
    <xf numFmtId="0" fontId="21" fillId="0" borderId="0" xfId="0" applyFont="1" applyAlignment="1" applyProtection="1">
      <protection locked="0"/>
    </xf>
    <xf numFmtId="0" fontId="13" fillId="0" borderId="13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8" fillId="0" borderId="13" xfId="0" applyFont="1" applyFill="1" applyBorder="1" applyAlignment="1" applyProtection="1">
      <protection locked="0"/>
    </xf>
    <xf numFmtId="0" fontId="5" fillId="0" borderId="41" xfId="0" applyFont="1" applyFill="1" applyBorder="1" applyAlignment="1" applyProtection="1">
      <alignment horizontal="left"/>
      <protection locked="0"/>
    </xf>
    <xf numFmtId="0" fontId="19" fillId="0" borderId="41" xfId="0" applyFont="1" applyFill="1" applyBorder="1" applyAlignment="1" applyProtection="1">
      <alignment horizontal="left"/>
      <protection locked="0"/>
    </xf>
    <xf numFmtId="0" fontId="19" fillId="0" borderId="41" xfId="0" applyFont="1" applyFill="1" applyBorder="1" applyAlignment="1" applyProtection="1">
      <alignment horizontal="left"/>
    </xf>
    <xf numFmtId="49" fontId="18" fillId="0" borderId="0" xfId="0" applyNumberFormat="1" applyFont="1" applyFill="1" applyAlignment="1" applyProtection="1">
      <protection locked="0"/>
    </xf>
    <xf numFmtId="49" fontId="18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19" fillId="0" borderId="41" xfId="0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2" fontId="5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/>
    </xf>
    <xf numFmtId="0" fontId="4" fillId="0" borderId="0" xfId="6" applyFont="1" applyFill="1" applyAlignment="1" applyProtection="1">
      <protection locked="0"/>
    </xf>
    <xf numFmtId="0" fontId="8" fillId="0" borderId="41" xfId="6" applyFont="1" applyFill="1" applyBorder="1" applyAlignment="1" applyProtection="1">
      <protection locked="0"/>
    </xf>
    <xf numFmtId="0" fontId="5" fillId="0" borderId="14" xfId="6" applyFont="1" applyFill="1" applyBorder="1" applyAlignment="1" applyProtection="1">
      <alignment horizontal="center" wrapText="1"/>
    </xf>
    <xf numFmtId="0" fontId="5" fillId="0" borderId="2" xfId="6" applyFont="1" applyFill="1" applyBorder="1" applyAlignment="1" applyProtection="1">
      <alignment horizontal="center" wrapText="1"/>
    </xf>
    <xf numFmtId="0" fontId="0" fillId="0" borderId="66" xfId="0" applyFill="1" applyBorder="1"/>
    <xf numFmtId="0" fontId="5" fillId="0" borderId="3" xfId="6" applyFont="1" applyFill="1" applyBorder="1" applyAlignment="1" applyProtection="1">
      <alignment horizontal="center" wrapText="1"/>
    </xf>
  </cellXfs>
  <cellStyles count="8">
    <cellStyle name="cf1" xfId="2" xr:uid="{00000000-0005-0000-0000-000000000000}"/>
    <cellStyle name="cf2" xfId="3" xr:uid="{00000000-0005-0000-0000-000001000000}"/>
    <cellStyle name="cf3" xfId="4" xr:uid="{00000000-0005-0000-0000-000002000000}"/>
    <cellStyle name="cf4" xfId="5" xr:uid="{00000000-0005-0000-0000-000003000000}"/>
    <cellStyle name="Komma" xfId="1" builtinId="3" customBuiltin="1"/>
    <cellStyle name="Standaard" xfId="0" builtinId="0" customBuiltin="1"/>
    <cellStyle name="Standaard 2" xfId="6" xr:uid="{00000000-0005-0000-0000-000006000000}"/>
    <cellStyle name="Standaard 3 2" xfId="7" xr:uid="{00000000-0005-0000-0000-000007000000}"/>
  </cellStyles>
  <dxfs count="117"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CC99"/>
          <bgColor rgb="FFFFCC99"/>
        </patternFill>
      </fill>
    </dxf>
    <dxf>
      <font>
        <color rgb="FF000000"/>
        <family val="2"/>
      </font>
      <fill>
        <patternFill patternType="solid">
          <fgColor rgb="FFFFCC99"/>
          <bgColor rgb="FFFFCC99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FFFFFF"/>
        <family val="2"/>
      </font>
      <fill>
        <patternFill patternType="solid">
          <fgColor rgb="FFFFFFFF"/>
          <bgColor rgb="FFFFFFFF"/>
        </patternFill>
      </fill>
    </dxf>
    <dxf>
      <font>
        <color rgb="FFFFFFFF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CCFFCC"/>
          <bgColor rgb="FFCCFFCC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Users/vandroda/AppData/Local/Microsoft/Windows/INetCache/Content.Outlook/TIT0ZPCN/73%20rek%20R18-B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Users/vandroda/AppData/Local/Microsoft/Windows/INetCache/Content.Outlook/TIT0ZPCN/Resultaat%202018%20model%20Overhe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8"/>
      <sheetName val="B19"/>
      <sheetName val="73_rek"/>
    </sheetNames>
    <sheetDataSet>
      <sheetData sheetId="0">
        <row r="1">
          <cell r="A1" t="str">
            <v>Kostenplaats</v>
          </cell>
          <cell r="D1" t="str">
            <v>Grootboek</v>
          </cell>
          <cell r="G1" t="str">
            <v>Sum Bedrag bm</v>
          </cell>
        </row>
        <row r="2">
          <cell r="A2" t="str">
            <v>A01</v>
          </cell>
          <cell r="D2">
            <v>73200000</v>
          </cell>
          <cell r="G2">
            <v>850</v>
          </cell>
        </row>
        <row r="3">
          <cell r="A3" t="str">
            <v>A01</v>
          </cell>
          <cell r="D3">
            <v>73200100</v>
          </cell>
          <cell r="G3">
            <v>-4203.04</v>
          </cell>
        </row>
        <row r="4">
          <cell r="A4" t="str">
            <v>A01</v>
          </cell>
          <cell r="D4">
            <v>73300000</v>
          </cell>
          <cell r="G4">
            <v>-72212.31</v>
          </cell>
        </row>
        <row r="5">
          <cell r="A5" t="str">
            <v>A01</v>
          </cell>
          <cell r="D5">
            <v>73700000</v>
          </cell>
          <cell r="G5">
            <v>467440.85</v>
          </cell>
        </row>
        <row r="6">
          <cell r="A6" t="str">
            <v>A01</v>
          </cell>
          <cell r="D6">
            <v>73700300</v>
          </cell>
          <cell r="G6">
            <v>-6850</v>
          </cell>
        </row>
        <row r="7">
          <cell r="A7" t="str">
            <v>A01</v>
          </cell>
          <cell r="D7">
            <v>73730700</v>
          </cell>
          <cell r="G7">
            <v>0</v>
          </cell>
        </row>
        <row r="8">
          <cell r="A8" t="str">
            <v>A01</v>
          </cell>
          <cell r="D8">
            <v>73820000</v>
          </cell>
          <cell r="G8">
            <v>13974.43</v>
          </cell>
        </row>
        <row r="9">
          <cell r="A9" t="str">
            <v>A02</v>
          </cell>
          <cell r="D9">
            <v>73300000</v>
          </cell>
          <cell r="G9">
            <v>37815.39</v>
          </cell>
        </row>
        <row r="10">
          <cell r="A10" t="str">
            <v>A02</v>
          </cell>
          <cell r="D10">
            <v>73600000</v>
          </cell>
          <cell r="G10">
            <v>-5813.56</v>
          </cell>
        </row>
        <row r="11">
          <cell r="A11" t="str">
            <v>A02</v>
          </cell>
          <cell r="D11">
            <v>73700000</v>
          </cell>
          <cell r="G11">
            <v>-244784.72</v>
          </cell>
        </row>
        <row r="12">
          <cell r="A12" t="str">
            <v>A02</v>
          </cell>
          <cell r="D12">
            <v>73820000</v>
          </cell>
          <cell r="G12">
            <v>-7317.98</v>
          </cell>
        </row>
        <row r="13">
          <cell r="A13" t="str">
            <v>A03</v>
          </cell>
          <cell r="D13">
            <v>73300000</v>
          </cell>
          <cell r="G13">
            <v>42381.71</v>
          </cell>
        </row>
        <row r="14">
          <cell r="A14" t="str">
            <v>A03</v>
          </cell>
          <cell r="D14">
            <v>73600300</v>
          </cell>
          <cell r="G14">
            <v>-4838.04</v>
          </cell>
        </row>
        <row r="15">
          <cell r="A15" t="str">
            <v>A03</v>
          </cell>
          <cell r="D15">
            <v>73700000</v>
          </cell>
          <cell r="G15">
            <v>-274343.09000000003</v>
          </cell>
        </row>
        <row r="16">
          <cell r="A16" t="str">
            <v>A03</v>
          </cell>
          <cell r="D16">
            <v>73820000</v>
          </cell>
          <cell r="G16">
            <v>-8201.65</v>
          </cell>
        </row>
        <row r="17">
          <cell r="A17" t="str">
            <v>A04</v>
          </cell>
          <cell r="D17">
            <v>73200100</v>
          </cell>
          <cell r="G17">
            <v>-390</v>
          </cell>
        </row>
        <row r="18">
          <cell r="A18" t="str">
            <v>A04</v>
          </cell>
          <cell r="D18">
            <v>73300000</v>
          </cell>
          <cell r="G18">
            <v>72990.83</v>
          </cell>
        </row>
        <row r="19">
          <cell r="A19" t="str">
            <v>A04</v>
          </cell>
          <cell r="D19">
            <v>73700000</v>
          </cell>
          <cell r="G19">
            <v>-472480.43</v>
          </cell>
        </row>
        <row r="20">
          <cell r="A20" t="str">
            <v>A04</v>
          </cell>
          <cell r="D20">
            <v>73820000</v>
          </cell>
          <cell r="G20">
            <v>-14125.07</v>
          </cell>
        </row>
        <row r="21">
          <cell r="A21" t="str">
            <v>A05</v>
          </cell>
          <cell r="D21">
            <v>73300000</v>
          </cell>
          <cell r="G21">
            <v>123024.15</v>
          </cell>
        </row>
        <row r="22">
          <cell r="A22" t="str">
            <v>A05</v>
          </cell>
          <cell r="D22">
            <v>73700000</v>
          </cell>
          <cell r="G22">
            <v>-796353.55</v>
          </cell>
        </row>
        <row r="23">
          <cell r="A23" t="str">
            <v>A05</v>
          </cell>
          <cell r="D23">
            <v>73820000</v>
          </cell>
          <cell r="G23">
            <v>-23807.45</v>
          </cell>
        </row>
        <row r="24">
          <cell r="A24" t="str">
            <v>A06</v>
          </cell>
          <cell r="D24">
            <v>73300000</v>
          </cell>
          <cell r="G24">
            <v>47493.56</v>
          </cell>
        </row>
        <row r="25">
          <cell r="A25" t="str">
            <v>A06</v>
          </cell>
          <cell r="D25">
            <v>73700000</v>
          </cell>
          <cell r="G25">
            <v>-307432.8</v>
          </cell>
        </row>
        <row r="26">
          <cell r="A26" t="str">
            <v>A06</v>
          </cell>
          <cell r="D26">
            <v>73820000</v>
          </cell>
          <cell r="G26">
            <v>-9190.8799999999992</v>
          </cell>
        </row>
        <row r="27">
          <cell r="A27" t="str">
            <v>A08</v>
          </cell>
          <cell r="D27">
            <v>73300000</v>
          </cell>
          <cell r="G27">
            <v>56674.13</v>
          </cell>
        </row>
        <row r="28">
          <cell r="A28" t="str">
            <v>A08</v>
          </cell>
          <cell r="D28">
            <v>73700000</v>
          </cell>
          <cell r="G28">
            <v>-366860.39</v>
          </cell>
        </row>
        <row r="29">
          <cell r="A29" t="str">
            <v>A08</v>
          </cell>
          <cell r="D29">
            <v>73820000</v>
          </cell>
          <cell r="G29">
            <v>-10967.5</v>
          </cell>
        </row>
        <row r="30">
          <cell r="A30" t="str">
            <v>A10</v>
          </cell>
          <cell r="D30">
            <v>73200100</v>
          </cell>
          <cell r="G30">
            <v>-1033.96</v>
          </cell>
        </row>
        <row r="31">
          <cell r="A31" t="str">
            <v>A10</v>
          </cell>
          <cell r="D31">
            <v>73300000</v>
          </cell>
          <cell r="G31">
            <v>169117.67</v>
          </cell>
        </row>
        <row r="32">
          <cell r="A32" t="str">
            <v>A10</v>
          </cell>
          <cell r="D32">
            <v>73700000</v>
          </cell>
          <cell r="G32">
            <v>-1094723.3600000001</v>
          </cell>
        </row>
        <row r="33">
          <cell r="A33" t="str">
            <v>A10</v>
          </cell>
          <cell r="D33">
            <v>73820000</v>
          </cell>
          <cell r="G33">
            <v>-32727.39</v>
          </cell>
        </row>
        <row r="34">
          <cell r="A34" t="str">
            <v>A11</v>
          </cell>
          <cell r="D34">
            <v>73300000</v>
          </cell>
          <cell r="G34">
            <v>118112.82</v>
          </cell>
        </row>
        <row r="35">
          <cell r="A35" t="str">
            <v>A11</v>
          </cell>
          <cell r="D35">
            <v>73600600</v>
          </cell>
          <cell r="G35">
            <v>-18591</v>
          </cell>
        </row>
        <row r="36">
          <cell r="A36" t="str">
            <v>A11</v>
          </cell>
          <cell r="D36">
            <v>73700000</v>
          </cell>
          <cell r="G36">
            <v>-764561.31</v>
          </cell>
        </row>
        <row r="37">
          <cell r="A37" t="str">
            <v>A11</v>
          </cell>
          <cell r="D37">
            <v>73820000</v>
          </cell>
          <cell r="G37">
            <v>-22857</v>
          </cell>
        </row>
        <row r="38">
          <cell r="A38" t="str">
            <v>A12</v>
          </cell>
          <cell r="D38">
            <v>73200100</v>
          </cell>
          <cell r="G38">
            <v>780</v>
          </cell>
        </row>
        <row r="39">
          <cell r="A39" t="str">
            <v>A12</v>
          </cell>
          <cell r="D39">
            <v>73300000</v>
          </cell>
          <cell r="G39">
            <v>143245.01</v>
          </cell>
        </row>
        <row r="40">
          <cell r="A40" t="str">
            <v>A12</v>
          </cell>
          <cell r="D40">
            <v>73610000</v>
          </cell>
          <cell r="G40">
            <v>-4000</v>
          </cell>
        </row>
        <row r="41">
          <cell r="A41" t="str">
            <v>A12</v>
          </cell>
          <cell r="D41">
            <v>73700000</v>
          </cell>
          <cell r="G41">
            <v>-927246.32</v>
          </cell>
        </row>
        <row r="42">
          <cell r="A42" t="str">
            <v>A12</v>
          </cell>
          <cell r="D42">
            <v>73820000</v>
          </cell>
          <cell r="G42">
            <v>-27720.57</v>
          </cell>
        </row>
        <row r="43">
          <cell r="A43" t="str">
            <v>A15</v>
          </cell>
          <cell r="D43">
            <v>73200100</v>
          </cell>
          <cell r="G43">
            <v>-64.48</v>
          </cell>
        </row>
        <row r="44">
          <cell r="A44" t="str">
            <v>A15</v>
          </cell>
          <cell r="D44">
            <v>73300000</v>
          </cell>
          <cell r="G44">
            <v>78785.58</v>
          </cell>
        </row>
        <row r="45">
          <cell r="A45" t="str">
            <v>A15</v>
          </cell>
          <cell r="D45">
            <v>73600200</v>
          </cell>
          <cell r="G45">
            <v>-7947.6</v>
          </cell>
        </row>
        <row r="46">
          <cell r="A46" t="str">
            <v>A15</v>
          </cell>
          <cell r="D46">
            <v>73610200</v>
          </cell>
          <cell r="G46">
            <v>-3778.32</v>
          </cell>
        </row>
        <row r="47">
          <cell r="A47" t="str">
            <v>A15</v>
          </cell>
          <cell r="D47">
            <v>73700000</v>
          </cell>
          <cell r="G47">
            <v>-509990.87</v>
          </cell>
        </row>
        <row r="48">
          <cell r="A48" t="str">
            <v>A15</v>
          </cell>
          <cell r="D48">
            <v>73820000</v>
          </cell>
          <cell r="G48">
            <v>-15246.48</v>
          </cell>
        </row>
        <row r="49">
          <cell r="A49" t="str">
            <v>A16</v>
          </cell>
          <cell r="D49">
            <v>73200000</v>
          </cell>
          <cell r="G49">
            <v>-26112.07</v>
          </cell>
        </row>
        <row r="50">
          <cell r="A50" t="str">
            <v>A16</v>
          </cell>
          <cell r="D50">
            <v>73300000</v>
          </cell>
          <cell r="G50">
            <v>39953.11</v>
          </cell>
        </row>
        <row r="51">
          <cell r="A51" t="str">
            <v>A16</v>
          </cell>
          <cell r="D51">
            <v>73700000</v>
          </cell>
          <cell r="G51">
            <v>-258622.57</v>
          </cell>
        </row>
        <row r="52">
          <cell r="A52" t="str">
            <v>A16</v>
          </cell>
          <cell r="D52">
            <v>73700600</v>
          </cell>
          <cell r="G52">
            <v>-6000</v>
          </cell>
        </row>
        <row r="53">
          <cell r="A53" t="str">
            <v>A16</v>
          </cell>
          <cell r="D53">
            <v>73820000</v>
          </cell>
          <cell r="G53">
            <v>-7731.67</v>
          </cell>
        </row>
        <row r="54">
          <cell r="A54" t="str">
            <v>A16</v>
          </cell>
          <cell r="D54">
            <v>73840600</v>
          </cell>
          <cell r="G54">
            <v>0</v>
          </cell>
        </row>
        <row r="55">
          <cell r="A55" t="str">
            <v>A18</v>
          </cell>
          <cell r="D55">
            <v>73300000</v>
          </cell>
          <cell r="G55">
            <v>81081.3</v>
          </cell>
        </row>
        <row r="56">
          <cell r="A56" t="str">
            <v>A18</v>
          </cell>
          <cell r="D56">
            <v>73700000</v>
          </cell>
          <cell r="G56">
            <v>-524851.51</v>
          </cell>
        </row>
        <row r="57">
          <cell r="A57" t="str">
            <v>A18</v>
          </cell>
          <cell r="D57">
            <v>73809900</v>
          </cell>
          <cell r="G57">
            <v>-571.54</v>
          </cell>
        </row>
        <row r="58">
          <cell r="A58" t="str">
            <v>A18</v>
          </cell>
          <cell r="D58">
            <v>73820000</v>
          </cell>
          <cell r="G58">
            <v>-15690.74</v>
          </cell>
        </row>
        <row r="59">
          <cell r="A59" t="str">
            <v>A21</v>
          </cell>
          <cell r="D59">
            <v>73200100</v>
          </cell>
          <cell r="G59">
            <v>-100</v>
          </cell>
        </row>
        <row r="60">
          <cell r="A60" t="str">
            <v>A21</v>
          </cell>
          <cell r="D60">
            <v>73300000</v>
          </cell>
          <cell r="G60">
            <v>104414.48</v>
          </cell>
        </row>
        <row r="61">
          <cell r="A61" t="str">
            <v>A21</v>
          </cell>
          <cell r="D61">
            <v>73600600</v>
          </cell>
          <cell r="G61">
            <v>-15883.4</v>
          </cell>
        </row>
        <row r="62">
          <cell r="A62" t="str">
            <v>A21</v>
          </cell>
          <cell r="D62">
            <v>73700000</v>
          </cell>
          <cell r="G62">
            <v>-675890.11</v>
          </cell>
        </row>
        <row r="63">
          <cell r="A63" t="str">
            <v>A21</v>
          </cell>
          <cell r="D63">
            <v>73730600</v>
          </cell>
          <cell r="G63">
            <v>-6853.43</v>
          </cell>
        </row>
        <row r="64">
          <cell r="A64" t="str">
            <v>A21</v>
          </cell>
          <cell r="D64">
            <v>73820000</v>
          </cell>
          <cell r="G64">
            <v>-20206.12</v>
          </cell>
        </row>
        <row r="65">
          <cell r="A65" t="str">
            <v>A22</v>
          </cell>
          <cell r="D65">
            <v>73300000</v>
          </cell>
          <cell r="G65">
            <v>80047.48</v>
          </cell>
        </row>
        <row r="66">
          <cell r="A66" t="str">
            <v>A22</v>
          </cell>
          <cell r="D66">
            <v>73700000</v>
          </cell>
          <cell r="G66">
            <v>-518159.09</v>
          </cell>
        </row>
        <row r="67">
          <cell r="A67" t="str">
            <v>A22</v>
          </cell>
          <cell r="D67">
            <v>73820000</v>
          </cell>
          <cell r="G67">
            <v>-15490.66</v>
          </cell>
        </row>
        <row r="68">
          <cell r="A68" t="str">
            <v>A24</v>
          </cell>
          <cell r="D68">
            <v>73300000</v>
          </cell>
          <cell r="G68">
            <v>48871.59</v>
          </cell>
        </row>
        <row r="69">
          <cell r="A69" t="str">
            <v>A24</v>
          </cell>
          <cell r="D69">
            <v>73700000</v>
          </cell>
          <cell r="G69">
            <v>-316353.03999999998</v>
          </cell>
        </row>
        <row r="70">
          <cell r="A70" t="str">
            <v>A24</v>
          </cell>
          <cell r="D70">
            <v>73820000</v>
          </cell>
          <cell r="G70">
            <v>-9457.56</v>
          </cell>
        </row>
        <row r="71">
          <cell r="A71" t="str">
            <v>A25</v>
          </cell>
          <cell r="D71">
            <v>73300000</v>
          </cell>
          <cell r="G71">
            <v>10221.74</v>
          </cell>
        </row>
        <row r="72">
          <cell r="A72" t="str">
            <v>A25</v>
          </cell>
          <cell r="D72">
            <v>73700000</v>
          </cell>
          <cell r="G72">
            <v>-66166.81</v>
          </cell>
        </row>
        <row r="73">
          <cell r="A73" t="str">
            <v>A25</v>
          </cell>
          <cell r="D73">
            <v>73730400</v>
          </cell>
          <cell r="G73">
            <v>-9800</v>
          </cell>
        </row>
        <row r="74">
          <cell r="A74" t="str">
            <v>A25</v>
          </cell>
          <cell r="D74">
            <v>73820000</v>
          </cell>
          <cell r="G74">
            <v>-1978.09</v>
          </cell>
        </row>
        <row r="75">
          <cell r="A75" t="str">
            <v>A26</v>
          </cell>
          <cell r="D75">
            <v>73300000</v>
          </cell>
          <cell r="G75">
            <v>49719.73</v>
          </cell>
        </row>
        <row r="76">
          <cell r="A76" t="str">
            <v>A26</v>
          </cell>
          <cell r="D76">
            <v>73600500</v>
          </cell>
          <cell r="G76">
            <v>-10789.94</v>
          </cell>
        </row>
        <row r="77">
          <cell r="A77" t="str">
            <v>A26</v>
          </cell>
          <cell r="D77">
            <v>73610500</v>
          </cell>
          <cell r="G77">
            <v>-570</v>
          </cell>
        </row>
        <row r="78">
          <cell r="A78" t="str">
            <v>A26</v>
          </cell>
          <cell r="D78">
            <v>73700000</v>
          </cell>
          <cell r="G78">
            <v>-321843.62</v>
          </cell>
        </row>
        <row r="79">
          <cell r="A79" t="str">
            <v>A26</v>
          </cell>
          <cell r="D79">
            <v>73820000</v>
          </cell>
          <cell r="G79">
            <v>-9621.7099999999991</v>
          </cell>
        </row>
        <row r="80">
          <cell r="A80" t="str">
            <v>A27</v>
          </cell>
          <cell r="D80">
            <v>73300000</v>
          </cell>
          <cell r="G80">
            <v>44093.3</v>
          </cell>
        </row>
        <row r="81">
          <cell r="A81" t="str">
            <v>A27</v>
          </cell>
          <cell r="D81">
            <v>73600500</v>
          </cell>
          <cell r="G81">
            <v>-942.3</v>
          </cell>
        </row>
        <row r="82">
          <cell r="A82" t="str">
            <v>A27</v>
          </cell>
          <cell r="D82">
            <v>73610500</v>
          </cell>
          <cell r="G82">
            <v>-49.77</v>
          </cell>
        </row>
        <row r="83">
          <cell r="A83" t="str">
            <v>A27</v>
          </cell>
          <cell r="D83">
            <v>73700000</v>
          </cell>
          <cell r="G83">
            <v>-285422.58</v>
          </cell>
        </row>
        <row r="84">
          <cell r="A84" t="str">
            <v>A27</v>
          </cell>
          <cell r="D84">
            <v>73820000</v>
          </cell>
          <cell r="G84">
            <v>-8532.8700000000008</v>
          </cell>
        </row>
        <row r="85">
          <cell r="A85" t="str">
            <v>A28</v>
          </cell>
          <cell r="D85">
            <v>73200200</v>
          </cell>
          <cell r="G85">
            <v>164.13</v>
          </cell>
        </row>
        <row r="86">
          <cell r="A86" t="str">
            <v>A28</v>
          </cell>
          <cell r="D86">
            <v>73300000</v>
          </cell>
          <cell r="G86">
            <v>49098.38</v>
          </cell>
        </row>
        <row r="87">
          <cell r="A87" t="str">
            <v>A28</v>
          </cell>
          <cell r="D87">
            <v>73700000</v>
          </cell>
          <cell r="G87">
            <v>-317821.38</v>
          </cell>
        </row>
        <row r="88">
          <cell r="A88" t="str">
            <v>A28</v>
          </cell>
          <cell r="D88">
            <v>73820000</v>
          </cell>
          <cell r="G88">
            <v>-9501.4599999999991</v>
          </cell>
        </row>
        <row r="89">
          <cell r="A89" t="str">
            <v>A29</v>
          </cell>
          <cell r="D89">
            <v>73300000</v>
          </cell>
          <cell r="G89">
            <v>35617.300000000003</v>
          </cell>
        </row>
        <row r="90">
          <cell r="A90" t="str">
            <v>A29</v>
          </cell>
          <cell r="D90">
            <v>73700000</v>
          </cell>
          <cell r="G90">
            <v>-230556.01</v>
          </cell>
        </row>
        <row r="91">
          <cell r="A91" t="str">
            <v>A29</v>
          </cell>
          <cell r="D91">
            <v>73820000</v>
          </cell>
          <cell r="G91">
            <v>-6892.61</v>
          </cell>
        </row>
        <row r="92">
          <cell r="A92" t="str">
            <v>A30</v>
          </cell>
          <cell r="D92">
            <v>73300000</v>
          </cell>
          <cell r="G92">
            <v>16752.82</v>
          </cell>
        </row>
        <row r="93">
          <cell r="A93" t="str">
            <v>A30</v>
          </cell>
          <cell r="D93">
            <v>73600400</v>
          </cell>
          <cell r="G93">
            <v>-2027.48</v>
          </cell>
        </row>
        <row r="94">
          <cell r="A94" t="str">
            <v>A30</v>
          </cell>
          <cell r="D94">
            <v>73610600</v>
          </cell>
          <cell r="G94">
            <v>-253.56</v>
          </cell>
        </row>
        <row r="95">
          <cell r="A95" t="str">
            <v>A30</v>
          </cell>
          <cell r="D95">
            <v>73700000</v>
          </cell>
          <cell r="G95">
            <v>-108443.75</v>
          </cell>
        </row>
        <row r="96">
          <cell r="A96" t="str">
            <v>A30</v>
          </cell>
          <cell r="D96">
            <v>73820000</v>
          </cell>
          <cell r="G96">
            <v>-3241.99</v>
          </cell>
        </row>
        <row r="97">
          <cell r="A97" t="str">
            <v>A32</v>
          </cell>
          <cell r="D97">
            <v>73300000</v>
          </cell>
          <cell r="G97">
            <v>42060.55</v>
          </cell>
        </row>
        <row r="98">
          <cell r="A98" t="str">
            <v>A32</v>
          </cell>
          <cell r="D98">
            <v>73700000</v>
          </cell>
          <cell r="G98">
            <v>-272264.2</v>
          </cell>
        </row>
        <row r="99">
          <cell r="A99" t="str">
            <v>A32</v>
          </cell>
          <cell r="D99">
            <v>73820000</v>
          </cell>
          <cell r="G99">
            <v>-8139.49</v>
          </cell>
        </row>
        <row r="100">
          <cell r="A100" t="str">
            <v>A33</v>
          </cell>
          <cell r="D100">
            <v>73200100</v>
          </cell>
          <cell r="G100">
            <v>-540</v>
          </cell>
        </row>
        <row r="101">
          <cell r="A101" t="str">
            <v>A33</v>
          </cell>
          <cell r="D101">
            <v>73300000</v>
          </cell>
          <cell r="G101">
            <v>57689.71</v>
          </cell>
        </row>
        <row r="102">
          <cell r="A102" t="str">
            <v>A33</v>
          </cell>
          <cell r="D102">
            <v>73600600</v>
          </cell>
          <cell r="G102">
            <v>-8898.84</v>
          </cell>
        </row>
        <row r="103">
          <cell r="A103" t="str">
            <v>A33</v>
          </cell>
          <cell r="D103">
            <v>73700000</v>
          </cell>
          <cell r="G103">
            <v>-373434.1</v>
          </cell>
        </row>
        <row r="104">
          <cell r="A104" t="str">
            <v>A33</v>
          </cell>
          <cell r="D104">
            <v>73820000</v>
          </cell>
          <cell r="G104">
            <v>-11164.03</v>
          </cell>
        </row>
        <row r="105">
          <cell r="A105" t="str">
            <v>A34</v>
          </cell>
          <cell r="D105">
            <v>73300000</v>
          </cell>
          <cell r="G105">
            <v>114184.06</v>
          </cell>
        </row>
        <row r="106">
          <cell r="A106" t="str">
            <v>A34</v>
          </cell>
          <cell r="D106">
            <v>73700000</v>
          </cell>
          <cell r="G106">
            <v>-739130.51</v>
          </cell>
        </row>
        <row r="107">
          <cell r="A107" t="str">
            <v>A34</v>
          </cell>
          <cell r="D107">
            <v>73820000</v>
          </cell>
          <cell r="G107">
            <v>-22096.73</v>
          </cell>
        </row>
        <row r="108">
          <cell r="A108" t="str">
            <v>A35</v>
          </cell>
          <cell r="D108">
            <v>73200000</v>
          </cell>
          <cell r="G108">
            <v>-6534.39</v>
          </cell>
        </row>
        <row r="109">
          <cell r="A109" t="str">
            <v>A35</v>
          </cell>
          <cell r="D109">
            <v>73200100</v>
          </cell>
          <cell r="G109">
            <v>-7712</v>
          </cell>
        </row>
        <row r="110">
          <cell r="A110" t="str">
            <v>A35</v>
          </cell>
          <cell r="D110">
            <v>73200200</v>
          </cell>
          <cell r="G110">
            <v>-2761</v>
          </cell>
        </row>
        <row r="111">
          <cell r="A111" t="str">
            <v>A35</v>
          </cell>
          <cell r="D111">
            <v>73300000</v>
          </cell>
          <cell r="G111">
            <v>95109.440000000002</v>
          </cell>
        </row>
        <row r="112">
          <cell r="A112" t="str">
            <v>A35</v>
          </cell>
          <cell r="D112">
            <v>73700000</v>
          </cell>
          <cell r="G112">
            <v>-615657.12</v>
          </cell>
        </row>
        <row r="113">
          <cell r="A113" t="str">
            <v>A35</v>
          </cell>
          <cell r="D113">
            <v>73820000</v>
          </cell>
          <cell r="G113">
            <v>-18405.43</v>
          </cell>
        </row>
        <row r="114">
          <cell r="A114" t="str">
            <v>A35</v>
          </cell>
          <cell r="D114">
            <v>73840200</v>
          </cell>
          <cell r="G114">
            <v>-14612</v>
          </cell>
        </row>
        <row r="115">
          <cell r="A115" t="str">
            <v>A36</v>
          </cell>
          <cell r="D115">
            <v>73200000</v>
          </cell>
          <cell r="G115">
            <v>-2941.27</v>
          </cell>
        </row>
        <row r="116">
          <cell r="A116" t="str">
            <v>A36</v>
          </cell>
          <cell r="D116">
            <v>73200200</v>
          </cell>
          <cell r="G116">
            <v>-4655.37</v>
          </cell>
        </row>
        <row r="117">
          <cell r="A117" t="str">
            <v>A36</v>
          </cell>
          <cell r="D117">
            <v>73300000</v>
          </cell>
          <cell r="G117">
            <v>11793.15</v>
          </cell>
        </row>
        <row r="118">
          <cell r="A118" t="str">
            <v>A36</v>
          </cell>
          <cell r="D118">
            <v>73610200</v>
          </cell>
          <cell r="G118">
            <v>0</v>
          </cell>
        </row>
        <row r="119">
          <cell r="A119" t="str">
            <v>A36</v>
          </cell>
          <cell r="D119">
            <v>73610300</v>
          </cell>
          <cell r="G119">
            <v>-3437.38</v>
          </cell>
        </row>
        <row r="120">
          <cell r="A120" t="str">
            <v>A36</v>
          </cell>
          <cell r="D120">
            <v>73700000</v>
          </cell>
          <cell r="G120">
            <v>-76339.009999999995</v>
          </cell>
        </row>
        <row r="121">
          <cell r="A121" t="str">
            <v>A36</v>
          </cell>
          <cell r="D121">
            <v>73820000</v>
          </cell>
          <cell r="G121">
            <v>-2282.1999999999998</v>
          </cell>
        </row>
        <row r="122">
          <cell r="A122" t="str">
            <v>A37</v>
          </cell>
          <cell r="D122">
            <v>73200000</v>
          </cell>
          <cell r="G122">
            <v>-5690.16</v>
          </cell>
        </row>
        <row r="123">
          <cell r="A123" t="str">
            <v>A37</v>
          </cell>
          <cell r="D123">
            <v>73200100</v>
          </cell>
          <cell r="G123">
            <v>-17367.52</v>
          </cell>
        </row>
        <row r="124">
          <cell r="A124" t="str">
            <v>A37</v>
          </cell>
          <cell r="D124">
            <v>73200200</v>
          </cell>
          <cell r="G124">
            <v>-25552.02</v>
          </cell>
        </row>
        <row r="125">
          <cell r="A125" t="str">
            <v>A37</v>
          </cell>
          <cell r="D125">
            <v>73300000</v>
          </cell>
          <cell r="G125">
            <v>14850.85</v>
          </cell>
        </row>
        <row r="126">
          <cell r="A126" t="str">
            <v>A37</v>
          </cell>
          <cell r="D126">
            <v>73700000</v>
          </cell>
          <cell r="G126">
            <v>-96131.43</v>
          </cell>
        </row>
        <row r="127">
          <cell r="A127" t="str">
            <v>A37</v>
          </cell>
          <cell r="D127">
            <v>73820000</v>
          </cell>
          <cell r="G127">
            <v>-2873.91</v>
          </cell>
        </row>
        <row r="128">
          <cell r="A128" t="str">
            <v>A38</v>
          </cell>
          <cell r="D128">
            <v>73200000</v>
          </cell>
          <cell r="G128">
            <v>-164</v>
          </cell>
        </row>
        <row r="129">
          <cell r="A129" t="str">
            <v>A38</v>
          </cell>
          <cell r="D129">
            <v>73300000</v>
          </cell>
          <cell r="G129">
            <v>22835.26</v>
          </cell>
        </row>
        <row r="130">
          <cell r="A130" t="str">
            <v>A38</v>
          </cell>
          <cell r="D130">
            <v>73610700</v>
          </cell>
          <cell r="G130">
            <v>-7585.48</v>
          </cell>
        </row>
        <row r="131">
          <cell r="A131" t="str">
            <v>A38</v>
          </cell>
          <cell r="D131">
            <v>73700000</v>
          </cell>
          <cell r="G131">
            <v>-147815.88</v>
          </cell>
        </row>
        <row r="132">
          <cell r="A132" t="str">
            <v>A38</v>
          </cell>
          <cell r="D132">
            <v>73820000</v>
          </cell>
          <cell r="G132">
            <v>-4419.04</v>
          </cell>
        </row>
        <row r="133">
          <cell r="A133" t="str">
            <v>A41</v>
          </cell>
          <cell r="D133">
            <v>73300000</v>
          </cell>
          <cell r="G133">
            <v>21004.05</v>
          </cell>
        </row>
        <row r="134">
          <cell r="A134" t="str">
            <v>A41</v>
          </cell>
          <cell r="D134">
            <v>73700000</v>
          </cell>
          <cell r="G134">
            <v>-135962.21</v>
          </cell>
        </row>
        <row r="135">
          <cell r="A135" t="str">
            <v>A41</v>
          </cell>
          <cell r="D135">
            <v>73820000</v>
          </cell>
          <cell r="G135">
            <v>-4064.67</v>
          </cell>
        </row>
        <row r="136">
          <cell r="A136" t="str">
            <v>A43</v>
          </cell>
          <cell r="D136">
            <v>73300000</v>
          </cell>
          <cell r="G136">
            <v>33729.07</v>
          </cell>
        </row>
        <row r="137">
          <cell r="A137" t="str">
            <v>A43</v>
          </cell>
          <cell r="D137">
            <v>73700000</v>
          </cell>
          <cell r="G137">
            <v>-218333.27</v>
          </cell>
        </row>
        <row r="138">
          <cell r="A138" t="str">
            <v>A43</v>
          </cell>
          <cell r="D138">
            <v>73820000</v>
          </cell>
          <cell r="G138">
            <v>-6527.2</v>
          </cell>
        </row>
        <row r="139">
          <cell r="A139" t="str">
            <v>A44</v>
          </cell>
          <cell r="D139">
            <v>73200100</v>
          </cell>
          <cell r="G139">
            <v>0</v>
          </cell>
        </row>
        <row r="140">
          <cell r="A140" t="str">
            <v>A44</v>
          </cell>
          <cell r="D140">
            <v>73200200</v>
          </cell>
          <cell r="G140">
            <v>-1285.06</v>
          </cell>
        </row>
        <row r="141">
          <cell r="A141" t="str">
            <v>A44</v>
          </cell>
          <cell r="D141">
            <v>73300000</v>
          </cell>
          <cell r="G141">
            <v>40701.17</v>
          </cell>
        </row>
        <row r="142">
          <cell r="A142" t="str">
            <v>A44</v>
          </cell>
          <cell r="D142">
            <v>73610400</v>
          </cell>
          <cell r="G142">
            <v>-5322</v>
          </cell>
        </row>
        <row r="143">
          <cell r="A143" t="str">
            <v>A44</v>
          </cell>
          <cell r="D143">
            <v>73700000</v>
          </cell>
          <cell r="G143">
            <v>-263464.63</v>
          </cell>
        </row>
        <row r="144">
          <cell r="A144" t="str">
            <v>A44</v>
          </cell>
          <cell r="D144">
            <v>73820000</v>
          </cell>
          <cell r="G144">
            <v>-7876.43</v>
          </cell>
        </row>
        <row r="145">
          <cell r="A145" t="str">
            <v>A45</v>
          </cell>
          <cell r="D145">
            <v>73300000</v>
          </cell>
          <cell r="G145">
            <v>53984.42</v>
          </cell>
        </row>
        <row r="146">
          <cell r="A146" t="str">
            <v>A45</v>
          </cell>
          <cell r="D146">
            <v>73700000</v>
          </cell>
          <cell r="G146">
            <v>-277912.84000000003</v>
          </cell>
        </row>
        <row r="147">
          <cell r="A147" t="str">
            <v>A45</v>
          </cell>
          <cell r="D147">
            <v>73801400</v>
          </cell>
          <cell r="G147">
            <v>-121563.37</v>
          </cell>
        </row>
        <row r="148">
          <cell r="A148" t="str">
            <v>A45</v>
          </cell>
          <cell r="D148">
            <v>73820000</v>
          </cell>
          <cell r="G148">
            <v>-8308.36</v>
          </cell>
        </row>
        <row r="149">
          <cell r="A149" t="str">
            <v>A46</v>
          </cell>
          <cell r="D149">
            <v>73200000</v>
          </cell>
          <cell r="G149">
            <v>-4450.38</v>
          </cell>
        </row>
        <row r="150">
          <cell r="A150" t="str">
            <v>A46</v>
          </cell>
          <cell r="D150">
            <v>73200100</v>
          </cell>
          <cell r="G150">
            <v>-84.79</v>
          </cell>
        </row>
        <row r="151">
          <cell r="A151" t="str">
            <v>A46</v>
          </cell>
          <cell r="D151">
            <v>73300000</v>
          </cell>
          <cell r="G151">
            <v>62258.58</v>
          </cell>
        </row>
        <row r="152">
          <cell r="A152" t="str">
            <v>A46</v>
          </cell>
          <cell r="D152">
            <v>73700000</v>
          </cell>
          <cell r="G152">
            <v>-403009.11</v>
          </cell>
        </row>
        <row r="153">
          <cell r="A153" t="str">
            <v>A46</v>
          </cell>
          <cell r="D153">
            <v>73820000</v>
          </cell>
          <cell r="G153">
            <v>-12048.19</v>
          </cell>
        </row>
        <row r="154">
          <cell r="A154" t="str">
            <v>A54</v>
          </cell>
          <cell r="D154">
            <v>73300000</v>
          </cell>
          <cell r="G154">
            <v>61057.279999999999</v>
          </cell>
        </row>
        <row r="155">
          <cell r="A155" t="str">
            <v>A54</v>
          </cell>
          <cell r="D155">
            <v>73700000</v>
          </cell>
          <cell r="G155">
            <v>-395232.64</v>
          </cell>
        </row>
        <row r="156">
          <cell r="A156" t="str">
            <v>A54</v>
          </cell>
          <cell r="D156">
            <v>73820000</v>
          </cell>
          <cell r="G156">
            <v>-11815.71</v>
          </cell>
        </row>
        <row r="157">
          <cell r="A157" t="str">
            <v>A56</v>
          </cell>
          <cell r="D157">
            <v>73300000</v>
          </cell>
          <cell r="G157">
            <v>21441.13</v>
          </cell>
        </row>
        <row r="158">
          <cell r="A158" t="str">
            <v>A56</v>
          </cell>
          <cell r="D158">
            <v>73700000</v>
          </cell>
          <cell r="G158">
            <v>-138791.60999999999</v>
          </cell>
        </row>
        <row r="159">
          <cell r="A159" t="str">
            <v>A56</v>
          </cell>
          <cell r="D159">
            <v>73820000</v>
          </cell>
          <cell r="G159">
            <v>-4149.25</v>
          </cell>
        </row>
        <row r="160">
          <cell r="A160" t="str">
            <v>A58</v>
          </cell>
          <cell r="D160">
            <v>73300000</v>
          </cell>
          <cell r="G160">
            <v>5373.59</v>
          </cell>
        </row>
        <row r="161">
          <cell r="A161" t="str">
            <v>A58</v>
          </cell>
          <cell r="D161">
            <v>73700000</v>
          </cell>
          <cell r="G161">
            <v>-34783.72</v>
          </cell>
        </row>
        <row r="162">
          <cell r="A162" t="str">
            <v>A58</v>
          </cell>
          <cell r="D162">
            <v>73820000</v>
          </cell>
          <cell r="G162">
            <v>-1039.8800000000001</v>
          </cell>
        </row>
        <row r="163">
          <cell r="A163" t="str">
            <v>A59</v>
          </cell>
          <cell r="D163">
            <v>73300000</v>
          </cell>
          <cell r="G163">
            <v>40491.31</v>
          </cell>
        </row>
        <row r="164">
          <cell r="A164" t="str">
            <v>A59</v>
          </cell>
          <cell r="D164">
            <v>73700000</v>
          </cell>
          <cell r="G164">
            <v>-262106.44</v>
          </cell>
        </row>
        <row r="165">
          <cell r="A165" t="str">
            <v>A59</v>
          </cell>
          <cell r="D165">
            <v>73820000</v>
          </cell>
          <cell r="G165">
            <v>-7835.83</v>
          </cell>
        </row>
        <row r="166">
          <cell r="A166" t="str">
            <v>A60</v>
          </cell>
          <cell r="D166">
            <v>73300000</v>
          </cell>
          <cell r="G166">
            <v>110366.21</v>
          </cell>
        </row>
        <row r="167">
          <cell r="A167" t="str">
            <v>A60</v>
          </cell>
          <cell r="D167">
            <v>73600600</v>
          </cell>
          <cell r="G167">
            <v>-14112.84</v>
          </cell>
        </row>
        <row r="168">
          <cell r="A168" t="str">
            <v>A60</v>
          </cell>
          <cell r="D168">
            <v>73700000</v>
          </cell>
          <cell r="G168">
            <v>-714417.15</v>
          </cell>
        </row>
        <row r="169">
          <cell r="A169" t="str">
            <v>A60</v>
          </cell>
          <cell r="D169">
            <v>73820000</v>
          </cell>
          <cell r="G169">
            <v>-21357.919999999998</v>
          </cell>
        </row>
        <row r="170">
          <cell r="A170" t="str">
            <v>A61</v>
          </cell>
          <cell r="D170">
            <v>73200100</v>
          </cell>
          <cell r="G170">
            <v>-194.16</v>
          </cell>
        </row>
        <row r="171">
          <cell r="A171" t="str">
            <v>A61</v>
          </cell>
          <cell r="D171">
            <v>73300000</v>
          </cell>
          <cell r="G171">
            <v>14294.1</v>
          </cell>
        </row>
        <row r="172">
          <cell r="A172" t="str">
            <v>A61</v>
          </cell>
          <cell r="D172">
            <v>73700000</v>
          </cell>
          <cell r="G172">
            <v>-92527.74</v>
          </cell>
        </row>
        <row r="173">
          <cell r="A173" t="str">
            <v>A61</v>
          </cell>
          <cell r="D173">
            <v>73820000</v>
          </cell>
          <cell r="G173">
            <v>-2766.17</v>
          </cell>
        </row>
        <row r="174">
          <cell r="A174" t="str">
            <v>A64</v>
          </cell>
          <cell r="D174">
            <v>73300000</v>
          </cell>
          <cell r="G174">
            <v>7286.27</v>
          </cell>
        </row>
        <row r="175">
          <cell r="A175" t="str">
            <v>A64</v>
          </cell>
          <cell r="D175">
            <v>73700000</v>
          </cell>
          <cell r="G175">
            <v>-47165.120000000003</v>
          </cell>
        </row>
        <row r="176">
          <cell r="A176" t="str">
            <v>A64</v>
          </cell>
          <cell r="D176">
            <v>73820000</v>
          </cell>
          <cell r="G176">
            <v>-1410.03</v>
          </cell>
        </row>
        <row r="177">
          <cell r="A177" t="str">
            <v>A65</v>
          </cell>
          <cell r="D177">
            <v>73300000</v>
          </cell>
          <cell r="G177">
            <v>51893.01</v>
          </cell>
        </row>
        <row r="178">
          <cell r="A178" t="str">
            <v>A65</v>
          </cell>
          <cell r="D178">
            <v>73700000</v>
          </cell>
          <cell r="G178">
            <v>-335911.26</v>
          </cell>
        </row>
        <row r="179">
          <cell r="A179" t="str">
            <v>A65</v>
          </cell>
          <cell r="D179">
            <v>73820000</v>
          </cell>
          <cell r="G179">
            <v>-10042.26</v>
          </cell>
        </row>
        <row r="180">
          <cell r="A180" t="str">
            <v>A66</v>
          </cell>
          <cell r="D180">
            <v>73200000</v>
          </cell>
          <cell r="G180">
            <v>-1400</v>
          </cell>
        </row>
        <row r="181">
          <cell r="A181" t="str">
            <v>A66</v>
          </cell>
          <cell r="D181">
            <v>73200100</v>
          </cell>
          <cell r="G181">
            <v>-20</v>
          </cell>
        </row>
        <row r="182">
          <cell r="A182" t="str">
            <v>A66</v>
          </cell>
          <cell r="D182">
            <v>73300000</v>
          </cell>
          <cell r="G182">
            <v>55769.760000000002</v>
          </cell>
        </row>
        <row r="183">
          <cell r="A183" t="str">
            <v>A66</v>
          </cell>
          <cell r="D183">
            <v>73700000</v>
          </cell>
          <cell r="G183">
            <v>-361005.97</v>
          </cell>
        </row>
        <row r="184">
          <cell r="A184" t="str">
            <v>A66</v>
          </cell>
          <cell r="D184">
            <v>73820000</v>
          </cell>
          <cell r="G184">
            <v>-10792.48</v>
          </cell>
        </row>
        <row r="185">
          <cell r="A185" t="str">
            <v>A68</v>
          </cell>
          <cell r="D185">
            <v>73300000</v>
          </cell>
          <cell r="G185">
            <v>33866.870000000003</v>
          </cell>
        </row>
        <row r="186">
          <cell r="A186" t="str">
            <v>A68</v>
          </cell>
          <cell r="D186">
            <v>73620000</v>
          </cell>
          <cell r="G186">
            <v>-36.28</v>
          </cell>
        </row>
        <row r="187">
          <cell r="A187" t="str">
            <v>A68</v>
          </cell>
          <cell r="D187">
            <v>73700000</v>
          </cell>
          <cell r="G187">
            <v>-219225.56</v>
          </cell>
        </row>
        <row r="188">
          <cell r="A188" t="str">
            <v>A68</v>
          </cell>
          <cell r="D188">
            <v>73809900</v>
          </cell>
          <cell r="G188">
            <v>-4247.2299999999996</v>
          </cell>
        </row>
        <row r="189">
          <cell r="A189" t="str">
            <v>A68</v>
          </cell>
          <cell r="D189">
            <v>73820000</v>
          </cell>
          <cell r="G189">
            <v>-6553.88</v>
          </cell>
        </row>
        <row r="190">
          <cell r="A190" t="str">
            <v>A69</v>
          </cell>
          <cell r="D190">
            <v>73300000</v>
          </cell>
          <cell r="G190">
            <v>15999.18</v>
          </cell>
        </row>
        <row r="191">
          <cell r="A191" t="str">
            <v>A69</v>
          </cell>
          <cell r="D191">
            <v>73700000</v>
          </cell>
          <cell r="G191">
            <v>-103564.94</v>
          </cell>
        </row>
        <row r="192">
          <cell r="A192" t="str">
            <v>A69</v>
          </cell>
          <cell r="D192">
            <v>73820000</v>
          </cell>
          <cell r="G192">
            <v>-3096.14</v>
          </cell>
        </row>
        <row r="193">
          <cell r="A193" t="str">
            <v>A71</v>
          </cell>
          <cell r="D193">
            <v>73300000</v>
          </cell>
          <cell r="G193">
            <v>19328.61</v>
          </cell>
        </row>
        <row r="194">
          <cell r="A194" t="str">
            <v>A71</v>
          </cell>
          <cell r="D194">
            <v>73700000</v>
          </cell>
          <cell r="G194">
            <v>-125116.98</v>
          </cell>
        </row>
        <row r="195">
          <cell r="A195" t="str">
            <v>A71</v>
          </cell>
          <cell r="D195">
            <v>73820000</v>
          </cell>
          <cell r="G195">
            <v>-3740.44</v>
          </cell>
        </row>
        <row r="196">
          <cell r="A196" t="str">
            <v>A72</v>
          </cell>
          <cell r="D196">
            <v>73300000</v>
          </cell>
          <cell r="G196">
            <v>0</v>
          </cell>
        </row>
        <row r="197">
          <cell r="A197" t="str">
            <v>A73</v>
          </cell>
          <cell r="D197">
            <v>73300000</v>
          </cell>
          <cell r="G197">
            <v>4803.7299999999996</v>
          </cell>
        </row>
        <row r="198">
          <cell r="A198" t="str">
            <v>A73</v>
          </cell>
          <cell r="D198">
            <v>73700000</v>
          </cell>
          <cell r="G198">
            <v>-31095.4</v>
          </cell>
        </row>
        <row r="199">
          <cell r="A199" t="str">
            <v>A73</v>
          </cell>
          <cell r="D199">
            <v>73820000</v>
          </cell>
          <cell r="G199">
            <v>-929.61</v>
          </cell>
        </row>
        <row r="200">
          <cell r="A200" t="str">
            <v>A74</v>
          </cell>
          <cell r="D200">
            <v>73300000</v>
          </cell>
          <cell r="G200">
            <v>6728.66</v>
          </cell>
        </row>
        <row r="201">
          <cell r="A201" t="str">
            <v>A74</v>
          </cell>
          <cell r="D201">
            <v>73700000</v>
          </cell>
          <cell r="G201">
            <v>-43555.92</v>
          </cell>
        </row>
        <row r="202">
          <cell r="A202" t="str">
            <v>A74</v>
          </cell>
          <cell r="D202">
            <v>73820000</v>
          </cell>
          <cell r="G202">
            <v>-1302.1300000000001</v>
          </cell>
        </row>
        <row r="203">
          <cell r="A203" t="str">
            <v>A75</v>
          </cell>
          <cell r="D203">
            <v>73300000</v>
          </cell>
          <cell r="G203">
            <v>3283.68</v>
          </cell>
        </row>
        <row r="204">
          <cell r="A204" t="str">
            <v>A75</v>
          </cell>
          <cell r="D204">
            <v>73700000</v>
          </cell>
          <cell r="G204">
            <v>-21255.77</v>
          </cell>
        </row>
        <row r="205">
          <cell r="A205" t="str">
            <v>A75</v>
          </cell>
          <cell r="D205">
            <v>73820000</v>
          </cell>
          <cell r="G205">
            <v>-635.46</v>
          </cell>
        </row>
        <row r="206">
          <cell r="A206" t="str">
            <v>B02</v>
          </cell>
          <cell r="D206">
            <v>73300000</v>
          </cell>
          <cell r="G206">
            <v>0</v>
          </cell>
        </row>
        <row r="207">
          <cell r="A207" t="str">
            <v>B02</v>
          </cell>
          <cell r="D207">
            <v>73600000</v>
          </cell>
          <cell r="G207">
            <v>-9515</v>
          </cell>
        </row>
        <row r="208">
          <cell r="A208" t="str">
            <v>B03</v>
          </cell>
          <cell r="D208">
            <v>73300000</v>
          </cell>
          <cell r="G208">
            <v>0</v>
          </cell>
        </row>
        <row r="209">
          <cell r="A209" t="str">
            <v>B03</v>
          </cell>
          <cell r="D209">
            <v>73600100</v>
          </cell>
          <cell r="G209">
            <v>-46175.29</v>
          </cell>
        </row>
        <row r="210">
          <cell r="A210" t="str">
            <v>B03</v>
          </cell>
          <cell r="D210">
            <v>73610100</v>
          </cell>
          <cell r="G210">
            <v>-22755.15</v>
          </cell>
        </row>
        <row r="211">
          <cell r="A211" t="str">
            <v>B12</v>
          </cell>
          <cell r="D211">
            <v>73300000</v>
          </cell>
          <cell r="G211">
            <v>0</v>
          </cell>
        </row>
        <row r="212">
          <cell r="A212" t="str">
            <v>B13</v>
          </cell>
          <cell r="D212">
            <v>73200100</v>
          </cell>
          <cell r="G212">
            <v>-171.05</v>
          </cell>
        </row>
        <row r="213">
          <cell r="A213" t="str">
            <v>B13</v>
          </cell>
          <cell r="D213">
            <v>73300000</v>
          </cell>
          <cell r="G213">
            <v>0</v>
          </cell>
        </row>
        <row r="214">
          <cell r="A214" t="str">
            <v>B14</v>
          </cell>
          <cell r="D214">
            <v>73300000</v>
          </cell>
          <cell r="G214">
            <v>0</v>
          </cell>
        </row>
        <row r="215">
          <cell r="A215" t="str">
            <v>B15</v>
          </cell>
          <cell r="D215">
            <v>73300000</v>
          </cell>
          <cell r="G215">
            <v>0</v>
          </cell>
        </row>
        <row r="216">
          <cell r="A216" t="str">
            <v>B16</v>
          </cell>
          <cell r="D216">
            <v>73300000</v>
          </cell>
          <cell r="G216">
            <v>0</v>
          </cell>
        </row>
        <row r="217">
          <cell r="A217" t="str">
            <v>B17</v>
          </cell>
          <cell r="D217">
            <v>73300000</v>
          </cell>
          <cell r="G217">
            <v>0</v>
          </cell>
        </row>
        <row r="218">
          <cell r="A218" t="str">
            <v>B18</v>
          </cell>
          <cell r="D218">
            <v>73300000</v>
          </cell>
          <cell r="G218">
            <v>0</v>
          </cell>
        </row>
        <row r="219">
          <cell r="A219" t="str">
            <v>B19</v>
          </cell>
          <cell r="D219">
            <v>73300000</v>
          </cell>
          <cell r="G219">
            <v>0</v>
          </cell>
        </row>
        <row r="220">
          <cell r="A220" t="str">
            <v>B22</v>
          </cell>
          <cell r="D220">
            <v>73300000</v>
          </cell>
          <cell r="G220">
            <v>0</v>
          </cell>
        </row>
        <row r="221">
          <cell r="A221" t="str">
            <v>B24</v>
          </cell>
          <cell r="D221">
            <v>73300000</v>
          </cell>
          <cell r="G221">
            <v>0</v>
          </cell>
        </row>
        <row r="222">
          <cell r="A222" t="str">
            <v>B25</v>
          </cell>
          <cell r="D222">
            <v>73300000</v>
          </cell>
          <cell r="G222">
            <v>0</v>
          </cell>
        </row>
        <row r="223">
          <cell r="A223" t="str">
            <v>B26</v>
          </cell>
          <cell r="D223">
            <v>73300000</v>
          </cell>
          <cell r="G223">
            <v>0</v>
          </cell>
        </row>
        <row r="224">
          <cell r="A224" t="str">
            <v>B27</v>
          </cell>
          <cell r="D224">
            <v>73300000</v>
          </cell>
          <cell r="G224">
            <v>0</v>
          </cell>
        </row>
        <row r="225">
          <cell r="A225" t="str">
            <v>B28</v>
          </cell>
          <cell r="D225">
            <v>73300000</v>
          </cell>
          <cell r="G225">
            <v>935.42</v>
          </cell>
        </row>
        <row r="226">
          <cell r="A226" t="str">
            <v>B28</v>
          </cell>
          <cell r="D226">
            <v>73820000</v>
          </cell>
          <cell r="G226">
            <v>-6236.16</v>
          </cell>
        </row>
        <row r="227">
          <cell r="A227" t="str">
            <v>B29</v>
          </cell>
          <cell r="D227">
            <v>73300000</v>
          </cell>
          <cell r="G227">
            <v>1520.06</v>
          </cell>
        </row>
        <row r="228">
          <cell r="A228" t="str">
            <v>B29</v>
          </cell>
          <cell r="D228">
            <v>73820000</v>
          </cell>
          <cell r="G228">
            <v>-10133.76</v>
          </cell>
        </row>
        <row r="229">
          <cell r="A229" t="str">
            <v>B30</v>
          </cell>
          <cell r="D229">
            <v>73300000</v>
          </cell>
          <cell r="G229">
            <v>0</v>
          </cell>
        </row>
        <row r="230">
          <cell r="A230" t="str">
            <v>B31</v>
          </cell>
          <cell r="D230">
            <v>73300000</v>
          </cell>
          <cell r="G230">
            <v>0</v>
          </cell>
        </row>
        <row r="231">
          <cell r="A231" t="str">
            <v>B32</v>
          </cell>
          <cell r="D231">
            <v>73300000</v>
          </cell>
          <cell r="G231">
            <v>0</v>
          </cell>
        </row>
        <row r="232">
          <cell r="A232" t="str">
            <v>B33</v>
          </cell>
          <cell r="D232">
            <v>73300000</v>
          </cell>
          <cell r="G232">
            <v>3262.5</v>
          </cell>
        </row>
        <row r="233">
          <cell r="A233" t="str">
            <v>B33</v>
          </cell>
          <cell r="D233">
            <v>73820000</v>
          </cell>
          <cell r="G233">
            <v>-21750</v>
          </cell>
        </row>
        <row r="234">
          <cell r="A234" t="str">
            <v>B34</v>
          </cell>
          <cell r="D234">
            <v>73300000</v>
          </cell>
          <cell r="G234">
            <v>0</v>
          </cell>
        </row>
        <row r="235">
          <cell r="A235" t="str">
            <v>B34</v>
          </cell>
          <cell r="D235">
            <v>73610300</v>
          </cell>
          <cell r="G235">
            <v>-3437.38</v>
          </cell>
        </row>
        <row r="236">
          <cell r="A236" t="str">
            <v>B35</v>
          </cell>
          <cell r="D236">
            <v>73200000</v>
          </cell>
          <cell r="G236">
            <v>-1620</v>
          </cell>
        </row>
        <row r="237">
          <cell r="A237" t="str">
            <v>B35</v>
          </cell>
          <cell r="D237">
            <v>73200100</v>
          </cell>
          <cell r="G237">
            <v>-390</v>
          </cell>
        </row>
        <row r="238">
          <cell r="A238" t="str">
            <v>B35</v>
          </cell>
          <cell r="D238">
            <v>73300000</v>
          </cell>
          <cell r="G238">
            <v>0</v>
          </cell>
        </row>
        <row r="239">
          <cell r="A239" t="str">
            <v>B35</v>
          </cell>
          <cell r="D239">
            <v>73620000</v>
          </cell>
          <cell r="G239">
            <v>-563.53</v>
          </cell>
        </row>
        <row r="240">
          <cell r="A240" t="str">
            <v>B35</v>
          </cell>
          <cell r="D240">
            <v>73809900</v>
          </cell>
          <cell r="G240">
            <v>-65981.570000000007</v>
          </cell>
        </row>
        <row r="241">
          <cell r="A241" t="str">
            <v>B36</v>
          </cell>
          <cell r="D241">
            <v>73200000</v>
          </cell>
          <cell r="G241">
            <v>-3195</v>
          </cell>
        </row>
        <row r="242">
          <cell r="A242" t="str">
            <v>B36</v>
          </cell>
          <cell r="D242">
            <v>73200100</v>
          </cell>
          <cell r="G242">
            <v>-390</v>
          </cell>
        </row>
        <row r="243">
          <cell r="A243" t="str">
            <v>B36</v>
          </cell>
          <cell r="D243">
            <v>73300000</v>
          </cell>
          <cell r="G243">
            <v>0</v>
          </cell>
        </row>
        <row r="244">
          <cell r="A244" t="str">
            <v>B36</v>
          </cell>
          <cell r="D244">
            <v>73809900</v>
          </cell>
          <cell r="G244">
            <v>-2441.36</v>
          </cell>
        </row>
        <row r="245">
          <cell r="A245" t="str">
            <v>B37</v>
          </cell>
          <cell r="D245">
            <v>73300000</v>
          </cell>
          <cell r="G245">
            <v>0</v>
          </cell>
        </row>
        <row r="246">
          <cell r="A246" t="str">
            <v>B42</v>
          </cell>
          <cell r="D246">
            <v>73200000</v>
          </cell>
          <cell r="G246">
            <v>-24.78</v>
          </cell>
        </row>
        <row r="247">
          <cell r="A247" t="str">
            <v>B42</v>
          </cell>
          <cell r="D247">
            <v>73200100</v>
          </cell>
          <cell r="G247">
            <v>-198.68</v>
          </cell>
        </row>
        <row r="248">
          <cell r="A248" t="str">
            <v>B43</v>
          </cell>
          <cell r="D248">
            <v>73200000</v>
          </cell>
          <cell r="G248">
            <v>0</v>
          </cell>
        </row>
        <row r="249">
          <cell r="A249" t="str">
            <v>B43</v>
          </cell>
          <cell r="D249">
            <v>73200100</v>
          </cell>
          <cell r="G249">
            <v>-134.16</v>
          </cell>
        </row>
        <row r="250">
          <cell r="A250" t="str">
            <v>B43</v>
          </cell>
          <cell r="D250">
            <v>73200200</v>
          </cell>
          <cell r="G250">
            <v>-4040.51</v>
          </cell>
        </row>
        <row r="251">
          <cell r="A251" t="str">
            <v>B44</v>
          </cell>
          <cell r="D251">
            <v>73200000</v>
          </cell>
          <cell r="G251">
            <v>-10</v>
          </cell>
        </row>
        <row r="252">
          <cell r="A252" t="str">
            <v>B44</v>
          </cell>
          <cell r="D252">
            <v>73600400</v>
          </cell>
          <cell r="G252">
            <v>-45550.32</v>
          </cell>
        </row>
        <row r="253">
          <cell r="A253" t="str">
            <v>B44</v>
          </cell>
          <cell r="D253">
            <v>73610600</v>
          </cell>
          <cell r="G253">
            <v>-5696.44</v>
          </cell>
        </row>
        <row r="254">
          <cell r="A254" t="str">
            <v>B45</v>
          </cell>
          <cell r="D254">
            <v>73200000</v>
          </cell>
          <cell r="G254">
            <v>-27.5</v>
          </cell>
        </row>
        <row r="255">
          <cell r="A255" t="str">
            <v>B45</v>
          </cell>
          <cell r="D255">
            <v>73200100</v>
          </cell>
          <cell r="G255">
            <v>-4475</v>
          </cell>
        </row>
        <row r="256">
          <cell r="A256" t="str">
            <v>B46</v>
          </cell>
          <cell r="D256">
            <v>73200000</v>
          </cell>
          <cell r="G256">
            <v>-6334.63</v>
          </cell>
        </row>
        <row r="257">
          <cell r="A257" t="str">
            <v>B46</v>
          </cell>
          <cell r="D257">
            <v>73600500</v>
          </cell>
          <cell r="G257">
            <v>-12119.2</v>
          </cell>
        </row>
        <row r="258">
          <cell r="A258" t="str">
            <v>B46</v>
          </cell>
          <cell r="D258">
            <v>73610500</v>
          </cell>
          <cell r="G258">
            <v>-640.23</v>
          </cell>
        </row>
        <row r="259">
          <cell r="A259" t="str">
            <v>C01</v>
          </cell>
          <cell r="D259">
            <v>73200000</v>
          </cell>
          <cell r="G259">
            <v>-351</v>
          </cell>
        </row>
        <row r="260">
          <cell r="A260" t="str">
            <v>C01</v>
          </cell>
          <cell r="D260">
            <v>73300000</v>
          </cell>
          <cell r="G260">
            <v>-3673038.87</v>
          </cell>
        </row>
        <row r="261">
          <cell r="A261" t="str">
            <v>C01</v>
          </cell>
          <cell r="D261">
            <v>73730600</v>
          </cell>
          <cell r="G261">
            <v>-3865.27</v>
          </cell>
        </row>
        <row r="262">
          <cell r="A262" t="str">
            <v>C01</v>
          </cell>
          <cell r="D262">
            <v>73730700</v>
          </cell>
          <cell r="G262">
            <v>-24361.03</v>
          </cell>
        </row>
        <row r="263">
          <cell r="A263" t="str">
            <v>C01</v>
          </cell>
          <cell r="D263">
            <v>73820000</v>
          </cell>
          <cell r="G263">
            <v>-295721.76</v>
          </cell>
        </row>
        <row r="264">
          <cell r="A264" t="str">
            <v>C02</v>
          </cell>
          <cell r="D264">
            <v>73700600</v>
          </cell>
          <cell r="G264">
            <v>-3284.44</v>
          </cell>
        </row>
        <row r="265">
          <cell r="A265" t="str">
            <v>C07</v>
          </cell>
          <cell r="D265">
            <v>73600000</v>
          </cell>
          <cell r="G265">
            <v>-3415.64</v>
          </cell>
        </row>
        <row r="266">
          <cell r="A266" t="str">
            <v>C07</v>
          </cell>
          <cell r="D266">
            <v>73600500</v>
          </cell>
          <cell r="G266">
            <v>-32937.699999999997</v>
          </cell>
        </row>
        <row r="267">
          <cell r="A267" t="str">
            <v>C07</v>
          </cell>
          <cell r="D267">
            <v>73610500</v>
          </cell>
          <cell r="G267">
            <v>-1740</v>
          </cell>
        </row>
        <row r="268">
          <cell r="A268" t="str">
            <v>C11</v>
          </cell>
          <cell r="D268">
            <v>73730300</v>
          </cell>
          <cell r="G268">
            <v>-13112.63</v>
          </cell>
        </row>
        <row r="269">
          <cell r="A269" t="str">
            <v>C11</v>
          </cell>
          <cell r="D269">
            <v>73820100</v>
          </cell>
          <cell r="G269">
            <v>-41211.040000000001</v>
          </cell>
        </row>
        <row r="270">
          <cell r="A270" t="str">
            <v>G09</v>
          </cell>
          <cell r="D270">
            <v>73200000</v>
          </cell>
          <cell r="G270">
            <v>-5000</v>
          </cell>
        </row>
        <row r="271">
          <cell r="A271" t="str">
            <v>G09</v>
          </cell>
          <cell r="D271">
            <v>73200100</v>
          </cell>
          <cell r="G271">
            <v>-2200</v>
          </cell>
        </row>
        <row r="272">
          <cell r="A272" t="str">
            <v>G09</v>
          </cell>
          <cell r="D272">
            <v>73200200</v>
          </cell>
          <cell r="G272">
            <v>-1500</v>
          </cell>
        </row>
        <row r="273">
          <cell r="A273" t="str">
            <v>G09</v>
          </cell>
          <cell r="D273">
            <v>73300000</v>
          </cell>
          <cell r="G273">
            <v>0</v>
          </cell>
        </row>
        <row r="274">
          <cell r="A274" t="str">
            <v>G10</v>
          </cell>
          <cell r="D274">
            <v>73200000</v>
          </cell>
          <cell r="G274">
            <v>-890.5</v>
          </cell>
        </row>
        <row r="275">
          <cell r="A275" t="str">
            <v>G10</v>
          </cell>
          <cell r="D275">
            <v>73300000</v>
          </cell>
          <cell r="G275">
            <v>0</v>
          </cell>
        </row>
        <row r="276">
          <cell r="A276" t="str">
            <v>G10</v>
          </cell>
          <cell r="D276">
            <v>73809900</v>
          </cell>
          <cell r="G276">
            <v>-100128.02</v>
          </cell>
        </row>
        <row r="277">
          <cell r="A277" t="str">
            <v>I02</v>
          </cell>
          <cell r="D277">
            <v>73300000</v>
          </cell>
          <cell r="G277">
            <v>0</v>
          </cell>
        </row>
        <row r="278">
          <cell r="A278" t="str">
            <v>I02</v>
          </cell>
          <cell r="D278">
            <v>73620100</v>
          </cell>
          <cell r="G278">
            <v>-2411.4</v>
          </cell>
        </row>
        <row r="279">
          <cell r="A279" t="str">
            <v>I03</v>
          </cell>
          <cell r="D279">
            <v>73200000</v>
          </cell>
          <cell r="G279">
            <v>-1250.17</v>
          </cell>
        </row>
        <row r="280">
          <cell r="A280" t="str">
            <v>I03</v>
          </cell>
          <cell r="D280">
            <v>73300000</v>
          </cell>
          <cell r="G280">
            <v>0</v>
          </cell>
        </row>
        <row r="281">
          <cell r="A281" t="str">
            <v>I03</v>
          </cell>
          <cell r="D281">
            <v>73620200</v>
          </cell>
          <cell r="G281">
            <v>-7277.08</v>
          </cell>
        </row>
        <row r="282">
          <cell r="A282" t="str">
            <v>I04</v>
          </cell>
          <cell r="D282">
            <v>73200000</v>
          </cell>
          <cell r="G282">
            <v>-1422.89</v>
          </cell>
        </row>
        <row r="283">
          <cell r="A283" t="str">
            <v>I04</v>
          </cell>
          <cell r="D283">
            <v>73200100</v>
          </cell>
          <cell r="G283">
            <v>-3300</v>
          </cell>
        </row>
        <row r="284">
          <cell r="A284" t="str">
            <v>I04</v>
          </cell>
          <cell r="D284">
            <v>73300000</v>
          </cell>
          <cell r="G284">
            <v>0</v>
          </cell>
        </row>
        <row r="285">
          <cell r="A285" t="str">
            <v>I05</v>
          </cell>
          <cell r="D285">
            <v>73200000</v>
          </cell>
          <cell r="G285">
            <v>-25446.73</v>
          </cell>
        </row>
        <row r="286">
          <cell r="A286" t="str">
            <v>I05</v>
          </cell>
          <cell r="D286">
            <v>73300000</v>
          </cell>
          <cell r="G286">
            <v>0</v>
          </cell>
        </row>
        <row r="287">
          <cell r="A287" t="str">
            <v>I06</v>
          </cell>
          <cell r="D287">
            <v>73200000</v>
          </cell>
          <cell r="G287">
            <v>-13035.22</v>
          </cell>
        </row>
        <row r="288">
          <cell r="A288" t="str">
            <v>I06</v>
          </cell>
          <cell r="D288">
            <v>73300000</v>
          </cell>
          <cell r="G288">
            <v>0</v>
          </cell>
        </row>
        <row r="289">
          <cell r="A289" t="str">
            <v>I07</v>
          </cell>
          <cell r="D289">
            <v>73200100</v>
          </cell>
          <cell r="G289">
            <v>-14788.05</v>
          </cell>
        </row>
        <row r="290">
          <cell r="A290" t="str">
            <v>I08</v>
          </cell>
          <cell r="D290">
            <v>73200000</v>
          </cell>
          <cell r="G290">
            <v>-30000</v>
          </cell>
        </row>
        <row r="291">
          <cell r="A291" t="str">
            <v>I20</v>
          </cell>
          <cell r="D291">
            <v>73200000</v>
          </cell>
          <cell r="G291">
            <v>0</v>
          </cell>
        </row>
        <row r="292">
          <cell r="A292" t="str">
            <v>J01</v>
          </cell>
          <cell r="D292">
            <v>73200100</v>
          </cell>
          <cell r="G292">
            <v>-50</v>
          </cell>
        </row>
        <row r="293">
          <cell r="A293" t="str">
            <v>J01</v>
          </cell>
          <cell r="D293">
            <v>73300000</v>
          </cell>
          <cell r="G293">
            <v>118032.34</v>
          </cell>
        </row>
        <row r="294">
          <cell r="A294" t="str">
            <v>J01</v>
          </cell>
          <cell r="D294">
            <v>73720000</v>
          </cell>
          <cell r="G294">
            <v>-1242443.54</v>
          </cell>
        </row>
        <row r="295">
          <cell r="A295" t="str">
            <v>J04</v>
          </cell>
          <cell r="D295">
            <v>73300000</v>
          </cell>
          <cell r="G295">
            <v>20284.07</v>
          </cell>
        </row>
        <row r="296">
          <cell r="A296" t="str">
            <v>J04</v>
          </cell>
          <cell r="D296">
            <v>73720100</v>
          </cell>
          <cell r="G296">
            <v>-3945.76</v>
          </cell>
        </row>
        <row r="297">
          <cell r="A297" t="str">
            <v>J04</v>
          </cell>
          <cell r="D297">
            <v>73720200</v>
          </cell>
          <cell r="G297">
            <v>-320280.05</v>
          </cell>
        </row>
        <row r="298">
          <cell r="A298" t="str">
            <v>J06</v>
          </cell>
          <cell r="D298">
            <v>73300000</v>
          </cell>
          <cell r="G298">
            <v>726.64</v>
          </cell>
        </row>
        <row r="299">
          <cell r="A299" t="str">
            <v>J06</v>
          </cell>
          <cell r="D299">
            <v>73720300</v>
          </cell>
          <cell r="G299">
            <v>-5753.33</v>
          </cell>
        </row>
        <row r="300">
          <cell r="A300" t="str">
            <v>K01</v>
          </cell>
          <cell r="D300">
            <v>73200100</v>
          </cell>
          <cell r="G300">
            <v>-516</v>
          </cell>
        </row>
        <row r="301">
          <cell r="A301" t="str">
            <v>K01</v>
          </cell>
          <cell r="D301">
            <v>73300000</v>
          </cell>
          <cell r="G301">
            <v>23681.67</v>
          </cell>
        </row>
        <row r="302">
          <cell r="A302" t="str">
            <v>K01</v>
          </cell>
          <cell r="D302">
            <v>73710000</v>
          </cell>
          <cell r="G302">
            <v>-165647.04000000001</v>
          </cell>
        </row>
        <row r="303">
          <cell r="A303" t="str">
            <v>K02</v>
          </cell>
          <cell r="D303">
            <v>73300000</v>
          </cell>
          <cell r="G303">
            <v>6336.39</v>
          </cell>
        </row>
        <row r="304">
          <cell r="A304" t="str">
            <v>K02</v>
          </cell>
          <cell r="D304">
            <v>73710500</v>
          </cell>
          <cell r="G304">
            <v>-55973.57</v>
          </cell>
        </row>
        <row r="305">
          <cell r="A305" t="str">
            <v>K02</v>
          </cell>
          <cell r="D305">
            <v>73730600</v>
          </cell>
          <cell r="G305">
            <v>-125.41</v>
          </cell>
        </row>
        <row r="306">
          <cell r="A306" t="str">
            <v>K03</v>
          </cell>
          <cell r="D306">
            <v>73300000</v>
          </cell>
          <cell r="G306">
            <v>5237.9799999999996</v>
          </cell>
        </row>
        <row r="307">
          <cell r="A307" t="str">
            <v>K03</v>
          </cell>
          <cell r="D307">
            <v>73710600</v>
          </cell>
          <cell r="G307">
            <v>-38647.03</v>
          </cell>
        </row>
        <row r="308">
          <cell r="A308" t="str">
            <v>K04</v>
          </cell>
          <cell r="D308">
            <v>73300000</v>
          </cell>
          <cell r="G308">
            <v>10944.78</v>
          </cell>
        </row>
        <row r="309">
          <cell r="A309" t="str">
            <v>K04</v>
          </cell>
          <cell r="D309">
            <v>73710100</v>
          </cell>
          <cell r="G309">
            <v>-101609.65</v>
          </cell>
        </row>
        <row r="310">
          <cell r="A310" t="str">
            <v>K04</v>
          </cell>
          <cell r="D310">
            <v>73710200</v>
          </cell>
          <cell r="G310">
            <v>-23987.7</v>
          </cell>
        </row>
        <row r="311">
          <cell r="A311" t="str">
            <v>O02</v>
          </cell>
          <cell r="D311">
            <v>73300000</v>
          </cell>
          <cell r="G311">
            <v>35937.72</v>
          </cell>
        </row>
        <row r="312">
          <cell r="A312" t="str">
            <v>O02</v>
          </cell>
          <cell r="D312">
            <v>73800100</v>
          </cell>
          <cell r="G312">
            <v>-395315</v>
          </cell>
        </row>
        <row r="313">
          <cell r="A313" t="str">
            <v>O02</v>
          </cell>
          <cell r="D313">
            <v>73809900</v>
          </cell>
          <cell r="G313">
            <v>-24809.75</v>
          </cell>
        </row>
        <row r="314">
          <cell r="A314" t="str">
            <v>O08</v>
          </cell>
          <cell r="D314">
            <v>73300000</v>
          </cell>
          <cell r="G314">
            <v>192309.18</v>
          </cell>
        </row>
        <row r="315">
          <cell r="A315" t="str">
            <v>O08</v>
          </cell>
          <cell r="D315">
            <v>73800300</v>
          </cell>
          <cell r="G315">
            <v>-1652526.54</v>
          </cell>
        </row>
        <row r="316">
          <cell r="A316" t="str">
            <v>O08</v>
          </cell>
          <cell r="D316">
            <v>73810200</v>
          </cell>
          <cell r="G316">
            <v>-462874.5</v>
          </cell>
        </row>
        <row r="317">
          <cell r="A317" t="str">
            <v>O13</v>
          </cell>
          <cell r="D317">
            <v>73300000</v>
          </cell>
          <cell r="G317">
            <v>11737.98</v>
          </cell>
        </row>
        <row r="318">
          <cell r="A318" t="str">
            <v>O13</v>
          </cell>
          <cell r="D318">
            <v>73801300</v>
          </cell>
          <cell r="G318">
            <v>-129117.63</v>
          </cell>
        </row>
        <row r="319">
          <cell r="A319" t="str">
            <v>O22</v>
          </cell>
          <cell r="D319">
            <v>73300000</v>
          </cell>
          <cell r="G319">
            <v>19653</v>
          </cell>
        </row>
        <row r="320">
          <cell r="A320" t="str">
            <v>O22</v>
          </cell>
          <cell r="D320">
            <v>73801900</v>
          </cell>
          <cell r="G320">
            <v>-216183</v>
          </cell>
        </row>
        <row r="321">
          <cell r="A321" t="str">
            <v>O23</v>
          </cell>
          <cell r="D321">
            <v>73300000</v>
          </cell>
          <cell r="G321">
            <v>83454.52</v>
          </cell>
        </row>
        <row r="322">
          <cell r="A322" t="str">
            <v>O23</v>
          </cell>
          <cell r="D322">
            <v>73802000</v>
          </cell>
          <cell r="G322">
            <v>-918000</v>
          </cell>
        </row>
        <row r="323">
          <cell r="A323" t="str">
            <v>O24</v>
          </cell>
          <cell r="D323">
            <v>73300000</v>
          </cell>
          <cell r="G323">
            <v>11045.51</v>
          </cell>
        </row>
        <row r="324">
          <cell r="A324" t="str">
            <v>O24</v>
          </cell>
          <cell r="D324">
            <v>73800600</v>
          </cell>
          <cell r="G324">
            <v>-121500.22</v>
          </cell>
        </row>
        <row r="325">
          <cell r="A325" t="str">
            <v>O25</v>
          </cell>
          <cell r="D325">
            <v>73300000</v>
          </cell>
          <cell r="G325">
            <v>25211.65</v>
          </cell>
        </row>
        <row r="326">
          <cell r="A326" t="str">
            <v>O25</v>
          </cell>
          <cell r="D326">
            <v>73800600</v>
          </cell>
          <cell r="G326">
            <v>-277328.36</v>
          </cell>
        </row>
        <row r="327">
          <cell r="A327" t="str">
            <v>O26</v>
          </cell>
          <cell r="D327">
            <v>73300000</v>
          </cell>
          <cell r="G327">
            <v>22040.97</v>
          </cell>
        </row>
        <row r="328">
          <cell r="A328" t="str">
            <v>O26</v>
          </cell>
          <cell r="D328">
            <v>73800600</v>
          </cell>
          <cell r="G328">
            <v>-242450.37</v>
          </cell>
        </row>
        <row r="329">
          <cell r="A329" t="str">
            <v>O27</v>
          </cell>
          <cell r="D329">
            <v>73300000</v>
          </cell>
          <cell r="G329">
            <v>15716.05</v>
          </cell>
        </row>
        <row r="330">
          <cell r="A330" t="str">
            <v>O27</v>
          </cell>
          <cell r="D330">
            <v>73800600</v>
          </cell>
          <cell r="G330">
            <v>-172876.66</v>
          </cell>
        </row>
        <row r="331">
          <cell r="A331" t="str">
            <v>O29</v>
          </cell>
          <cell r="D331">
            <v>73300000</v>
          </cell>
          <cell r="G331">
            <v>9501.3799999999992</v>
          </cell>
        </row>
        <row r="332">
          <cell r="A332" t="str">
            <v>O29</v>
          </cell>
          <cell r="D332">
            <v>73800600</v>
          </cell>
          <cell r="G332">
            <v>-104515.43</v>
          </cell>
        </row>
        <row r="333">
          <cell r="A333" t="str">
            <v>O30</v>
          </cell>
          <cell r="D333">
            <v>73300000</v>
          </cell>
          <cell r="G333">
            <v>14169.62</v>
          </cell>
        </row>
        <row r="334">
          <cell r="A334" t="str">
            <v>O30</v>
          </cell>
          <cell r="D334">
            <v>73600300</v>
          </cell>
          <cell r="G334">
            <v>-3110.08</v>
          </cell>
        </row>
        <row r="335">
          <cell r="A335" t="str">
            <v>O30</v>
          </cell>
          <cell r="D335">
            <v>73800600</v>
          </cell>
          <cell r="G335">
            <v>-155866.18</v>
          </cell>
        </row>
        <row r="336">
          <cell r="A336" t="str">
            <v>O31</v>
          </cell>
          <cell r="D336">
            <v>73300000</v>
          </cell>
          <cell r="G336">
            <v>9452.3700000000008</v>
          </cell>
        </row>
        <row r="337">
          <cell r="A337" t="str">
            <v>O31</v>
          </cell>
          <cell r="D337">
            <v>73800600</v>
          </cell>
          <cell r="G337">
            <v>-103975.78</v>
          </cell>
        </row>
        <row r="338">
          <cell r="A338" t="str">
            <v>O33</v>
          </cell>
          <cell r="D338">
            <v>73300000</v>
          </cell>
          <cell r="G338">
            <v>2791.34</v>
          </cell>
        </row>
        <row r="339">
          <cell r="A339" t="str">
            <v>O33</v>
          </cell>
          <cell r="D339">
            <v>73800100</v>
          </cell>
          <cell r="G339">
            <v>-30704.68</v>
          </cell>
        </row>
        <row r="340">
          <cell r="A340" t="str">
            <v>P01</v>
          </cell>
          <cell r="D340">
            <v>73300000</v>
          </cell>
          <cell r="G340">
            <v>20214.400000000001</v>
          </cell>
        </row>
        <row r="341">
          <cell r="A341" t="str">
            <v>P01</v>
          </cell>
          <cell r="D341">
            <v>73600000</v>
          </cell>
          <cell r="G341">
            <v>-3945.44</v>
          </cell>
        </row>
        <row r="342">
          <cell r="A342" t="str">
            <v>P01</v>
          </cell>
          <cell r="D342">
            <v>73700100</v>
          </cell>
          <cell r="G342">
            <v>-182821.41</v>
          </cell>
        </row>
        <row r="343">
          <cell r="A343" t="str">
            <v>P08</v>
          </cell>
          <cell r="D343">
            <v>73300000</v>
          </cell>
          <cell r="G343">
            <v>7316.79</v>
          </cell>
        </row>
        <row r="344">
          <cell r="A344" t="str">
            <v>P08</v>
          </cell>
          <cell r="D344">
            <v>73600000</v>
          </cell>
          <cell r="G344">
            <v>-1707.84</v>
          </cell>
        </row>
        <row r="345">
          <cell r="A345" t="str">
            <v>P08</v>
          </cell>
          <cell r="D345">
            <v>73700500</v>
          </cell>
          <cell r="G345">
            <v>-54710.82</v>
          </cell>
        </row>
        <row r="346">
          <cell r="A346" t="str">
            <v>P12</v>
          </cell>
          <cell r="D346">
            <v>73300000</v>
          </cell>
          <cell r="G346">
            <v>10527.14</v>
          </cell>
        </row>
        <row r="347">
          <cell r="A347" t="str">
            <v>P12</v>
          </cell>
          <cell r="D347">
            <v>73701000</v>
          </cell>
          <cell r="G347">
            <v>-65913.58</v>
          </cell>
        </row>
        <row r="348">
          <cell r="A348" t="str">
            <v>P13</v>
          </cell>
          <cell r="D348">
            <v>73300000</v>
          </cell>
          <cell r="G348">
            <v>8843.2800000000007</v>
          </cell>
        </row>
        <row r="349">
          <cell r="A349" t="str">
            <v>P13</v>
          </cell>
          <cell r="D349">
            <v>73701000</v>
          </cell>
          <cell r="G349">
            <v>-50853.77</v>
          </cell>
        </row>
        <row r="350">
          <cell r="A350" t="str">
            <v>P14</v>
          </cell>
          <cell r="D350">
            <v>73300000</v>
          </cell>
          <cell r="G350">
            <v>19979.23</v>
          </cell>
        </row>
        <row r="351">
          <cell r="A351" t="str">
            <v>P14</v>
          </cell>
          <cell r="D351">
            <v>73701100</v>
          </cell>
          <cell r="G351">
            <v>-151648.65</v>
          </cell>
        </row>
        <row r="352">
          <cell r="A352" t="str">
            <v>P15</v>
          </cell>
          <cell r="D352">
            <v>73701200</v>
          </cell>
          <cell r="G352">
            <v>-59577.16</v>
          </cell>
        </row>
        <row r="353">
          <cell r="A353" t="str">
            <v>P16</v>
          </cell>
          <cell r="D353">
            <v>73300000</v>
          </cell>
          <cell r="G353">
            <v>7081.4</v>
          </cell>
        </row>
        <row r="354">
          <cell r="A354" t="str">
            <v>P16</v>
          </cell>
          <cell r="D354">
            <v>73701300</v>
          </cell>
          <cell r="G354">
            <v>-59678.6</v>
          </cell>
        </row>
        <row r="355">
          <cell r="A355" t="str">
            <v>P16</v>
          </cell>
          <cell r="D355">
            <v>73730590</v>
          </cell>
          <cell r="G355">
            <v>0</v>
          </cell>
        </row>
        <row r="356">
          <cell r="A356" t="str">
            <v>P17</v>
          </cell>
          <cell r="D356">
            <v>73300000</v>
          </cell>
          <cell r="G356">
            <v>711.31</v>
          </cell>
        </row>
        <row r="357">
          <cell r="A357" t="str">
            <v>P17</v>
          </cell>
          <cell r="D357">
            <v>73701500</v>
          </cell>
          <cell r="G357">
            <v>-8348.82</v>
          </cell>
        </row>
        <row r="358">
          <cell r="A358" t="str">
            <v>P18</v>
          </cell>
          <cell r="D358">
            <v>73300000</v>
          </cell>
          <cell r="G358">
            <v>3422.11</v>
          </cell>
        </row>
        <row r="359">
          <cell r="A359" t="str">
            <v>P18</v>
          </cell>
          <cell r="D359">
            <v>73701400</v>
          </cell>
          <cell r="G359">
            <v>-30913.1</v>
          </cell>
        </row>
        <row r="360">
          <cell r="A360" t="str">
            <v>R07</v>
          </cell>
          <cell r="D360">
            <v>73300000</v>
          </cell>
          <cell r="G360">
            <v>0</v>
          </cell>
        </row>
        <row r="361">
          <cell r="A361" t="str">
            <v>R07</v>
          </cell>
          <cell r="D361">
            <v>73730400</v>
          </cell>
          <cell r="G361">
            <v>-33000</v>
          </cell>
        </row>
        <row r="362">
          <cell r="A362" t="str">
            <v>R17</v>
          </cell>
          <cell r="D362">
            <v>73300000</v>
          </cell>
          <cell r="G362">
            <v>0</v>
          </cell>
        </row>
        <row r="363">
          <cell r="A363" t="str">
            <v>R17</v>
          </cell>
          <cell r="D363">
            <v>73830300</v>
          </cell>
          <cell r="G363">
            <v>-53735.71</v>
          </cell>
        </row>
        <row r="364">
          <cell r="A364" t="str">
            <v>R24</v>
          </cell>
          <cell r="D364">
            <v>73300000</v>
          </cell>
          <cell r="G364">
            <v>0</v>
          </cell>
        </row>
        <row r="365">
          <cell r="A365" t="str">
            <v>R24</v>
          </cell>
          <cell r="D365">
            <v>73730400</v>
          </cell>
          <cell r="G365">
            <v>0</v>
          </cell>
        </row>
        <row r="366">
          <cell r="A366" t="str">
            <v>R26</v>
          </cell>
          <cell r="D366">
            <v>73200100</v>
          </cell>
          <cell r="G366">
            <v>-300</v>
          </cell>
        </row>
        <row r="367">
          <cell r="A367" t="str">
            <v>R26</v>
          </cell>
          <cell r="D367">
            <v>73300000</v>
          </cell>
          <cell r="G367">
            <v>0</v>
          </cell>
        </row>
        <row r="368">
          <cell r="A368" t="str">
            <v>R26</v>
          </cell>
          <cell r="D368">
            <v>73840700</v>
          </cell>
          <cell r="G368">
            <v>-16000</v>
          </cell>
        </row>
        <row r="369">
          <cell r="A369" t="str">
            <v>R29</v>
          </cell>
          <cell r="D369">
            <v>73300000</v>
          </cell>
          <cell r="G369">
            <v>0</v>
          </cell>
        </row>
        <row r="370">
          <cell r="A370" t="str">
            <v>R29</v>
          </cell>
          <cell r="D370">
            <v>73840000</v>
          </cell>
          <cell r="G370">
            <v>-24739.4</v>
          </cell>
        </row>
        <row r="371">
          <cell r="A371" t="str">
            <v>R32</v>
          </cell>
          <cell r="D371">
            <v>73300000</v>
          </cell>
          <cell r="G371">
            <v>0</v>
          </cell>
        </row>
        <row r="372">
          <cell r="A372" t="str">
            <v>R32</v>
          </cell>
          <cell r="D372">
            <v>73730580</v>
          </cell>
          <cell r="G372">
            <v>-21030.49</v>
          </cell>
        </row>
        <row r="373">
          <cell r="A373" t="str">
            <v>R33</v>
          </cell>
          <cell r="D373">
            <v>73300000</v>
          </cell>
          <cell r="G373">
            <v>0</v>
          </cell>
        </row>
        <row r="374">
          <cell r="A374" t="str">
            <v>R34</v>
          </cell>
          <cell r="D374">
            <v>73300000</v>
          </cell>
          <cell r="G374">
            <v>0</v>
          </cell>
        </row>
        <row r="375">
          <cell r="A375" t="str">
            <v>R34</v>
          </cell>
          <cell r="D375">
            <v>73700900</v>
          </cell>
          <cell r="G375">
            <v>-31486.35</v>
          </cell>
        </row>
        <row r="376">
          <cell r="A376" t="str">
            <v>R36</v>
          </cell>
          <cell r="D376">
            <v>73840800</v>
          </cell>
          <cell r="G376">
            <v>-39964.400000000001</v>
          </cell>
        </row>
        <row r="377">
          <cell r="A377" t="str">
            <v>S01</v>
          </cell>
          <cell r="D377">
            <v>73300000</v>
          </cell>
          <cell r="G377">
            <v>7949.56</v>
          </cell>
        </row>
        <row r="378">
          <cell r="A378" t="str">
            <v>S01</v>
          </cell>
          <cell r="D378">
            <v>73811000</v>
          </cell>
          <cell r="G378">
            <v>-87445.57</v>
          </cell>
        </row>
        <row r="379">
          <cell r="A379" t="str">
            <v>S02</v>
          </cell>
          <cell r="D379">
            <v>73300000</v>
          </cell>
          <cell r="G379">
            <v>21555.82</v>
          </cell>
        </row>
        <row r="380">
          <cell r="A380" t="str">
            <v>S02</v>
          </cell>
          <cell r="D380">
            <v>73810900</v>
          </cell>
          <cell r="G380">
            <v>-237114</v>
          </cell>
        </row>
        <row r="381">
          <cell r="A381" t="str">
            <v>S05</v>
          </cell>
          <cell r="D381">
            <v>73200100</v>
          </cell>
          <cell r="G381">
            <v>-50</v>
          </cell>
        </row>
        <row r="382">
          <cell r="A382" t="str">
            <v>S05</v>
          </cell>
          <cell r="D382">
            <v>73300000</v>
          </cell>
          <cell r="G382">
            <v>130113.61</v>
          </cell>
        </row>
        <row r="383">
          <cell r="A383" t="str">
            <v>S05</v>
          </cell>
          <cell r="D383">
            <v>73810300</v>
          </cell>
          <cell r="G383">
            <v>-1431250</v>
          </cell>
        </row>
        <row r="384">
          <cell r="A384" t="str">
            <v>S08</v>
          </cell>
          <cell r="D384">
            <v>73200000</v>
          </cell>
          <cell r="G384">
            <v>0</v>
          </cell>
        </row>
        <row r="385">
          <cell r="A385" t="str">
            <v>S08</v>
          </cell>
          <cell r="D385">
            <v>73300000</v>
          </cell>
          <cell r="G385">
            <v>78020.28</v>
          </cell>
        </row>
        <row r="386">
          <cell r="A386" t="str">
            <v>S08</v>
          </cell>
          <cell r="D386">
            <v>73810500</v>
          </cell>
          <cell r="G386">
            <v>-858223</v>
          </cell>
        </row>
        <row r="387">
          <cell r="A387" t="str">
            <v>S09</v>
          </cell>
          <cell r="D387">
            <v>73300000</v>
          </cell>
          <cell r="G387">
            <v>20421.95</v>
          </cell>
        </row>
        <row r="388">
          <cell r="A388" t="str">
            <v>S09</v>
          </cell>
          <cell r="D388">
            <v>73730600</v>
          </cell>
          <cell r="G388">
            <v>-4697.04</v>
          </cell>
        </row>
        <row r="389">
          <cell r="A389" t="str">
            <v>S09</v>
          </cell>
          <cell r="D389">
            <v>73810100</v>
          </cell>
          <cell r="G389">
            <v>-224641</v>
          </cell>
        </row>
        <row r="390">
          <cell r="A390" t="str">
            <v>S13</v>
          </cell>
          <cell r="D390">
            <v>73300000</v>
          </cell>
          <cell r="G390">
            <v>27121.38</v>
          </cell>
        </row>
        <row r="391">
          <cell r="A391" t="str">
            <v>S13</v>
          </cell>
          <cell r="D391">
            <v>73811400</v>
          </cell>
          <cell r="G391">
            <v>-298335</v>
          </cell>
        </row>
        <row r="392">
          <cell r="A392" t="str">
            <v>S16</v>
          </cell>
          <cell r="D392">
            <v>73300000</v>
          </cell>
          <cell r="G392">
            <v>65882.75</v>
          </cell>
        </row>
        <row r="393">
          <cell r="A393" t="str">
            <v>S16</v>
          </cell>
          <cell r="D393">
            <v>73730600</v>
          </cell>
          <cell r="G393">
            <v>-1666.13</v>
          </cell>
        </row>
        <row r="394">
          <cell r="A394" t="str">
            <v>S16</v>
          </cell>
          <cell r="D394">
            <v>73810700</v>
          </cell>
          <cell r="G394">
            <v>-724710</v>
          </cell>
        </row>
        <row r="395">
          <cell r="A395" t="str">
            <v>S18</v>
          </cell>
          <cell r="D395">
            <v>73300000</v>
          </cell>
          <cell r="G395">
            <v>12976.67</v>
          </cell>
        </row>
        <row r="396">
          <cell r="A396" t="str">
            <v>S18</v>
          </cell>
          <cell r="D396">
            <v>73811100</v>
          </cell>
          <cell r="G396">
            <v>-142743</v>
          </cell>
        </row>
        <row r="397">
          <cell r="A397" t="str">
            <v>S19</v>
          </cell>
          <cell r="D397">
            <v>73200100</v>
          </cell>
          <cell r="G397">
            <v>-500</v>
          </cell>
        </row>
        <row r="398">
          <cell r="A398" t="str">
            <v>S19</v>
          </cell>
          <cell r="D398">
            <v>73300000</v>
          </cell>
          <cell r="G398">
            <v>26807.7</v>
          </cell>
        </row>
        <row r="399">
          <cell r="A399" t="str">
            <v>S19</v>
          </cell>
          <cell r="D399">
            <v>73811300</v>
          </cell>
          <cell r="G399">
            <v>-294884.74</v>
          </cell>
        </row>
        <row r="400">
          <cell r="A400" t="str">
            <v>S20</v>
          </cell>
          <cell r="D400">
            <v>73300000</v>
          </cell>
          <cell r="G400">
            <v>12768.58</v>
          </cell>
        </row>
        <row r="401">
          <cell r="A401" t="str">
            <v>S20</v>
          </cell>
          <cell r="D401">
            <v>73811600</v>
          </cell>
          <cell r="G401">
            <v>-140454</v>
          </cell>
        </row>
        <row r="402">
          <cell r="A402" t="str">
            <v>S28</v>
          </cell>
          <cell r="D402">
            <v>73300000</v>
          </cell>
          <cell r="G402">
            <v>2900.06</v>
          </cell>
        </row>
        <row r="403">
          <cell r="A403" t="str">
            <v>S28</v>
          </cell>
          <cell r="D403">
            <v>73810400</v>
          </cell>
          <cell r="G403">
            <v>-31900.25</v>
          </cell>
        </row>
        <row r="404">
          <cell r="A404" t="str">
            <v>S29</v>
          </cell>
          <cell r="D404">
            <v>73300000</v>
          </cell>
          <cell r="G404">
            <v>14502.59</v>
          </cell>
        </row>
        <row r="405">
          <cell r="A405" t="str">
            <v>S29</v>
          </cell>
          <cell r="D405">
            <v>73811500</v>
          </cell>
          <cell r="G405">
            <v>-159528.32999999999</v>
          </cell>
        </row>
        <row r="406">
          <cell r="A406" t="str">
            <v>S35</v>
          </cell>
          <cell r="D406">
            <v>73300000</v>
          </cell>
          <cell r="G406">
            <v>11611.84</v>
          </cell>
        </row>
        <row r="407">
          <cell r="A407" t="str">
            <v>S35</v>
          </cell>
          <cell r="D407">
            <v>73812500</v>
          </cell>
          <cell r="G407">
            <v>-127730.08</v>
          </cell>
        </row>
        <row r="408">
          <cell r="A408" t="str">
            <v>S36</v>
          </cell>
          <cell r="D408">
            <v>73200000</v>
          </cell>
          <cell r="G408">
            <v>-200</v>
          </cell>
        </row>
        <row r="409">
          <cell r="A409" t="str">
            <v>S36</v>
          </cell>
          <cell r="D409">
            <v>73300000</v>
          </cell>
          <cell r="G409">
            <v>11113.36</v>
          </cell>
        </row>
        <row r="410">
          <cell r="A410" t="str">
            <v>S36</v>
          </cell>
          <cell r="D410">
            <v>73611200</v>
          </cell>
          <cell r="G410">
            <v>-5000</v>
          </cell>
        </row>
        <row r="411">
          <cell r="A411" t="str">
            <v>S36</v>
          </cell>
          <cell r="D411">
            <v>73812600</v>
          </cell>
          <cell r="G411">
            <v>-122247</v>
          </cell>
        </row>
        <row r="412">
          <cell r="A412" t="str">
            <v>S42</v>
          </cell>
          <cell r="D412">
            <v>73200000</v>
          </cell>
          <cell r="G412">
            <v>-2600</v>
          </cell>
        </row>
        <row r="413">
          <cell r="A413" t="str">
            <v>S42</v>
          </cell>
          <cell r="D413">
            <v>73300000</v>
          </cell>
          <cell r="G413">
            <v>23400.27</v>
          </cell>
        </row>
        <row r="414">
          <cell r="A414" t="str">
            <v>S42</v>
          </cell>
          <cell r="D414">
            <v>73813300</v>
          </cell>
          <cell r="G414">
            <v>-257403</v>
          </cell>
        </row>
        <row r="415">
          <cell r="A415" t="str">
            <v>S46</v>
          </cell>
          <cell r="D415">
            <v>73300000</v>
          </cell>
          <cell r="G415">
            <v>2900.52</v>
          </cell>
        </row>
        <row r="416">
          <cell r="A416" t="str">
            <v>S46</v>
          </cell>
          <cell r="D416">
            <v>73814100</v>
          </cell>
          <cell r="G416">
            <v>-31905.67</v>
          </cell>
        </row>
        <row r="417">
          <cell r="A417" t="str">
            <v>S50</v>
          </cell>
          <cell r="D417">
            <v>73300000</v>
          </cell>
          <cell r="G417">
            <v>5909.05</v>
          </cell>
        </row>
        <row r="418">
          <cell r="A418" t="str">
            <v>S50</v>
          </cell>
          <cell r="D418">
            <v>73813800</v>
          </cell>
          <cell r="G418">
            <v>-65000</v>
          </cell>
        </row>
        <row r="419">
          <cell r="A419" t="str">
            <v>S54</v>
          </cell>
          <cell r="D419">
            <v>73300000</v>
          </cell>
          <cell r="G419">
            <v>68730.69</v>
          </cell>
        </row>
        <row r="420">
          <cell r="A420" t="str">
            <v>S54</v>
          </cell>
          <cell r="D420">
            <v>73810800</v>
          </cell>
          <cell r="G420">
            <v>-756037.77</v>
          </cell>
        </row>
        <row r="421">
          <cell r="A421" t="str">
            <v>S55</v>
          </cell>
          <cell r="D421">
            <v>73200100</v>
          </cell>
          <cell r="G421">
            <v>0</v>
          </cell>
        </row>
        <row r="422">
          <cell r="A422" t="str">
            <v>S55</v>
          </cell>
          <cell r="D422">
            <v>73814300</v>
          </cell>
          <cell r="G422">
            <v>-15000</v>
          </cell>
        </row>
        <row r="423">
          <cell r="A423" t="str">
            <v>S57</v>
          </cell>
          <cell r="D423">
            <v>73300000</v>
          </cell>
          <cell r="G423">
            <v>6789.92</v>
          </cell>
        </row>
        <row r="424">
          <cell r="A424" t="str">
            <v>S57</v>
          </cell>
          <cell r="D424">
            <v>73813200</v>
          </cell>
          <cell r="G424">
            <v>-74689.149999999994</v>
          </cell>
        </row>
      </sheetData>
      <sheetData sheetId="1">
        <row r="1">
          <cell r="B1" t="str">
            <v>Rekening(account)</v>
          </cell>
          <cell r="F1" t="str">
            <v>Nummer(Ref)</v>
          </cell>
          <cell r="K1" t="str">
            <v>Saldo(balanceN)</v>
          </cell>
        </row>
        <row r="2">
          <cell r="B2">
            <v>73300000</v>
          </cell>
          <cell r="F2" t="str">
            <v>A01</v>
          </cell>
          <cell r="K2">
            <v>-62614.992859813799</v>
          </cell>
        </row>
        <row r="3">
          <cell r="B3">
            <v>73700000</v>
          </cell>
          <cell r="F3" t="str">
            <v>A01</v>
          </cell>
          <cell r="K3">
            <v>405052.13063484698</v>
          </cell>
        </row>
        <row r="4">
          <cell r="B4">
            <v>73820000</v>
          </cell>
          <cell r="F4" t="str">
            <v>A01</v>
          </cell>
          <cell r="K4">
            <v>12381.155097245</v>
          </cell>
        </row>
        <row r="5">
          <cell r="B5">
            <v>73300000</v>
          </cell>
          <cell r="F5" t="str">
            <v>A02</v>
          </cell>
          <cell r="K5">
            <v>39131.297252572796</v>
          </cell>
        </row>
        <row r="6">
          <cell r="B6">
            <v>73600000</v>
          </cell>
          <cell r="F6" t="str">
            <v>A02</v>
          </cell>
          <cell r="K6">
            <v>-3816.6725288898001</v>
          </cell>
        </row>
        <row r="7">
          <cell r="B7">
            <v>73700000</v>
          </cell>
          <cell r="F7" t="str">
            <v>A02</v>
          </cell>
          <cell r="K7">
            <v>-253137.70077633901</v>
          </cell>
        </row>
        <row r="8">
          <cell r="B8">
            <v>73820000</v>
          </cell>
          <cell r="F8" t="str">
            <v>A02</v>
          </cell>
          <cell r="K8">
            <v>-7737.61424081306</v>
          </cell>
        </row>
        <row r="9">
          <cell r="B9">
            <v>73300000</v>
          </cell>
          <cell r="F9" t="str">
            <v>A03</v>
          </cell>
          <cell r="K9">
            <v>46796.5304218811</v>
          </cell>
        </row>
        <row r="10">
          <cell r="B10">
            <v>73600300</v>
          </cell>
          <cell r="F10" t="str">
            <v>A03</v>
          </cell>
          <cell r="K10">
            <v>-4746.8138755068903</v>
          </cell>
        </row>
        <row r="11">
          <cell r="B11">
            <v>73700000</v>
          </cell>
          <cell r="F11" t="str">
            <v>A03</v>
          </cell>
          <cell r="K11">
            <v>-302723.57286918501</v>
          </cell>
        </row>
        <row r="12">
          <cell r="B12">
            <v>73820000</v>
          </cell>
          <cell r="F12" t="str">
            <v>A03</v>
          </cell>
          <cell r="K12">
            <v>-9253.2966100218491</v>
          </cell>
        </row>
        <row r="13">
          <cell r="B13">
            <v>73200100</v>
          </cell>
          <cell r="F13" t="str">
            <v>A04</v>
          </cell>
          <cell r="K13">
            <v>-360</v>
          </cell>
        </row>
        <row r="14">
          <cell r="B14">
            <v>73300000</v>
          </cell>
          <cell r="F14" t="str">
            <v>A04</v>
          </cell>
          <cell r="K14">
            <v>73483.915613531703</v>
          </cell>
        </row>
        <row r="15">
          <cell r="B15">
            <v>73700000</v>
          </cell>
          <cell r="F15" t="str">
            <v>A04</v>
          </cell>
          <cell r="K15">
            <v>-475362.452780144</v>
          </cell>
        </row>
        <row r="16">
          <cell r="B16">
            <v>73820000</v>
          </cell>
          <cell r="F16" t="str">
            <v>A04</v>
          </cell>
          <cell r="K16">
            <v>-14530.317976733701</v>
          </cell>
        </row>
        <row r="17">
          <cell r="B17">
            <v>73300000</v>
          </cell>
          <cell r="F17" t="str">
            <v>A05</v>
          </cell>
          <cell r="K17">
            <v>121315.75578708699</v>
          </cell>
        </row>
        <row r="18">
          <cell r="B18">
            <v>73700000</v>
          </cell>
          <cell r="F18" t="str">
            <v>A05</v>
          </cell>
          <cell r="K18">
            <v>-784783.37402596802</v>
          </cell>
        </row>
        <row r="19">
          <cell r="B19">
            <v>73820000</v>
          </cell>
          <cell r="F19" t="str">
            <v>A05</v>
          </cell>
          <cell r="K19">
            <v>-23988.331221282198</v>
          </cell>
        </row>
        <row r="20">
          <cell r="B20">
            <v>73300000</v>
          </cell>
          <cell r="F20" t="str">
            <v>A06</v>
          </cell>
          <cell r="K20">
            <v>48450.154016525099</v>
          </cell>
        </row>
        <row r="21">
          <cell r="B21">
            <v>73700000</v>
          </cell>
          <cell r="F21" t="str">
            <v>A06</v>
          </cell>
          <cell r="K21">
            <v>-313420.75144713698</v>
          </cell>
        </row>
        <row r="22">
          <cell r="B22">
            <v>73820000</v>
          </cell>
          <cell r="F22" t="str">
            <v>A06</v>
          </cell>
          <cell r="K22">
            <v>-9580.2753296966894</v>
          </cell>
        </row>
        <row r="23">
          <cell r="B23">
            <v>73300000</v>
          </cell>
          <cell r="F23" t="str">
            <v>A08</v>
          </cell>
          <cell r="K23">
            <v>45366.952278651101</v>
          </cell>
        </row>
        <row r="24">
          <cell r="B24">
            <v>73700000</v>
          </cell>
          <cell r="F24" t="str">
            <v>A08</v>
          </cell>
          <cell r="K24">
            <v>-293475.72908006702</v>
          </cell>
        </row>
        <row r="25">
          <cell r="B25">
            <v>73820000</v>
          </cell>
          <cell r="F25" t="str">
            <v>A08</v>
          </cell>
          <cell r="K25">
            <v>-8970.6194442735396</v>
          </cell>
        </row>
        <row r="26">
          <cell r="B26">
            <v>73200100</v>
          </cell>
          <cell r="F26" t="str">
            <v>A10</v>
          </cell>
          <cell r="K26">
            <v>-1047.2933333333301</v>
          </cell>
        </row>
        <row r="27">
          <cell r="B27">
            <v>73300000</v>
          </cell>
          <cell r="F27" t="str">
            <v>A10</v>
          </cell>
          <cell r="K27">
            <v>170926.97515926801</v>
          </cell>
        </row>
        <row r="28">
          <cell r="B28">
            <v>73700000</v>
          </cell>
          <cell r="F28" t="str">
            <v>A10</v>
          </cell>
          <cell r="K28">
            <v>-1105714.9782998001</v>
          </cell>
        </row>
        <row r="29">
          <cell r="B29">
            <v>73820000</v>
          </cell>
          <cell r="F29" t="str">
            <v>A10</v>
          </cell>
          <cell r="K29">
            <v>-33798.189428654703</v>
          </cell>
        </row>
        <row r="30">
          <cell r="B30">
            <v>73300000</v>
          </cell>
          <cell r="F30" t="str">
            <v>A11</v>
          </cell>
          <cell r="K30">
            <v>113778.893889996</v>
          </cell>
        </row>
        <row r="31">
          <cell r="B31">
            <v>73600600</v>
          </cell>
          <cell r="F31" t="str">
            <v>A11</v>
          </cell>
          <cell r="K31">
            <v>-19162</v>
          </cell>
        </row>
        <row r="32">
          <cell r="B32">
            <v>73700000</v>
          </cell>
          <cell r="F32" t="str">
            <v>A11</v>
          </cell>
          <cell r="K32">
            <v>-736027.92696311499</v>
          </cell>
        </row>
        <row r="33">
          <cell r="B33">
            <v>73820000</v>
          </cell>
          <cell r="F33" t="str">
            <v>A11</v>
          </cell>
          <cell r="K33">
            <v>-22498.0323035242</v>
          </cell>
        </row>
        <row r="34">
          <cell r="B34">
            <v>73300000</v>
          </cell>
          <cell r="F34" t="str">
            <v>A12</v>
          </cell>
          <cell r="K34">
            <v>134947.78805867399</v>
          </cell>
        </row>
        <row r="35">
          <cell r="B35">
            <v>73610000</v>
          </cell>
          <cell r="F35" t="str">
            <v>A12</v>
          </cell>
          <cell r="K35">
            <v>-4000</v>
          </cell>
        </row>
        <row r="36">
          <cell r="B36">
            <v>73700000</v>
          </cell>
          <cell r="F36" t="str">
            <v>A12</v>
          </cell>
          <cell r="K36">
            <v>-872968.06373521395</v>
          </cell>
        </row>
        <row r="37">
          <cell r="B37">
            <v>73820000</v>
          </cell>
          <cell r="F37" t="str">
            <v>A12</v>
          </cell>
          <cell r="K37">
            <v>-26683.85665595</v>
          </cell>
        </row>
        <row r="38">
          <cell r="B38">
            <v>73300000</v>
          </cell>
          <cell r="F38" t="str">
            <v>A15</v>
          </cell>
          <cell r="K38">
            <v>78206.404390034295</v>
          </cell>
        </row>
        <row r="39">
          <cell r="B39">
            <v>73600200</v>
          </cell>
          <cell r="F39" t="str">
            <v>A15</v>
          </cell>
          <cell r="K39">
            <v>-3997.8550388244098</v>
          </cell>
        </row>
        <row r="40">
          <cell r="B40">
            <v>73610200</v>
          </cell>
          <cell r="F40" t="str">
            <v>A15</v>
          </cell>
          <cell r="K40">
            <v>-1900.60088943095</v>
          </cell>
        </row>
        <row r="41">
          <cell r="B41">
            <v>73700000</v>
          </cell>
          <cell r="F41" t="str">
            <v>A15</v>
          </cell>
          <cell r="K41">
            <v>-505911.91151926998</v>
          </cell>
        </row>
        <row r="42">
          <cell r="B42">
            <v>73820000</v>
          </cell>
          <cell r="F42" t="str">
            <v>A15</v>
          </cell>
          <cell r="K42">
            <v>-15464.1177476253</v>
          </cell>
        </row>
        <row r="43">
          <cell r="B43">
            <v>73300000</v>
          </cell>
          <cell r="F43" t="str">
            <v>A16</v>
          </cell>
          <cell r="K43">
            <v>40596.7004659003</v>
          </cell>
        </row>
        <row r="44">
          <cell r="B44">
            <v>73700000</v>
          </cell>
          <cell r="F44" t="str">
            <v>A16</v>
          </cell>
          <cell r="K44">
            <v>-262617.29450760898</v>
          </cell>
        </row>
        <row r="45">
          <cell r="B45">
            <v>73820000</v>
          </cell>
          <cell r="F45" t="str">
            <v>A16</v>
          </cell>
          <cell r="K45">
            <v>-8027.3752650589504</v>
          </cell>
        </row>
        <row r="46">
          <cell r="B46">
            <v>73300000</v>
          </cell>
          <cell r="F46" t="str">
            <v>A18</v>
          </cell>
          <cell r="K46">
            <v>76138.8884217819</v>
          </cell>
        </row>
        <row r="47">
          <cell r="B47">
            <v>73700000</v>
          </cell>
          <cell r="F47" t="str">
            <v>A18</v>
          </cell>
          <cell r="K47">
            <v>-492537.29132347897</v>
          </cell>
        </row>
        <row r="48">
          <cell r="B48">
            <v>73809900</v>
          </cell>
          <cell r="F48" t="str">
            <v>A18</v>
          </cell>
          <cell r="K48">
            <v>-3551.14301581376</v>
          </cell>
        </row>
        <row r="49">
          <cell r="B49">
            <v>73820000</v>
          </cell>
          <cell r="F49" t="str">
            <v>A18</v>
          </cell>
          <cell r="K49">
            <v>-15055.298155067399</v>
          </cell>
        </row>
        <row r="50">
          <cell r="B50">
            <v>73300000</v>
          </cell>
          <cell r="F50" t="str">
            <v>A21</v>
          </cell>
          <cell r="K50">
            <v>105533.31066309199</v>
          </cell>
        </row>
        <row r="51">
          <cell r="B51">
            <v>73600600</v>
          </cell>
          <cell r="F51" t="str">
            <v>A21</v>
          </cell>
          <cell r="K51">
            <v>-19162</v>
          </cell>
        </row>
        <row r="52">
          <cell r="B52">
            <v>73700000</v>
          </cell>
          <cell r="F52" t="str">
            <v>A21</v>
          </cell>
          <cell r="K52">
            <v>-682687.80981478503</v>
          </cell>
        </row>
        <row r="53">
          <cell r="B53">
            <v>73730600</v>
          </cell>
          <cell r="F53" t="str">
            <v>A21</v>
          </cell>
          <cell r="K53">
            <v>-6624</v>
          </cell>
        </row>
        <row r="54">
          <cell r="B54">
            <v>73820000</v>
          </cell>
          <cell r="F54" t="str">
            <v>A21</v>
          </cell>
          <cell r="K54">
            <v>-20867.594605829199</v>
          </cell>
        </row>
        <row r="55">
          <cell r="B55">
            <v>73300000</v>
          </cell>
          <cell r="F55" t="str">
            <v>A22</v>
          </cell>
          <cell r="K55">
            <v>85800.611957627902</v>
          </cell>
        </row>
        <row r="56">
          <cell r="B56">
            <v>73700000</v>
          </cell>
          <cell r="F56" t="str">
            <v>A22</v>
          </cell>
          <cell r="K56">
            <v>-555038.32382476795</v>
          </cell>
        </row>
        <row r="57">
          <cell r="B57">
            <v>73820000</v>
          </cell>
          <cell r="F57" t="str">
            <v>A22</v>
          </cell>
          <cell r="K57">
            <v>-16965.755892750702</v>
          </cell>
        </row>
        <row r="58">
          <cell r="B58">
            <v>73300000</v>
          </cell>
          <cell r="F58" t="str">
            <v>A24</v>
          </cell>
          <cell r="K58">
            <v>45314.628487296002</v>
          </cell>
        </row>
        <row r="59">
          <cell r="B59">
            <v>73700000</v>
          </cell>
          <cell r="F59" t="str">
            <v>A24</v>
          </cell>
          <cell r="K59">
            <v>-293137.25003210601</v>
          </cell>
        </row>
        <row r="60">
          <cell r="B60">
            <v>73820000</v>
          </cell>
          <cell r="F60" t="str">
            <v>A24</v>
          </cell>
          <cell r="K60">
            <v>-8960.2732165339003</v>
          </cell>
        </row>
        <row r="61">
          <cell r="B61">
            <v>73300000</v>
          </cell>
          <cell r="F61" t="str">
            <v>A25</v>
          </cell>
          <cell r="K61">
            <v>10944.0095212997</v>
          </cell>
        </row>
        <row r="62">
          <cell r="B62">
            <v>73700000</v>
          </cell>
          <cell r="F62" t="str">
            <v>A25</v>
          </cell>
          <cell r="K62">
            <v>-70796.053338457597</v>
          </cell>
        </row>
        <row r="63">
          <cell r="B63">
            <v>73730400</v>
          </cell>
          <cell r="F63" t="str">
            <v>A25</v>
          </cell>
          <cell r="K63">
            <v>-9800</v>
          </cell>
        </row>
        <row r="64">
          <cell r="B64">
            <v>73820000</v>
          </cell>
          <cell r="F64" t="str">
            <v>A25</v>
          </cell>
          <cell r="K64">
            <v>-2164.0101368741398</v>
          </cell>
        </row>
        <row r="65">
          <cell r="B65">
            <v>73300000</v>
          </cell>
          <cell r="F65" t="str">
            <v>A26</v>
          </cell>
          <cell r="K65">
            <v>51567.143289585103</v>
          </cell>
        </row>
        <row r="66">
          <cell r="B66">
            <v>73600500</v>
          </cell>
          <cell r="F66" t="str">
            <v>A26</v>
          </cell>
          <cell r="K66">
            <v>-10789.940399999999</v>
          </cell>
        </row>
        <row r="67">
          <cell r="B67">
            <v>73610500</v>
          </cell>
          <cell r="F67" t="str">
            <v>A26</v>
          </cell>
          <cell r="K67">
            <v>-570</v>
          </cell>
        </row>
        <row r="68">
          <cell r="B68">
            <v>73700000</v>
          </cell>
          <cell r="F68" t="str">
            <v>A26</v>
          </cell>
          <cell r="K68">
            <v>-333584.343081581</v>
          </cell>
        </row>
        <row r="69">
          <cell r="B69">
            <v>73820000</v>
          </cell>
          <cell r="F69" t="str">
            <v>A26</v>
          </cell>
          <cell r="K69">
            <v>-10196.612182319301</v>
          </cell>
        </row>
        <row r="70">
          <cell r="B70">
            <v>73300000</v>
          </cell>
          <cell r="F70" t="str">
            <v>A27</v>
          </cell>
          <cell r="K70">
            <v>46027.0350653188</v>
          </cell>
        </row>
        <row r="71">
          <cell r="B71">
            <v>73600500</v>
          </cell>
          <cell r="F71" t="str">
            <v>A27</v>
          </cell>
          <cell r="K71">
            <v>-1256.4795567613401</v>
          </cell>
        </row>
        <row r="72">
          <cell r="B72">
            <v>73610500</v>
          </cell>
          <cell r="F72" t="str">
            <v>A27</v>
          </cell>
          <cell r="K72">
            <v>-66.376024408250402</v>
          </cell>
        </row>
        <row r="73">
          <cell r="B73">
            <v>73700000</v>
          </cell>
          <cell r="F73" t="str">
            <v>A27</v>
          </cell>
          <cell r="K73">
            <v>-297745.75973763998</v>
          </cell>
        </row>
        <row r="74">
          <cell r="B74">
            <v>73820000</v>
          </cell>
          <cell r="F74" t="str">
            <v>A27</v>
          </cell>
          <cell r="K74">
            <v>-9101.1406978182204</v>
          </cell>
        </row>
        <row r="75">
          <cell r="B75">
            <v>73300000</v>
          </cell>
          <cell r="F75" t="str">
            <v>A28</v>
          </cell>
          <cell r="K75">
            <v>48400.856717023496</v>
          </cell>
        </row>
        <row r="76">
          <cell r="B76">
            <v>73700000</v>
          </cell>
          <cell r="F76" t="str">
            <v>A28</v>
          </cell>
          <cell r="K76">
            <v>-313101.85056915798</v>
          </cell>
        </row>
        <row r="77">
          <cell r="B77">
            <v>73820000</v>
          </cell>
          <cell r="F77" t="str">
            <v>A28</v>
          </cell>
          <cell r="K77">
            <v>-9570.5275443320606</v>
          </cell>
        </row>
        <row r="78">
          <cell r="B78">
            <v>73300000</v>
          </cell>
          <cell r="F78" t="str">
            <v>A29</v>
          </cell>
          <cell r="K78">
            <v>140622.40701608101</v>
          </cell>
        </row>
        <row r="79">
          <cell r="B79">
            <v>73700000</v>
          </cell>
          <cell r="F79" t="str">
            <v>A29</v>
          </cell>
          <cell r="K79">
            <v>-909676.78786434897</v>
          </cell>
        </row>
        <row r="80">
          <cell r="B80">
            <v>73820000</v>
          </cell>
          <cell r="F80" t="str">
            <v>A29</v>
          </cell>
          <cell r="K80">
            <v>-27805.925576196001</v>
          </cell>
        </row>
        <row r="81">
          <cell r="B81">
            <v>73300000</v>
          </cell>
          <cell r="F81" t="str">
            <v>A30</v>
          </cell>
          <cell r="K81">
            <v>29605.355496825799</v>
          </cell>
        </row>
        <row r="82">
          <cell r="B82">
            <v>73600400</v>
          </cell>
          <cell r="F82" t="str">
            <v>A30</v>
          </cell>
          <cell r="K82">
            <v>-2335.01992861391</v>
          </cell>
        </row>
        <row r="83">
          <cell r="B83">
            <v>73610600</v>
          </cell>
          <cell r="F83" t="str">
            <v>A30</v>
          </cell>
          <cell r="K83">
            <v>-292.01368233194501</v>
          </cell>
        </row>
        <row r="84">
          <cell r="B84">
            <v>73700000</v>
          </cell>
          <cell r="F84" t="str">
            <v>A30</v>
          </cell>
          <cell r="K84">
            <v>-191515.03137657701</v>
          </cell>
        </row>
        <row r="85">
          <cell r="B85">
            <v>73820000</v>
          </cell>
          <cell r="F85" t="str">
            <v>A30</v>
          </cell>
          <cell r="K85">
            <v>-5854.0052689286204</v>
          </cell>
        </row>
        <row r="86">
          <cell r="B86">
            <v>73300000</v>
          </cell>
          <cell r="F86" t="str">
            <v>A32</v>
          </cell>
          <cell r="K86">
            <v>37356.249757303303</v>
          </cell>
        </row>
        <row r="87">
          <cell r="B87">
            <v>73700000</v>
          </cell>
          <cell r="F87" t="str">
            <v>A32</v>
          </cell>
          <cell r="K87">
            <v>-241655.039242756</v>
          </cell>
        </row>
        <row r="88">
          <cell r="B88">
            <v>73820000</v>
          </cell>
          <cell r="F88" t="str">
            <v>A32</v>
          </cell>
          <cell r="K88">
            <v>-7386.6258059327502</v>
          </cell>
        </row>
        <row r="89">
          <cell r="B89">
            <v>73200100</v>
          </cell>
          <cell r="F89" t="str">
            <v>A33</v>
          </cell>
          <cell r="K89">
            <v>-540</v>
          </cell>
        </row>
        <row r="90">
          <cell r="B90">
            <v>73300000</v>
          </cell>
          <cell r="F90" t="str">
            <v>A33</v>
          </cell>
          <cell r="K90">
            <v>75244.793598571807</v>
          </cell>
        </row>
        <row r="91">
          <cell r="B91">
            <v>73700000</v>
          </cell>
          <cell r="F91" t="str">
            <v>A33</v>
          </cell>
          <cell r="K91">
            <v>-486753.45271566103</v>
          </cell>
        </row>
        <row r="92">
          <cell r="B92">
            <v>73820000</v>
          </cell>
          <cell r="F92" t="str">
            <v>A33</v>
          </cell>
          <cell r="K92">
            <v>-14878.504608151399</v>
          </cell>
        </row>
        <row r="93">
          <cell r="B93">
            <v>73200100</v>
          </cell>
          <cell r="F93" t="str">
            <v>A35</v>
          </cell>
          <cell r="K93">
            <v>-3795</v>
          </cell>
        </row>
        <row r="94">
          <cell r="B94">
            <v>73200200</v>
          </cell>
          <cell r="F94" t="str">
            <v>A35</v>
          </cell>
          <cell r="K94">
            <v>-2500</v>
          </cell>
        </row>
        <row r="95">
          <cell r="B95">
            <v>73300000</v>
          </cell>
          <cell r="F95" t="str">
            <v>A35</v>
          </cell>
          <cell r="K95">
            <v>98497.190224789505</v>
          </cell>
        </row>
        <row r="96">
          <cell r="B96">
            <v>73700000</v>
          </cell>
          <cell r="F96" t="str">
            <v>A35</v>
          </cell>
          <cell r="K96">
            <v>-637171.62519557402</v>
          </cell>
        </row>
        <row r="97">
          <cell r="B97">
            <v>73820000</v>
          </cell>
          <cell r="F97" t="str">
            <v>A35</v>
          </cell>
          <cell r="K97">
            <v>-19476.3096363562</v>
          </cell>
        </row>
        <row r="98">
          <cell r="B98">
            <v>73840200</v>
          </cell>
          <cell r="F98" t="str">
            <v>A35</v>
          </cell>
          <cell r="K98">
            <v>-18604</v>
          </cell>
        </row>
        <row r="99">
          <cell r="B99">
            <v>73200000</v>
          </cell>
          <cell r="F99" t="str">
            <v>A36</v>
          </cell>
          <cell r="K99">
            <v>-1000</v>
          </cell>
        </row>
        <row r="100">
          <cell r="B100">
            <v>73200200</v>
          </cell>
          <cell r="F100" t="str">
            <v>A36</v>
          </cell>
          <cell r="K100">
            <v>-2500</v>
          </cell>
        </row>
        <row r="101">
          <cell r="B101">
            <v>73300000</v>
          </cell>
          <cell r="F101" t="str">
            <v>A36</v>
          </cell>
          <cell r="K101">
            <v>12121.1946164568</v>
          </cell>
        </row>
        <row r="102">
          <cell r="B102">
            <v>73610300</v>
          </cell>
          <cell r="F102" t="str">
            <v>A36</v>
          </cell>
          <cell r="K102">
            <v>-2062.4279999999999</v>
          </cell>
        </row>
        <row r="103">
          <cell r="B103">
            <v>73700000</v>
          </cell>
          <cell r="F103" t="str">
            <v>A36</v>
          </cell>
          <cell r="K103">
            <v>-78411.183663753807</v>
          </cell>
        </row>
        <row r="104">
          <cell r="B104">
            <v>73820000</v>
          </cell>
          <cell r="F104" t="str">
            <v>A36</v>
          </cell>
          <cell r="K104">
            <v>-2396.78044595868</v>
          </cell>
        </row>
        <row r="105">
          <cell r="B105">
            <v>73840600</v>
          </cell>
          <cell r="F105" t="str">
            <v>A36</v>
          </cell>
          <cell r="K105">
            <v>-6000</v>
          </cell>
        </row>
        <row r="106">
          <cell r="B106">
            <v>73200000</v>
          </cell>
          <cell r="F106" t="str">
            <v>A37</v>
          </cell>
          <cell r="K106">
            <v>-5000</v>
          </cell>
        </row>
        <row r="107">
          <cell r="B107">
            <v>73200100</v>
          </cell>
          <cell r="F107" t="str">
            <v>A37</v>
          </cell>
          <cell r="K107">
            <v>-14000</v>
          </cell>
        </row>
        <row r="108">
          <cell r="B108">
            <v>73200200</v>
          </cell>
          <cell r="F108" t="str">
            <v>A37</v>
          </cell>
          <cell r="K108">
            <v>-21144</v>
          </cell>
        </row>
        <row r="109">
          <cell r="B109">
            <v>73300000</v>
          </cell>
          <cell r="F109" t="str">
            <v>A37</v>
          </cell>
          <cell r="K109">
            <v>15538.184238097099</v>
          </cell>
        </row>
        <row r="110">
          <cell r="B110">
            <v>73700000</v>
          </cell>
          <cell r="F110" t="str">
            <v>A37</v>
          </cell>
          <cell r="K110">
            <v>-100515.457151435</v>
          </cell>
        </row>
        <row r="111">
          <cell r="B111">
            <v>73820000</v>
          </cell>
          <cell r="F111" t="str">
            <v>A37</v>
          </cell>
          <cell r="K111">
            <v>-3072.4377692122798</v>
          </cell>
        </row>
        <row r="112">
          <cell r="B112">
            <v>73300000</v>
          </cell>
          <cell r="F112" t="str">
            <v>A38</v>
          </cell>
          <cell r="K112">
            <v>28232.453586147902</v>
          </cell>
        </row>
        <row r="113">
          <cell r="B113">
            <v>73610700</v>
          </cell>
          <cell r="F113" t="str">
            <v>A38</v>
          </cell>
          <cell r="K113">
            <v>-7585.48</v>
          </cell>
        </row>
        <row r="114">
          <cell r="B114">
            <v>73700000</v>
          </cell>
          <cell r="F114" t="str">
            <v>A38</v>
          </cell>
          <cell r="K114">
            <v>-182633.82228153199</v>
          </cell>
        </row>
        <row r="115">
          <cell r="B115">
            <v>73820000</v>
          </cell>
          <cell r="F115" t="str">
            <v>A38</v>
          </cell>
          <cell r="K115">
            <v>-5582.5349594539603</v>
          </cell>
        </row>
        <row r="116">
          <cell r="B116">
            <v>73840600</v>
          </cell>
          <cell r="F116" t="str">
            <v>A38</v>
          </cell>
          <cell r="K116">
            <v>-3500</v>
          </cell>
        </row>
        <row r="117">
          <cell r="B117">
            <v>73300000</v>
          </cell>
          <cell r="F117" t="str">
            <v>A43</v>
          </cell>
          <cell r="K117">
            <v>36468.421435398297</v>
          </cell>
        </row>
        <row r="118">
          <cell r="B118">
            <v>73700000</v>
          </cell>
          <cell r="F118" t="str">
            <v>A43</v>
          </cell>
          <cell r="K118">
            <v>-235911.738205723</v>
          </cell>
        </row>
        <row r="119">
          <cell r="B119">
            <v>73820000</v>
          </cell>
          <cell r="F119" t="str">
            <v>A43</v>
          </cell>
          <cell r="K119">
            <v>-7211.0713635990696</v>
          </cell>
        </row>
        <row r="120">
          <cell r="B120">
            <v>73200000</v>
          </cell>
          <cell r="F120" t="str">
            <v>A44</v>
          </cell>
          <cell r="K120">
            <v>-500</v>
          </cell>
        </row>
        <row r="121">
          <cell r="B121">
            <v>73200100</v>
          </cell>
          <cell r="F121" t="str">
            <v>A44</v>
          </cell>
          <cell r="K121">
            <v>-150</v>
          </cell>
        </row>
        <row r="122">
          <cell r="B122">
            <v>73200200</v>
          </cell>
          <cell r="F122" t="str">
            <v>A44</v>
          </cell>
          <cell r="K122">
            <v>-483.03</v>
          </cell>
        </row>
        <row r="123">
          <cell r="B123">
            <v>73300000</v>
          </cell>
          <cell r="F123" t="str">
            <v>A44</v>
          </cell>
          <cell r="K123">
            <v>41767.1891996552</v>
          </cell>
        </row>
        <row r="124">
          <cell r="B124">
            <v>73610400</v>
          </cell>
          <cell r="F124" t="str">
            <v>A44</v>
          </cell>
          <cell r="K124">
            <v>-5322</v>
          </cell>
        </row>
        <row r="125">
          <cell r="B125">
            <v>73700000</v>
          </cell>
          <cell r="F125" t="str">
            <v>A44</v>
          </cell>
          <cell r="K125">
            <v>-270123.39799770102</v>
          </cell>
        </row>
        <row r="126">
          <cell r="B126">
            <v>73820000</v>
          </cell>
          <cell r="F126" t="str">
            <v>A44</v>
          </cell>
          <cell r="K126">
            <v>-8324.5300000000007</v>
          </cell>
        </row>
        <row r="127">
          <cell r="B127">
            <v>73300000</v>
          </cell>
          <cell r="F127" t="str">
            <v>A45</v>
          </cell>
          <cell r="K127">
            <v>56422.800510205903</v>
          </cell>
        </row>
        <row r="128">
          <cell r="B128">
            <v>73700000</v>
          </cell>
          <cell r="F128" t="str">
            <v>A45</v>
          </cell>
          <cell r="K128">
            <v>-288544.244951192</v>
          </cell>
        </row>
        <row r="129">
          <cell r="B129">
            <v>73801400</v>
          </cell>
          <cell r="F129" t="str">
            <v>A45</v>
          </cell>
          <cell r="K129">
            <v>-130000</v>
          </cell>
        </row>
        <row r="130">
          <cell r="B130">
            <v>73820000</v>
          </cell>
          <cell r="F130" t="str">
            <v>A45</v>
          </cell>
          <cell r="K130">
            <v>-8819.8796623015205</v>
          </cell>
        </row>
        <row r="131">
          <cell r="B131">
            <v>73200000</v>
          </cell>
          <cell r="F131" t="str">
            <v>A46</v>
          </cell>
          <cell r="K131">
            <v>-5000</v>
          </cell>
        </row>
        <row r="132">
          <cell r="B132">
            <v>73200100</v>
          </cell>
          <cell r="F132" t="str">
            <v>A46</v>
          </cell>
          <cell r="K132">
            <v>-537.48</v>
          </cell>
        </row>
        <row r="133">
          <cell r="B133">
            <v>73300000</v>
          </cell>
          <cell r="F133" t="str">
            <v>A46</v>
          </cell>
          <cell r="K133">
            <v>49029.726221860103</v>
          </cell>
        </row>
        <row r="134">
          <cell r="B134">
            <v>73700000</v>
          </cell>
          <cell r="F134" t="str">
            <v>A46</v>
          </cell>
          <cell r="K134">
            <v>-317169.96462924598</v>
          </cell>
        </row>
        <row r="135">
          <cell r="B135">
            <v>73820000</v>
          </cell>
          <cell r="F135" t="str">
            <v>A46</v>
          </cell>
          <cell r="K135">
            <v>-9694.8768498209502</v>
          </cell>
        </row>
        <row r="136">
          <cell r="B136">
            <v>73300000</v>
          </cell>
          <cell r="F136" t="str">
            <v>A54</v>
          </cell>
          <cell r="K136">
            <v>60726.349985559304</v>
          </cell>
        </row>
        <row r="137">
          <cell r="B137">
            <v>73700000</v>
          </cell>
          <cell r="F137" t="str">
            <v>A54</v>
          </cell>
          <cell r="K137">
            <v>-392834.62831974099</v>
          </cell>
        </row>
        <row r="138">
          <cell r="B138">
            <v>73820000</v>
          </cell>
          <cell r="F138" t="str">
            <v>A54</v>
          </cell>
          <cell r="K138">
            <v>-12007.7049173208</v>
          </cell>
        </row>
        <row r="139">
          <cell r="B139">
            <v>73300000</v>
          </cell>
          <cell r="F139" t="str">
            <v>A58</v>
          </cell>
          <cell r="K139">
            <v>8910.4365492735105</v>
          </cell>
        </row>
        <row r="140">
          <cell r="B140">
            <v>73700000</v>
          </cell>
          <cell r="F140" t="str">
            <v>A58</v>
          </cell>
          <cell r="K140">
            <v>-57641.008076936501</v>
          </cell>
        </row>
        <row r="141">
          <cell r="B141">
            <v>73820000</v>
          </cell>
          <cell r="F141" t="str">
            <v>A58</v>
          </cell>
          <cell r="K141">
            <v>-1761.9022515535601</v>
          </cell>
        </row>
        <row r="142">
          <cell r="B142">
            <v>73300000</v>
          </cell>
          <cell r="F142" t="str">
            <v>A59</v>
          </cell>
          <cell r="K142">
            <v>43048.397686025201</v>
          </cell>
        </row>
        <row r="143">
          <cell r="B143">
            <v>73700000</v>
          </cell>
          <cell r="F143" t="str">
            <v>A59</v>
          </cell>
          <cell r="K143">
            <v>-278477.15709525603</v>
          </cell>
        </row>
        <row r="144">
          <cell r="B144">
            <v>73820000</v>
          </cell>
          <cell r="F144" t="str">
            <v>A59</v>
          </cell>
          <cell r="K144">
            <v>-8512.1608115783201</v>
          </cell>
        </row>
        <row r="145">
          <cell r="B145">
            <v>73300000</v>
          </cell>
          <cell r="F145" t="str">
            <v>A60</v>
          </cell>
          <cell r="K145">
            <v>97742.675837986593</v>
          </cell>
        </row>
        <row r="146">
          <cell r="B146">
            <v>73600600</v>
          </cell>
          <cell r="F146" t="str">
            <v>A60</v>
          </cell>
          <cell r="K146">
            <v>-19162</v>
          </cell>
        </row>
        <row r="147">
          <cell r="B147">
            <v>73700000</v>
          </cell>
          <cell r="F147" t="str">
            <v>A60</v>
          </cell>
          <cell r="K147">
            <v>-632290.72293861106</v>
          </cell>
        </row>
        <row r="148">
          <cell r="B148">
            <v>73820000</v>
          </cell>
          <cell r="F148" t="str">
            <v>A60</v>
          </cell>
          <cell r="K148">
            <v>-19327.115981299401</v>
          </cell>
        </row>
        <row r="149">
          <cell r="B149">
            <v>73300000</v>
          </cell>
          <cell r="F149" t="str">
            <v>A64</v>
          </cell>
          <cell r="K149">
            <v>7123.4519328283304</v>
          </cell>
        </row>
        <row r="150">
          <cell r="B150">
            <v>73700000</v>
          </cell>
          <cell r="F150" t="str">
            <v>A64</v>
          </cell>
          <cell r="K150">
            <v>-46081.126118260101</v>
          </cell>
        </row>
        <row r="151">
          <cell r="B151">
            <v>73820000</v>
          </cell>
          <cell r="F151" t="str">
            <v>A64</v>
          </cell>
          <cell r="K151">
            <v>-1408.5534339287899</v>
          </cell>
        </row>
        <row r="152">
          <cell r="B152">
            <v>73300000</v>
          </cell>
          <cell r="F152" t="str">
            <v>A65</v>
          </cell>
          <cell r="K152">
            <v>54767.133952764001</v>
          </cell>
        </row>
        <row r="153">
          <cell r="B153">
            <v>73700000</v>
          </cell>
          <cell r="F153" t="str">
            <v>A65</v>
          </cell>
          <cell r="K153">
            <v>-354284.86506413802</v>
          </cell>
        </row>
        <row r="154">
          <cell r="B154">
            <v>73820000</v>
          </cell>
          <cell r="F154" t="str">
            <v>A65</v>
          </cell>
          <cell r="K154">
            <v>-10829.361287621499</v>
          </cell>
        </row>
        <row r="155">
          <cell r="B155">
            <v>73300000</v>
          </cell>
          <cell r="F155" t="str">
            <v>A66</v>
          </cell>
          <cell r="K155">
            <v>57502.352979850497</v>
          </cell>
        </row>
        <row r="156">
          <cell r="B156">
            <v>73700000</v>
          </cell>
          <cell r="F156" t="str">
            <v>A66</v>
          </cell>
          <cell r="K156">
            <v>-371978.81093992601</v>
          </cell>
        </row>
        <row r="157">
          <cell r="B157">
            <v>73820000</v>
          </cell>
          <cell r="F157" t="str">
            <v>A66</v>
          </cell>
          <cell r="K157">
            <v>-11370.2089257441</v>
          </cell>
        </row>
        <row r="158">
          <cell r="B158">
            <v>73300000</v>
          </cell>
          <cell r="F158" t="str">
            <v>A68</v>
          </cell>
          <cell r="K158">
            <v>33914.8581086962</v>
          </cell>
        </row>
        <row r="159">
          <cell r="B159">
            <v>73700000</v>
          </cell>
          <cell r="F159" t="str">
            <v>A68</v>
          </cell>
          <cell r="K159">
            <v>-219392.910702102</v>
          </cell>
        </row>
        <row r="160">
          <cell r="B160">
            <v>73809900</v>
          </cell>
          <cell r="F160" t="str">
            <v>A68</v>
          </cell>
          <cell r="K160">
            <v>-4293.3260774041501</v>
          </cell>
        </row>
        <row r="161">
          <cell r="B161">
            <v>73820000</v>
          </cell>
          <cell r="F161" t="str">
            <v>A68</v>
          </cell>
          <cell r="K161">
            <v>-6706.1433558722301</v>
          </cell>
        </row>
        <row r="162">
          <cell r="B162">
            <v>73300000</v>
          </cell>
          <cell r="F162" t="str">
            <v>A69</v>
          </cell>
          <cell r="K162">
            <v>40228.543832163603</v>
          </cell>
        </row>
        <row r="163">
          <cell r="B163">
            <v>73700000</v>
          </cell>
          <cell r="F163" t="str">
            <v>A69</v>
          </cell>
          <cell r="K163">
            <v>-260235.71428070901</v>
          </cell>
        </row>
        <row r="164">
          <cell r="B164">
            <v>73820000</v>
          </cell>
          <cell r="F164" t="str">
            <v>A69</v>
          </cell>
          <cell r="K164">
            <v>-7954.5779337140602</v>
          </cell>
        </row>
        <row r="165">
          <cell r="B165">
            <v>73300000</v>
          </cell>
          <cell r="F165" t="str">
            <v>A71</v>
          </cell>
          <cell r="K165">
            <v>20101.120650230299</v>
          </cell>
        </row>
        <row r="166">
          <cell r="B166">
            <v>73700000</v>
          </cell>
          <cell r="F166" t="str">
            <v>A71</v>
          </cell>
          <cell r="K166">
            <v>-130032.782495922</v>
          </cell>
        </row>
        <row r="167">
          <cell r="B167">
            <v>73820000</v>
          </cell>
          <cell r="F167" t="str">
            <v>A71</v>
          </cell>
          <cell r="K167">
            <v>-3974.6885056129099</v>
          </cell>
        </row>
        <row r="168">
          <cell r="B168">
            <v>73300000</v>
          </cell>
          <cell r="F168" t="str">
            <v>A73</v>
          </cell>
          <cell r="K168">
            <v>4954.4496819440101</v>
          </cell>
        </row>
        <row r="169">
          <cell r="B169">
            <v>73700000</v>
          </cell>
          <cell r="F169" t="str">
            <v>A73</v>
          </cell>
          <cell r="K169">
            <v>-32049.998061766601</v>
          </cell>
        </row>
        <row r="170">
          <cell r="B170">
            <v>73820000</v>
          </cell>
          <cell r="F170" t="str">
            <v>A73</v>
          </cell>
          <cell r="K170">
            <v>-979.66648452681295</v>
          </cell>
        </row>
        <row r="171">
          <cell r="B171">
            <v>73300000</v>
          </cell>
          <cell r="F171" t="str">
            <v>A74</v>
          </cell>
          <cell r="K171">
            <v>30341.881746142299</v>
          </cell>
        </row>
        <row r="172">
          <cell r="B172">
            <v>73600200</v>
          </cell>
          <cell r="F172" t="str">
            <v>A74</v>
          </cell>
          <cell r="K172">
            <v>-1988.5571309424499</v>
          </cell>
        </row>
        <row r="173">
          <cell r="B173">
            <v>73610200</v>
          </cell>
          <cell r="F173" t="str">
            <v>A74</v>
          </cell>
          <cell r="K173">
            <v>-945.37030859049196</v>
          </cell>
        </row>
        <row r="174">
          <cell r="B174">
            <v>73700000</v>
          </cell>
          <cell r="F174" t="str">
            <v>A74</v>
          </cell>
          <cell r="K174">
            <v>-196279.56959543499</v>
          </cell>
        </row>
        <row r="175">
          <cell r="B175">
            <v>73820000</v>
          </cell>
          <cell r="F175" t="str">
            <v>A74</v>
          </cell>
          <cell r="K175">
            <v>-5999.6420455133502</v>
          </cell>
        </row>
        <row r="176">
          <cell r="B176">
            <v>73300000</v>
          </cell>
          <cell r="F176" t="str">
            <v>A75</v>
          </cell>
          <cell r="K176">
            <v>3379.1708443888601</v>
          </cell>
        </row>
        <row r="177">
          <cell r="B177">
            <v>73700000</v>
          </cell>
          <cell r="F177" t="str">
            <v>A75</v>
          </cell>
          <cell r="K177">
            <v>-21859.6263895339</v>
          </cell>
        </row>
        <row r="178">
          <cell r="B178">
            <v>73820000</v>
          </cell>
          <cell r="F178" t="str">
            <v>A75</v>
          </cell>
          <cell r="K178">
            <v>-668.17923972516598</v>
          </cell>
        </row>
        <row r="179">
          <cell r="B179">
            <v>73300000</v>
          </cell>
          <cell r="F179" t="str">
            <v>A76</v>
          </cell>
          <cell r="K179">
            <v>20574.236857643598</v>
          </cell>
        </row>
        <row r="180">
          <cell r="B180">
            <v>73700000</v>
          </cell>
          <cell r="F180" t="str">
            <v>A76</v>
          </cell>
          <cell r="K180">
            <v>-133093.339067088</v>
          </cell>
        </row>
        <row r="181">
          <cell r="B181">
            <v>73820000</v>
          </cell>
          <cell r="F181" t="str">
            <v>A76</v>
          </cell>
          <cell r="K181">
            <v>-4068.2399838685901</v>
          </cell>
        </row>
        <row r="182">
          <cell r="B182">
            <v>73300000</v>
          </cell>
          <cell r="F182" t="str">
            <v>A77</v>
          </cell>
          <cell r="K182">
            <v>3752.4257413393102</v>
          </cell>
        </row>
        <row r="183">
          <cell r="B183">
            <v>73700000</v>
          </cell>
          <cell r="F183" t="str">
            <v>A77</v>
          </cell>
          <cell r="K183">
            <v>-24274.1869344525</v>
          </cell>
        </row>
        <row r="184">
          <cell r="B184">
            <v>73820000</v>
          </cell>
          <cell r="F184" t="str">
            <v>A77</v>
          </cell>
          <cell r="K184">
            <v>-741.98467447617202</v>
          </cell>
        </row>
        <row r="185">
          <cell r="B185">
            <v>73300000</v>
          </cell>
          <cell r="F185" t="str">
            <v>A78</v>
          </cell>
          <cell r="K185">
            <v>5851.3849870239801</v>
          </cell>
        </row>
        <row r="186">
          <cell r="B186">
            <v>73700000</v>
          </cell>
          <cell r="F186" t="str">
            <v>A78</v>
          </cell>
          <cell r="K186">
            <v>-37852.211553631903</v>
          </cell>
        </row>
        <row r="187">
          <cell r="B187">
            <v>73820000</v>
          </cell>
          <cell r="F187" t="str">
            <v>A78</v>
          </cell>
          <cell r="K187">
            <v>-1157.02169319469</v>
          </cell>
        </row>
        <row r="188">
          <cell r="B188">
            <v>73600000</v>
          </cell>
          <cell r="F188" t="str">
            <v>B02</v>
          </cell>
          <cell r="K188">
            <v>-9420.3059267504195</v>
          </cell>
        </row>
        <row r="189">
          <cell r="B189">
            <v>73600100</v>
          </cell>
          <cell r="F189" t="str">
            <v>B03</v>
          </cell>
          <cell r="K189">
            <v>-46175.29</v>
          </cell>
        </row>
        <row r="190">
          <cell r="B190">
            <v>73610100</v>
          </cell>
          <cell r="F190" t="str">
            <v>B03</v>
          </cell>
          <cell r="K190">
            <v>-25293.41</v>
          </cell>
        </row>
        <row r="191">
          <cell r="B191">
            <v>73610300</v>
          </cell>
          <cell r="F191" t="str">
            <v>B34</v>
          </cell>
          <cell r="K191">
            <v>-4812.3320000000003</v>
          </cell>
        </row>
        <row r="192">
          <cell r="B192">
            <v>73620000</v>
          </cell>
          <cell r="F192" t="str">
            <v>B35</v>
          </cell>
          <cell r="K192">
            <v>-599.78</v>
          </cell>
        </row>
        <row r="193">
          <cell r="B193">
            <v>73809900</v>
          </cell>
          <cell r="F193" t="str">
            <v>B35</v>
          </cell>
          <cell r="K193">
            <v>-66698.673922595801</v>
          </cell>
        </row>
        <row r="194">
          <cell r="B194">
            <v>73200000</v>
          </cell>
          <cell r="F194" t="str">
            <v>B36</v>
          </cell>
          <cell r="K194">
            <v>-500</v>
          </cell>
        </row>
        <row r="195">
          <cell r="B195">
            <v>73809900</v>
          </cell>
          <cell r="F195" t="str">
            <v>B36</v>
          </cell>
          <cell r="K195">
            <v>-52608.856984186197</v>
          </cell>
        </row>
        <row r="196">
          <cell r="B196">
            <v>73600200</v>
          </cell>
          <cell r="F196" t="str">
            <v>B40</v>
          </cell>
          <cell r="K196">
            <v>-497.13928273561299</v>
          </cell>
        </row>
        <row r="197">
          <cell r="B197">
            <v>73610200</v>
          </cell>
          <cell r="F197" t="str">
            <v>B40</v>
          </cell>
          <cell r="K197">
            <v>-236.34257714762299</v>
          </cell>
        </row>
        <row r="198">
          <cell r="B198">
            <v>73200100</v>
          </cell>
          <cell r="F198" t="str">
            <v>B42</v>
          </cell>
          <cell r="K198">
            <v>-148.68</v>
          </cell>
        </row>
        <row r="199">
          <cell r="B199">
            <v>73200100</v>
          </cell>
          <cell r="F199" t="str">
            <v>B43</v>
          </cell>
          <cell r="K199">
            <v>-800</v>
          </cell>
        </row>
        <row r="200">
          <cell r="B200">
            <v>73600400</v>
          </cell>
          <cell r="F200" t="str">
            <v>B44</v>
          </cell>
          <cell r="K200">
            <v>-45242.780071385998</v>
          </cell>
        </row>
        <row r="201">
          <cell r="B201">
            <v>73610600</v>
          </cell>
          <cell r="F201" t="str">
            <v>B44</v>
          </cell>
          <cell r="K201">
            <v>-5657.9863176680501</v>
          </cell>
        </row>
        <row r="202">
          <cell r="B202">
            <v>73600500</v>
          </cell>
          <cell r="F202" t="str">
            <v>B46</v>
          </cell>
          <cell r="K202">
            <v>-11805.027243238599</v>
          </cell>
        </row>
        <row r="203">
          <cell r="B203">
            <v>73610500</v>
          </cell>
          <cell r="F203" t="str">
            <v>B46</v>
          </cell>
          <cell r="K203">
            <v>-623.62397559174894</v>
          </cell>
        </row>
        <row r="204">
          <cell r="B204">
            <v>73600200</v>
          </cell>
          <cell r="F204" t="str">
            <v>B52</v>
          </cell>
          <cell r="K204">
            <v>-385.001448268915</v>
          </cell>
        </row>
        <row r="205">
          <cell r="B205">
            <v>73610200</v>
          </cell>
          <cell r="F205" t="str">
            <v>B52</v>
          </cell>
          <cell r="K205">
            <v>-183.03167271099301</v>
          </cell>
        </row>
        <row r="206">
          <cell r="B206">
            <v>73730600</v>
          </cell>
          <cell r="F206" t="str">
            <v>C01</v>
          </cell>
          <cell r="K206">
            <v>-3648.84</v>
          </cell>
        </row>
        <row r="207">
          <cell r="B207">
            <v>73730700</v>
          </cell>
          <cell r="F207" t="str">
            <v>C01</v>
          </cell>
          <cell r="K207">
            <v>-22600</v>
          </cell>
        </row>
        <row r="208">
          <cell r="B208">
            <v>73820000</v>
          </cell>
          <cell r="F208" t="str">
            <v>C01</v>
          </cell>
          <cell r="K208">
            <v>-284490</v>
          </cell>
        </row>
        <row r="209">
          <cell r="B209">
            <v>73600000</v>
          </cell>
          <cell r="F209" t="str">
            <v>C04</v>
          </cell>
          <cell r="K209">
            <v>-5219.9800721332904</v>
          </cell>
        </row>
        <row r="210">
          <cell r="B210">
            <v>73600500</v>
          </cell>
          <cell r="F210" t="str">
            <v>C04</v>
          </cell>
          <cell r="K210">
            <v>-32937.712800000001</v>
          </cell>
        </row>
        <row r="211">
          <cell r="B211">
            <v>73610500</v>
          </cell>
          <cell r="F211" t="str">
            <v>C04</v>
          </cell>
          <cell r="K211">
            <v>-1740</v>
          </cell>
        </row>
        <row r="212">
          <cell r="B212">
            <v>73820100</v>
          </cell>
          <cell r="F212" t="str">
            <v>C05</v>
          </cell>
          <cell r="K212">
            <v>-40000</v>
          </cell>
        </row>
        <row r="213">
          <cell r="B213">
            <v>73730300</v>
          </cell>
          <cell r="F213" t="str">
            <v>C11</v>
          </cell>
          <cell r="K213">
            <v>-13217.04</v>
          </cell>
        </row>
        <row r="214">
          <cell r="B214">
            <v>73300000</v>
          </cell>
          <cell r="F214" t="str">
            <v>G09</v>
          </cell>
          <cell r="K214">
            <v>78411.181971890197</v>
          </cell>
        </row>
        <row r="215">
          <cell r="B215">
            <v>73300000</v>
          </cell>
          <cell r="F215" t="str">
            <v>G10</v>
          </cell>
          <cell r="K215">
            <v>89743.408499930098</v>
          </cell>
        </row>
        <row r="216">
          <cell r="B216">
            <v>73809900</v>
          </cell>
          <cell r="F216" t="str">
            <v>G10</v>
          </cell>
          <cell r="K216">
            <v>-100741.92</v>
          </cell>
        </row>
        <row r="217">
          <cell r="B217">
            <v>73620100</v>
          </cell>
          <cell r="F217" t="str">
            <v>I02</v>
          </cell>
          <cell r="K217">
            <v>-2411.4</v>
          </cell>
        </row>
        <row r="218">
          <cell r="B218">
            <v>73200000</v>
          </cell>
          <cell r="F218" t="str">
            <v>I03</v>
          </cell>
          <cell r="K218">
            <v>-1400</v>
          </cell>
        </row>
        <row r="219">
          <cell r="B219">
            <v>73620200</v>
          </cell>
          <cell r="F219" t="str">
            <v>I03</v>
          </cell>
          <cell r="K219">
            <v>-7277.08</v>
          </cell>
        </row>
        <row r="220">
          <cell r="B220">
            <v>73200000</v>
          </cell>
          <cell r="F220" t="str">
            <v>I05</v>
          </cell>
          <cell r="K220">
            <v>-20000</v>
          </cell>
        </row>
        <row r="221">
          <cell r="B221">
            <v>73200100</v>
          </cell>
          <cell r="F221" t="str">
            <v>I07</v>
          </cell>
          <cell r="K221">
            <v>-5000</v>
          </cell>
        </row>
        <row r="222">
          <cell r="B222">
            <v>73840700</v>
          </cell>
          <cell r="F222" t="str">
            <v>I16</v>
          </cell>
          <cell r="K222">
            <v>-6500</v>
          </cell>
        </row>
        <row r="223">
          <cell r="B223">
            <v>73200000</v>
          </cell>
          <cell r="F223" t="str">
            <v>I21</v>
          </cell>
          <cell r="K223">
            <v>-50635</v>
          </cell>
        </row>
        <row r="224">
          <cell r="B224">
            <v>73300000</v>
          </cell>
          <cell r="F224" t="str">
            <v>I21</v>
          </cell>
          <cell r="K224">
            <v>139.29427270474099</v>
          </cell>
        </row>
        <row r="225">
          <cell r="B225">
            <v>73300000</v>
          </cell>
          <cell r="F225" t="str">
            <v>J01</v>
          </cell>
          <cell r="K225">
            <v>147838.480114167</v>
          </cell>
        </row>
        <row r="226">
          <cell r="B226">
            <v>73720000</v>
          </cell>
          <cell r="F226" t="str">
            <v>J01</v>
          </cell>
          <cell r="K226">
            <v>-1415180</v>
          </cell>
        </row>
        <row r="227">
          <cell r="B227">
            <v>73300000</v>
          </cell>
          <cell r="F227" t="str">
            <v>J04</v>
          </cell>
          <cell r="K227">
            <v>26848.909944133899</v>
          </cell>
        </row>
        <row r="228">
          <cell r="B228">
            <v>73720200</v>
          </cell>
          <cell r="F228" t="str">
            <v>J04</v>
          </cell>
          <cell r="K228">
            <v>-675000</v>
          </cell>
        </row>
        <row r="229">
          <cell r="B229">
            <v>73300000</v>
          </cell>
          <cell r="F229" t="str">
            <v>J06</v>
          </cell>
          <cell r="K229">
            <v>3633.2528916201099</v>
          </cell>
        </row>
        <row r="230">
          <cell r="B230">
            <v>73720200</v>
          </cell>
          <cell r="F230" t="str">
            <v>J06</v>
          </cell>
          <cell r="K230">
            <v>-33000</v>
          </cell>
        </row>
        <row r="231">
          <cell r="B231">
            <v>73300000</v>
          </cell>
          <cell r="F231" t="str">
            <v>K01</v>
          </cell>
          <cell r="K231">
            <v>21872.798652335299</v>
          </cell>
        </row>
        <row r="232">
          <cell r="B232">
            <v>73710000</v>
          </cell>
          <cell r="F232" t="str">
            <v>K01</v>
          </cell>
          <cell r="K232">
            <v>-167102.59</v>
          </cell>
        </row>
        <row r="233">
          <cell r="B233">
            <v>73300000</v>
          </cell>
          <cell r="F233" t="str">
            <v>K02</v>
          </cell>
          <cell r="K233">
            <v>6792.9912826015598</v>
          </cell>
        </row>
        <row r="234">
          <cell r="B234">
            <v>73710500</v>
          </cell>
          <cell r="F234" t="str">
            <v>K02</v>
          </cell>
          <cell r="K234">
            <v>-56115.98</v>
          </cell>
        </row>
        <row r="235">
          <cell r="B235">
            <v>73300000</v>
          </cell>
          <cell r="F235" t="str">
            <v>K03</v>
          </cell>
          <cell r="K235">
            <v>5464.5724305792601</v>
          </cell>
        </row>
        <row r="236">
          <cell r="B236">
            <v>73710600</v>
          </cell>
          <cell r="F236" t="str">
            <v>K03</v>
          </cell>
          <cell r="K236">
            <v>-37646.42</v>
          </cell>
        </row>
        <row r="237">
          <cell r="B237">
            <v>73300000</v>
          </cell>
          <cell r="F237" t="str">
            <v>K04</v>
          </cell>
          <cell r="K237">
            <v>6610.6424999999899</v>
          </cell>
        </row>
        <row r="238">
          <cell r="B238">
            <v>73710100</v>
          </cell>
          <cell r="F238" t="str">
            <v>K04</v>
          </cell>
          <cell r="K238">
            <v>-56726.664999999899</v>
          </cell>
        </row>
        <row r="239">
          <cell r="B239">
            <v>73710200</v>
          </cell>
          <cell r="F239" t="str">
            <v>K04</v>
          </cell>
          <cell r="K239">
            <v>-9379.7599999999893</v>
          </cell>
        </row>
        <row r="240">
          <cell r="B240">
            <v>73300000</v>
          </cell>
          <cell r="F240" t="str">
            <v>O02</v>
          </cell>
          <cell r="K240">
            <v>35604.94</v>
          </cell>
        </row>
        <row r="241">
          <cell r="B241">
            <v>73800100</v>
          </cell>
          <cell r="F241" t="str">
            <v>O02</v>
          </cell>
          <cell r="K241">
            <v>-395315</v>
          </cell>
        </row>
        <row r="242">
          <cell r="B242">
            <v>73300000</v>
          </cell>
          <cell r="F242" t="str">
            <v>O08</v>
          </cell>
          <cell r="K242">
            <v>2019.0778555178799</v>
          </cell>
        </row>
        <row r="243">
          <cell r="B243">
            <v>73800200</v>
          </cell>
          <cell r="F243" t="str">
            <v>O08</v>
          </cell>
          <cell r="K243">
            <v>-2110908.54</v>
          </cell>
        </row>
        <row r="244">
          <cell r="B244">
            <v>73300000</v>
          </cell>
          <cell r="F244" t="str">
            <v>O13</v>
          </cell>
          <cell r="K244">
            <v>13154.1104040752</v>
          </cell>
        </row>
        <row r="245">
          <cell r="B245">
            <v>73801300</v>
          </cell>
          <cell r="F245" t="str">
            <v>O13</v>
          </cell>
          <cell r="K245">
            <v>-129662</v>
          </cell>
        </row>
        <row r="246">
          <cell r="B246">
            <v>73809900</v>
          </cell>
          <cell r="F246" t="str">
            <v>O13</v>
          </cell>
          <cell r="K246">
            <v>-3900</v>
          </cell>
        </row>
        <row r="247">
          <cell r="B247">
            <v>73300000</v>
          </cell>
          <cell r="F247" t="str">
            <v>O22</v>
          </cell>
          <cell r="K247">
            <v>2180.1633333333298</v>
          </cell>
        </row>
        <row r="248">
          <cell r="B248">
            <v>73801900</v>
          </cell>
          <cell r="F248" t="str">
            <v>O22</v>
          </cell>
          <cell r="K248">
            <v>-216183</v>
          </cell>
        </row>
        <row r="249">
          <cell r="B249">
            <v>73300000</v>
          </cell>
          <cell r="F249" t="str">
            <v>O23</v>
          </cell>
          <cell r="K249">
            <v>83249.168246666697</v>
          </cell>
        </row>
        <row r="250">
          <cell r="B250">
            <v>73802000</v>
          </cell>
          <cell r="F250" t="str">
            <v>O23</v>
          </cell>
          <cell r="K250">
            <v>-936360</v>
          </cell>
        </row>
        <row r="251">
          <cell r="B251">
            <v>73300000</v>
          </cell>
          <cell r="F251" t="str">
            <v>O24</v>
          </cell>
          <cell r="K251">
            <v>11657.486599456601</v>
          </cell>
        </row>
        <row r="252">
          <cell r="B252">
            <v>73600200</v>
          </cell>
          <cell r="F252" t="str">
            <v>O24</v>
          </cell>
          <cell r="K252">
            <v>-1079.0470992286</v>
          </cell>
        </row>
        <row r="253">
          <cell r="B253">
            <v>73610200</v>
          </cell>
          <cell r="F253" t="str">
            <v>O24</v>
          </cell>
          <cell r="K253">
            <v>-512.98455211993701</v>
          </cell>
        </row>
        <row r="254">
          <cell r="B254">
            <v>73800600</v>
          </cell>
          <cell r="F254" t="str">
            <v>O24</v>
          </cell>
          <cell r="K254">
            <v>-122235.719917133</v>
          </cell>
        </row>
        <row r="255">
          <cell r="B255">
            <v>73300000</v>
          </cell>
          <cell r="F255" t="str">
            <v>O25</v>
          </cell>
          <cell r="K255">
            <v>28356.4632943242</v>
          </cell>
        </row>
        <row r="256">
          <cell r="B256">
            <v>73800600</v>
          </cell>
          <cell r="F256" t="str">
            <v>O25</v>
          </cell>
          <cell r="K256">
            <v>-307279.23972767201</v>
          </cell>
        </row>
        <row r="257">
          <cell r="B257">
            <v>73300000</v>
          </cell>
          <cell r="F257" t="str">
            <v>O26</v>
          </cell>
          <cell r="K257">
            <v>21517.8222039215</v>
          </cell>
        </row>
        <row r="258">
          <cell r="B258">
            <v>73800600</v>
          </cell>
          <cell r="F258" t="str">
            <v>O26</v>
          </cell>
          <cell r="K258">
            <v>-216296.833646671</v>
          </cell>
        </row>
        <row r="259">
          <cell r="B259">
            <v>73300000</v>
          </cell>
          <cell r="F259" t="str">
            <v>O27</v>
          </cell>
          <cell r="K259">
            <v>18193.995983047102</v>
          </cell>
        </row>
        <row r="260">
          <cell r="B260">
            <v>73800600</v>
          </cell>
          <cell r="F260" t="str">
            <v>O27</v>
          </cell>
          <cell r="K260">
            <v>-168071.96134092301</v>
          </cell>
        </row>
        <row r="261">
          <cell r="B261">
            <v>73300000</v>
          </cell>
          <cell r="F261" t="str">
            <v>O29</v>
          </cell>
          <cell r="K261">
            <v>10804.010147426099</v>
          </cell>
        </row>
        <row r="262">
          <cell r="B262">
            <v>73800600</v>
          </cell>
          <cell r="F262" t="str">
            <v>O29</v>
          </cell>
          <cell r="K262">
            <v>-109203.175708557</v>
          </cell>
        </row>
        <row r="263">
          <cell r="B263">
            <v>73300000</v>
          </cell>
          <cell r="F263" t="str">
            <v>O30</v>
          </cell>
          <cell r="K263">
            <v>14670.2489912323</v>
          </cell>
        </row>
        <row r="264">
          <cell r="B264">
            <v>73600300</v>
          </cell>
          <cell r="F264" t="str">
            <v>O30</v>
          </cell>
          <cell r="K264">
            <v>-3050.78612449311</v>
          </cell>
        </row>
        <row r="265">
          <cell r="B265">
            <v>73800600</v>
          </cell>
          <cell r="F265" t="str">
            <v>O30</v>
          </cell>
          <cell r="K265">
            <v>-157466.99088521901</v>
          </cell>
        </row>
        <row r="266">
          <cell r="B266">
            <v>73300000</v>
          </cell>
          <cell r="F266" t="str">
            <v>O31</v>
          </cell>
          <cell r="K266">
            <v>10520.390861474199</v>
          </cell>
        </row>
        <row r="267">
          <cell r="B267">
            <v>73800600</v>
          </cell>
          <cell r="F267" t="str">
            <v>O31</v>
          </cell>
          <cell r="K267">
            <v>-97959.088773822703</v>
          </cell>
        </row>
        <row r="268">
          <cell r="B268">
            <v>73300000</v>
          </cell>
          <cell r="F268" t="str">
            <v>O32</v>
          </cell>
          <cell r="K268">
            <v>39702.138024515203</v>
          </cell>
        </row>
        <row r="269">
          <cell r="B269">
            <v>73300000</v>
          </cell>
          <cell r="F269" t="str">
            <v>P01</v>
          </cell>
          <cell r="K269">
            <v>22630.532288189701</v>
          </cell>
        </row>
        <row r="270">
          <cell r="B270">
            <v>73600000</v>
          </cell>
          <cell r="F270" t="str">
            <v>P01</v>
          </cell>
          <cell r="K270">
            <v>-2694.12178509868</v>
          </cell>
        </row>
        <row r="271">
          <cell r="B271">
            <v>73700100</v>
          </cell>
          <cell r="F271" t="str">
            <v>P01</v>
          </cell>
          <cell r="K271">
            <v>-180484.02</v>
          </cell>
        </row>
        <row r="272">
          <cell r="B272">
            <v>73300000</v>
          </cell>
          <cell r="F272" t="str">
            <v>P08</v>
          </cell>
          <cell r="K272">
            <v>7184.2242084096797</v>
          </cell>
        </row>
        <row r="273">
          <cell r="B273">
            <v>73600000</v>
          </cell>
          <cell r="F273" t="str">
            <v>P08</v>
          </cell>
          <cell r="K273">
            <v>-2197.3201634669399</v>
          </cell>
        </row>
        <row r="274">
          <cell r="B274">
            <v>73700500</v>
          </cell>
          <cell r="F274" t="str">
            <v>P08</v>
          </cell>
          <cell r="K274">
            <v>-56000</v>
          </cell>
        </row>
        <row r="275">
          <cell r="B275">
            <v>73300000</v>
          </cell>
          <cell r="F275" t="str">
            <v>P12</v>
          </cell>
          <cell r="K275">
            <v>8075.0303115146999</v>
          </cell>
        </row>
        <row r="276">
          <cell r="B276">
            <v>73701000</v>
          </cell>
          <cell r="F276" t="str">
            <v>P12</v>
          </cell>
          <cell r="K276">
            <v>-66668.52</v>
          </cell>
        </row>
        <row r="277">
          <cell r="B277">
            <v>73300000</v>
          </cell>
          <cell r="F277" t="str">
            <v>P13</v>
          </cell>
          <cell r="K277">
            <v>6553.3525441956199</v>
          </cell>
        </row>
        <row r="278">
          <cell r="B278">
            <v>73701000</v>
          </cell>
          <cell r="F278" t="str">
            <v>P13</v>
          </cell>
          <cell r="K278">
            <v>-53334.82</v>
          </cell>
        </row>
        <row r="279">
          <cell r="B279">
            <v>73300000</v>
          </cell>
          <cell r="F279" t="str">
            <v>P14</v>
          </cell>
          <cell r="K279">
            <v>18790.286079211899</v>
          </cell>
        </row>
        <row r="280">
          <cell r="B280">
            <v>73701100</v>
          </cell>
          <cell r="F280" t="str">
            <v>P14</v>
          </cell>
          <cell r="K280">
            <v>-151024.10999999999</v>
          </cell>
        </row>
        <row r="281">
          <cell r="B281">
            <v>73701200</v>
          </cell>
          <cell r="F281" t="str">
            <v>P15</v>
          </cell>
          <cell r="K281">
            <v>-35000</v>
          </cell>
        </row>
        <row r="282">
          <cell r="B282">
            <v>73300000</v>
          </cell>
          <cell r="F282" t="str">
            <v>P16</v>
          </cell>
          <cell r="K282">
            <v>7787.8489828028596</v>
          </cell>
        </row>
        <row r="283">
          <cell r="B283">
            <v>73701300</v>
          </cell>
          <cell r="F283" t="str">
            <v>P16</v>
          </cell>
          <cell r="K283">
            <v>-60000</v>
          </cell>
        </row>
        <row r="284">
          <cell r="B284">
            <v>73300000</v>
          </cell>
          <cell r="F284" t="str">
            <v>P17</v>
          </cell>
          <cell r="K284">
            <v>5137.5771999999997</v>
          </cell>
        </row>
        <row r="285">
          <cell r="B285">
            <v>73701200</v>
          </cell>
          <cell r="F285" t="str">
            <v>P17</v>
          </cell>
          <cell r="K285">
            <v>-60000</v>
          </cell>
        </row>
        <row r="286">
          <cell r="B286">
            <v>73300000</v>
          </cell>
          <cell r="F286" t="str">
            <v>P18</v>
          </cell>
          <cell r="K286">
            <v>5871.8888120871998</v>
          </cell>
        </row>
        <row r="287">
          <cell r="B287">
            <v>73700600</v>
          </cell>
          <cell r="F287" t="str">
            <v>P18</v>
          </cell>
          <cell r="K287">
            <v>-39666.666666666599</v>
          </cell>
        </row>
        <row r="288">
          <cell r="B288">
            <v>73300000</v>
          </cell>
          <cell r="F288" t="str">
            <v>P20</v>
          </cell>
          <cell r="K288">
            <v>6682.1384968016</v>
          </cell>
        </row>
        <row r="289">
          <cell r="B289">
            <v>73700600</v>
          </cell>
          <cell r="F289" t="str">
            <v>P20</v>
          </cell>
          <cell r="K289">
            <v>-45000</v>
          </cell>
        </row>
        <row r="290">
          <cell r="B290">
            <v>73300000</v>
          </cell>
          <cell r="F290" t="str">
            <v>P21</v>
          </cell>
          <cell r="K290">
            <v>8778.9846670554798</v>
          </cell>
        </row>
        <row r="291">
          <cell r="B291">
            <v>73731000</v>
          </cell>
          <cell r="F291" t="str">
            <v>P21</v>
          </cell>
          <cell r="K291">
            <v>-71486.02</v>
          </cell>
        </row>
        <row r="292">
          <cell r="B292">
            <v>73730400</v>
          </cell>
          <cell r="F292" t="str">
            <v>R07</v>
          </cell>
          <cell r="K292">
            <v>-33000</v>
          </cell>
        </row>
        <row r="293">
          <cell r="B293">
            <v>73830300</v>
          </cell>
          <cell r="F293" t="str">
            <v>R17</v>
          </cell>
          <cell r="K293">
            <v>-85900.76</v>
          </cell>
        </row>
        <row r="294">
          <cell r="B294">
            <v>73840000</v>
          </cell>
          <cell r="F294" t="str">
            <v>R29</v>
          </cell>
          <cell r="K294">
            <v>-17998</v>
          </cell>
        </row>
        <row r="295">
          <cell r="B295">
            <v>73300000</v>
          </cell>
          <cell r="F295" t="str">
            <v>R36</v>
          </cell>
          <cell r="K295">
            <v>7266.1818181818098</v>
          </cell>
        </row>
        <row r="296">
          <cell r="B296">
            <v>73814000</v>
          </cell>
          <cell r="F296" t="str">
            <v>R36</v>
          </cell>
          <cell r="K296">
            <v>-79928</v>
          </cell>
        </row>
        <row r="297">
          <cell r="B297">
            <v>73300000</v>
          </cell>
          <cell r="F297" t="str">
            <v>S01</v>
          </cell>
          <cell r="K297">
            <v>8333.9861330034091</v>
          </cell>
        </row>
        <row r="298">
          <cell r="B298">
            <v>73811000</v>
          </cell>
          <cell r="F298" t="str">
            <v>S01</v>
          </cell>
          <cell r="K298">
            <v>-93116</v>
          </cell>
        </row>
        <row r="299">
          <cell r="B299">
            <v>73300000</v>
          </cell>
          <cell r="F299" t="str">
            <v>S02</v>
          </cell>
          <cell r="K299">
            <v>24951.193271181899</v>
          </cell>
        </row>
        <row r="300">
          <cell r="B300">
            <v>73810900</v>
          </cell>
          <cell r="F300" t="str">
            <v>S02</v>
          </cell>
          <cell r="K300">
            <v>-274400.67</v>
          </cell>
        </row>
        <row r="301">
          <cell r="B301">
            <v>73300000</v>
          </cell>
          <cell r="F301" t="str">
            <v>S05</v>
          </cell>
          <cell r="K301">
            <v>132755.538513315</v>
          </cell>
        </row>
        <row r="302">
          <cell r="B302">
            <v>73810300</v>
          </cell>
          <cell r="F302" t="str">
            <v>S05</v>
          </cell>
          <cell r="K302">
            <v>-1459982</v>
          </cell>
        </row>
        <row r="303">
          <cell r="B303">
            <v>73300000</v>
          </cell>
          <cell r="F303" t="str">
            <v>S08</v>
          </cell>
          <cell r="K303">
            <v>75425.210107231702</v>
          </cell>
        </row>
        <row r="304">
          <cell r="B304">
            <v>73810500</v>
          </cell>
          <cell r="F304" t="str">
            <v>S08</v>
          </cell>
          <cell r="K304">
            <v>-850391</v>
          </cell>
        </row>
        <row r="305">
          <cell r="B305">
            <v>73300000</v>
          </cell>
          <cell r="F305" t="str">
            <v>S09</v>
          </cell>
          <cell r="K305">
            <v>20640.455651039101</v>
          </cell>
        </row>
        <row r="306">
          <cell r="B306">
            <v>73810100</v>
          </cell>
          <cell r="F306" t="str">
            <v>S09</v>
          </cell>
          <cell r="K306">
            <v>-228833</v>
          </cell>
        </row>
        <row r="307">
          <cell r="B307">
            <v>73300000</v>
          </cell>
          <cell r="F307" t="str">
            <v>S13</v>
          </cell>
          <cell r="K307">
            <v>29267.002656833902</v>
          </cell>
        </row>
        <row r="308">
          <cell r="B308">
            <v>73811400</v>
          </cell>
          <cell r="F308" t="str">
            <v>S13</v>
          </cell>
          <cell r="K308">
            <v>-304302</v>
          </cell>
        </row>
        <row r="309">
          <cell r="B309">
            <v>73300000</v>
          </cell>
          <cell r="F309" t="str">
            <v>S16</v>
          </cell>
          <cell r="K309">
            <v>74788.907576255093</v>
          </cell>
        </row>
        <row r="310">
          <cell r="B310">
            <v>73730600</v>
          </cell>
          <cell r="F310" t="str">
            <v>S16</v>
          </cell>
          <cell r="K310">
            <v>-2416.3199999999902</v>
          </cell>
        </row>
        <row r="311">
          <cell r="B311">
            <v>73810700</v>
          </cell>
          <cell r="F311" t="str">
            <v>S16</v>
          </cell>
          <cell r="K311">
            <v>-817175</v>
          </cell>
        </row>
        <row r="312">
          <cell r="B312">
            <v>73300000</v>
          </cell>
          <cell r="F312" t="str">
            <v>S18</v>
          </cell>
          <cell r="K312">
            <v>22103.6214344982</v>
          </cell>
        </row>
        <row r="313">
          <cell r="B313">
            <v>73811100</v>
          </cell>
          <cell r="F313" t="str">
            <v>S18</v>
          </cell>
          <cell r="K313">
            <v>-211897.86</v>
          </cell>
        </row>
        <row r="314">
          <cell r="B314">
            <v>73200100</v>
          </cell>
          <cell r="F314" t="str">
            <v>S19</v>
          </cell>
          <cell r="K314">
            <v>-1550</v>
          </cell>
        </row>
        <row r="315">
          <cell r="B315">
            <v>73300000</v>
          </cell>
          <cell r="F315" t="str">
            <v>S19</v>
          </cell>
          <cell r="K315">
            <v>27627.235621200802</v>
          </cell>
        </row>
        <row r="316">
          <cell r="B316">
            <v>73811300</v>
          </cell>
          <cell r="F316" t="str">
            <v>S19</v>
          </cell>
          <cell r="K316">
            <v>-311187</v>
          </cell>
        </row>
        <row r="317">
          <cell r="B317">
            <v>73300000</v>
          </cell>
          <cell r="F317" t="str">
            <v>S20</v>
          </cell>
          <cell r="K317">
            <v>13372.738652207299</v>
          </cell>
        </row>
        <row r="318">
          <cell r="B318">
            <v>73811600</v>
          </cell>
          <cell r="F318" t="str">
            <v>S20</v>
          </cell>
          <cell r="K318">
            <v>-148825.1808</v>
          </cell>
        </row>
        <row r="319">
          <cell r="B319">
            <v>73300000</v>
          </cell>
          <cell r="F319" t="str">
            <v>S28</v>
          </cell>
          <cell r="K319">
            <v>3456.6188517136102</v>
          </cell>
        </row>
        <row r="320">
          <cell r="B320">
            <v>73810400</v>
          </cell>
          <cell r="F320" t="str">
            <v>S28</v>
          </cell>
          <cell r="K320">
            <v>-34000</v>
          </cell>
        </row>
        <row r="321">
          <cell r="B321">
            <v>73300000</v>
          </cell>
          <cell r="F321" t="str">
            <v>S29</v>
          </cell>
          <cell r="K321">
            <v>20019.798748466299</v>
          </cell>
        </row>
        <row r="322">
          <cell r="B322">
            <v>73811500</v>
          </cell>
          <cell r="F322" t="str">
            <v>S29</v>
          </cell>
          <cell r="K322">
            <v>-162718.89659999899</v>
          </cell>
        </row>
        <row r="323">
          <cell r="B323">
            <v>73300000</v>
          </cell>
          <cell r="F323" t="str">
            <v>S35</v>
          </cell>
          <cell r="K323">
            <v>4605.2787244934598</v>
          </cell>
        </row>
        <row r="324">
          <cell r="B324">
            <v>73600000</v>
          </cell>
          <cell r="F324" t="str">
            <v>S35</v>
          </cell>
          <cell r="K324">
            <v>-1049.0795236608401</v>
          </cell>
        </row>
        <row r="325">
          <cell r="B325">
            <v>73812500</v>
          </cell>
          <cell r="F325" t="str">
            <v>S35</v>
          </cell>
          <cell r="K325">
            <v>-49919</v>
          </cell>
        </row>
        <row r="326">
          <cell r="B326">
            <v>73300000</v>
          </cell>
          <cell r="F326" t="str">
            <v>S36</v>
          </cell>
          <cell r="K326">
            <v>11525.3377698278</v>
          </cell>
        </row>
        <row r="327">
          <cell r="B327">
            <v>73611200</v>
          </cell>
          <cell r="F327" t="str">
            <v>S36</v>
          </cell>
          <cell r="K327">
            <v>-5000</v>
          </cell>
        </row>
        <row r="328">
          <cell r="B328">
            <v>73812600</v>
          </cell>
          <cell r="F328" t="str">
            <v>S36</v>
          </cell>
          <cell r="K328">
            <v>-124692</v>
          </cell>
        </row>
        <row r="329">
          <cell r="B329">
            <v>73300000</v>
          </cell>
          <cell r="F329" t="str">
            <v>S42</v>
          </cell>
          <cell r="K329">
            <v>25184.040740893801</v>
          </cell>
        </row>
        <row r="330">
          <cell r="B330">
            <v>73813300</v>
          </cell>
          <cell r="F330" t="str">
            <v>S42</v>
          </cell>
          <cell r="K330">
            <v>-262552.08</v>
          </cell>
        </row>
        <row r="331">
          <cell r="B331">
            <v>73300000</v>
          </cell>
          <cell r="F331" t="str">
            <v>S54</v>
          </cell>
          <cell r="K331">
            <v>109081.3695</v>
          </cell>
        </row>
        <row r="332">
          <cell r="B332">
            <v>73810800</v>
          </cell>
          <cell r="F332" t="str">
            <v>S54</v>
          </cell>
          <cell r="K332">
            <v>-868000</v>
          </cell>
        </row>
        <row r="333">
          <cell r="B333">
            <v>73300000</v>
          </cell>
          <cell r="F333" t="str">
            <v>S55</v>
          </cell>
          <cell r="K333">
            <v>3474.36131277084</v>
          </cell>
        </row>
        <row r="334">
          <cell r="B334">
            <v>73810400</v>
          </cell>
          <cell r="F334" t="str">
            <v>S55</v>
          </cell>
          <cell r="K334">
            <v>-38425</v>
          </cell>
        </row>
        <row r="335">
          <cell r="B335">
            <v>73300000</v>
          </cell>
          <cell r="F335" t="str">
            <v>S57</v>
          </cell>
          <cell r="K335">
            <v>10680.6105823529</v>
          </cell>
        </row>
        <row r="336">
          <cell r="B336">
            <v>73813200</v>
          </cell>
          <cell r="F336" t="str">
            <v>S57</v>
          </cell>
          <cell r="K336">
            <v>-120000</v>
          </cell>
        </row>
        <row r="337">
          <cell r="B337">
            <v>73300000</v>
          </cell>
          <cell r="F337" t="str">
            <v>S58</v>
          </cell>
          <cell r="K337">
            <v>2542.0442928399998</v>
          </cell>
        </row>
        <row r="338">
          <cell r="B338">
            <v>73812200</v>
          </cell>
          <cell r="F338" t="str">
            <v>S58</v>
          </cell>
          <cell r="K338">
            <v>-26500</v>
          </cell>
        </row>
        <row r="339">
          <cell r="B339">
            <v>73300000</v>
          </cell>
          <cell r="F339" t="str">
            <v>C01</v>
          </cell>
          <cell r="K339">
            <v>-3837516.6399261099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VTE"/>
      <sheetName val="Codering_KP"/>
      <sheetName val="Codering_Grb_"/>
      <sheetName val="Berek"/>
      <sheetName val="overhead"/>
      <sheetName val="model_overheid"/>
      <sheetName val="Brutoloonk_Act"/>
      <sheetName val="Brutoloonk_OV"/>
      <sheetName val="Brutoloonk_incl_OV"/>
    </sheetNames>
    <sheetDataSet>
      <sheetData sheetId="0">
        <row r="1">
          <cell r="G1" t="str">
            <v>Grb. Model</v>
          </cell>
        </row>
        <row r="2">
          <cell r="F2" t="str">
            <v>Saldo</v>
          </cell>
          <cell r="G2">
            <v>2</v>
          </cell>
          <cell r="H2">
            <v>3</v>
          </cell>
        </row>
        <row r="3">
          <cell r="F3">
            <v>162.93</v>
          </cell>
          <cell r="G3">
            <v>0</v>
          </cell>
          <cell r="H3" t="str">
            <v>60/61</v>
          </cell>
        </row>
        <row r="4">
          <cell r="F4">
            <v>438.79</v>
          </cell>
          <cell r="G4">
            <v>0</v>
          </cell>
          <cell r="H4" t="str">
            <v>60/61</v>
          </cell>
        </row>
        <row r="5">
          <cell r="F5">
            <v>712.25</v>
          </cell>
          <cell r="G5">
            <v>0</v>
          </cell>
          <cell r="H5" t="str">
            <v>60/61</v>
          </cell>
        </row>
        <row r="6">
          <cell r="F6">
            <v>60.820000000000007</v>
          </cell>
          <cell r="G6">
            <v>0</v>
          </cell>
          <cell r="H6" t="str">
            <v>60/61</v>
          </cell>
        </row>
        <row r="7">
          <cell r="F7">
            <v>166.1</v>
          </cell>
          <cell r="G7">
            <v>0</v>
          </cell>
          <cell r="H7" t="str">
            <v>60/61</v>
          </cell>
        </row>
        <row r="8">
          <cell r="F8">
            <v>2260.77</v>
          </cell>
          <cell r="G8">
            <v>0</v>
          </cell>
          <cell r="H8" t="str">
            <v>60/61</v>
          </cell>
        </row>
        <row r="9">
          <cell r="F9">
            <v>357.02</v>
          </cell>
          <cell r="G9">
            <v>0</v>
          </cell>
          <cell r="H9" t="str">
            <v>60/61</v>
          </cell>
        </row>
        <row r="10">
          <cell r="F10">
            <v>210.89</v>
          </cell>
          <cell r="G10">
            <v>0</v>
          </cell>
          <cell r="H10" t="str">
            <v>60/61</v>
          </cell>
        </row>
        <row r="11">
          <cell r="F11">
            <v>341.36</v>
          </cell>
          <cell r="G11">
            <v>0</v>
          </cell>
          <cell r="H11" t="str">
            <v>60/61</v>
          </cell>
        </row>
        <row r="12">
          <cell r="F12">
            <v>414.11</v>
          </cell>
          <cell r="G12">
            <v>0</v>
          </cell>
          <cell r="H12" t="str">
            <v>60/61</v>
          </cell>
        </row>
        <row r="13">
          <cell r="F13">
            <v>48.39</v>
          </cell>
          <cell r="G13">
            <v>0</v>
          </cell>
          <cell r="H13" t="str">
            <v>60/61</v>
          </cell>
        </row>
        <row r="14">
          <cell r="F14">
            <v>195.48000000000002</v>
          </cell>
          <cell r="G14">
            <v>0</v>
          </cell>
          <cell r="H14" t="str">
            <v>60/61</v>
          </cell>
        </row>
        <row r="15">
          <cell r="F15">
            <v>2758.6699999999996</v>
          </cell>
          <cell r="G15">
            <v>0</v>
          </cell>
          <cell r="H15" t="str">
            <v>60/61</v>
          </cell>
        </row>
        <row r="16">
          <cell r="F16">
            <v>2251.3200000000002</v>
          </cell>
          <cell r="G16">
            <v>0</v>
          </cell>
          <cell r="H16" t="str">
            <v>60/61</v>
          </cell>
        </row>
        <row r="17">
          <cell r="F17">
            <v>70.36</v>
          </cell>
          <cell r="G17">
            <v>0</v>
          </cell>
          <cell r="H17" t="str">
            <v>60/61</v>
          </cell>
        </row>
        <row r="18">
          <cell r="F18">
            <v>109.23</v>
          </cell>
          <cell r="G18">
            <v>0</v>
          </cell>
          <cell r="H18" t="str">
            <v>60/61</v>
          </cell>
        </row>
        <row r="19">
          <cell r="F19">
            <v>539.85</v>
          </cell>
          <cell r="G19">
            <v>0</v>
          </cell>
          <cell r="H19" t="str">
            <v>60/61</v>
          </cell>
        </row>
        <row r="20">
          <cell r="F20">
            <v>191127.68999999997</v>
          </cell>
          <cell r="G20">
            <v>0</v>
          </cell>
          <cell r="H20" t="str">
            <v>60/61</v>
          </cell>
        </row>
        <row r="21">
          <cell r="F21">
            <v>306.49</v>
          </cell>
          <cell r="G21">
            <v>0</v>
          </cell>
          <cell r="H21" t="str">
            <v>60/61</v>
          </cell>
        </row>
        <row r="22">
          <cell r="F22">
            <v>39.71</v>
          </cell>
          <cell r="G22">
            <v>0</v>
          </cell>
          <cell r="H22" t="str">
            <v>60/61</v>
          </cell>
        </row>
        <row r="23">
          <cell r="F23">
            <v>19.14</v>
          </cell>
          <cell r="G23">
            <v>0</v>
          </cell>
          <cell r="H23" t="str">
            <v>60/61</v>
          </cell>
        </row>
        <row r="24">
          <cell r="F24">
            <v>43.09</v>
          </cell>
          <cell r="G24">
            <v>0</v>
          </cell>
          <cell r="H24" t="str">
            <v>60/61</v>
          </cell>
        </row>
        <row r="25">
          <cell r="F25">
            <v>325.14</v>
          </cell>
          <cell r="G25">
            <v>0</v>
          </cell>
          <cell r="H25" t="str">
            <v>60/61</v>
          </cell>
        </row>
        <row r="26">
          <cell r="F26">
            <v>13099.400000000001</v>
          </cell>
          <cell r="G26">
            <v>0</v>
          </cell>
          <cell r="H26" t="str">
            <v>60/61</v>
          </cell>
        </row>
        <row r="27">
          <cell r="F27">
            <v>1104.74</v>
          </cell>
          <cell r="G27">
            <v>0</v>
          </cell>
          <cell r="H27" t="str">
            <v>60/61</v>
          </cell>
        </row>
        <row r="28">
          <cell r="F28">
            <v>34.71</v>
          </cell>
          <cell r="G28">
            <v>0</v>
          </cell>
          <cell r="H28" t="str">
            <v>60/61</v>
          </cell>
        </row>
        <row r="29">
          <cell r="F29">
            <v>320.58</v>
          </cell>
          <cell r="G29">
            <v>0</v>
          </cell>
          <cell r="H29" t="str">
            <v>60/61</v>
          </cell>
        </row>
        <row r="30">
          <cell r="F30">
            <v>16117.07</v>
          </cell>
          <cell r="G30">
            <v>0</v>
          </cell>
          <cell r="H30" t="str">
            <v>60/61</v>
          </cell>
        </row>
        <row r="31">
          <cell r="F31">
            <v>12853.16</v>
          </cell>
          <cell r="G31">
            <v>0</v>
          </cell>
          <cell r="H31" t="str">
            <v>60/61</v>
          </cell>
        </row>
        <row r="32">
          <cell r="F32">
            <v>802.41</v>
          </cell>
          <cell r="G32">
            <v>0</v>
          </cell>
          <cell r="H32" t="str">
            <v>60/61</v>
          </cell>
        </row>
        <row r="33">
          <cell r="F33">
            <v>186.17</v>
          </cell>
          <cell r="G33">
            <v>0</v>
          </cell>
          <cell r="H33" t="str">
            <v>60/61</v>
          </cell>
        </row>
        <row r="34">
          <cell r="F34">
            <v>349.76</v>
          </cell>
          <cell r="G34">
            <v>0</v>
          </cell>
          <cell r="H34" t="str">
            <v>60/61</v>
          </cell>
        </row>
        <row r="35">
          <cell r="F35">
            <v>129</v>
          </cell>
          <cell r="G35">
            <v>0</v>
          </cell>
          <cell r="H35" t="str">
            <v>60/61</v>
          </cell>
        </row>
        <row r="36">
          <cell r="F36">
            <v>334.88</v>
          </cell>
          <cell r="G36">
            <v>0</v>
          </cell>
          <cell r="H36" t="str">
            <v>60/61</v>
          </cell>
        </row>
        <row r="37">
          <cell r="F37">
            <v>258.29000000000002</v>
          </cell>
          <cell r="G37">
            <v>0</v>
          </cell>
          <cell r="H37" t="str">
            <v>60/61</v>
          </cell>
        </row>
        <row r="38">
          <cell r="F38">
            <v>1259.8400000000001</v>
          </cell>
          <cell r="G38">
            <v>0</v>
          </cell>
          <cell r="H38" t="str">
            <v>60/61</v>
          </cell>
        </row>
        <row r="39">
          <cell r="F39">
            <v>26.79</v>
          </cell>
          <cell r="G39">
            <v>0</v>
          </cell>
          <cell r="H39" t="str">
            <v>60/61</v>
          </cell>
        </row>
        <row r="40">
          <cell r="F40">
            <v>963.59000000000015</v>
          </cell>
          <cell r="G40">
            <v>0</v>
          </cell>
          <cell r="H40" t="str">
            <v>60/61</v>
          </cell>
        </row>
        <row r="41">
          <cell r="F41">
            <v>198.84</v>
          </cell>
          <cell r="G41">
            <v>0</v>
          </cell>
          <cell r="H41" t="str">
            <v>60/61</v>
          </cell>
        </row>
        <row r="42">
          <cell r="F42">
            <v>209.14</v>
          </cell>
          <cell r="G42">
            <v>0</v>
          </cell>
          <cell r="H42" t="str">
            <v>60/61</v>
          </cell>
        </row>
        <row r="43">
          <cell r="F43">
            <v>304.08999999999997</v>
          </cell>
          <cell r="G43">
            <v>0</v>
          </cell>
          <cell r="H43" t="str">
            <v>60/61</v>
          </cell>
        </row>
        <row r="44">
          <cell r="F44">
            <v>-15.240000000000009</v>
          </cell>
          <cell r="G44">
            <v>0</v>
          </cell>
          <cell r="H44" t="str">
            <v>60/61</v>
          </cell>
        </row>
        <row r="45">
          <cell r="F45">
            <v>9.56</v>
          </cell>
          <cell r="G45">
            <v>0</v>
          </cell>
          <cell r="H45" t="str">
            <v>60/61</v>
          </cell>
        </row>
        <row r="46">
          <cell r="F46">
            <v>5.58</v>
          </cell>
          <cell r="G46">
            <v>0</v>
          </cell>
          <cell r="H46" t="str">
            <v>60/61</v>
          </cell>
        </row>
        <row r="47">
          <cell r="F47">
            <v>7.43</v>
          </cell>
          <cell r="G47">
            <v>0</v>
          </cell>
          <cell r="H47" t="str">
            <v>60/61</v>
          </cell>
        </row>
        <row r="48">
          <cell r="F48">
            <v>430.56</v>
          </cell>
          <cell r="G48">
            <v>0</v>
          </cell>
          <cell r="H48" t="str">
            <v>60/61</v>
          </cell>
        </row>
        <row r="49">
          <cell r="F49">
            <v>919.33</v>
          </cell>
          <cell r="G49">
            <v>0</v>
          </cell>
          <cell r="H49" t="str">
            <v>60/61</v>
          </cell>
        </row>
        <row r="50">
          <cell r="F50">
            <v>54.17</v>
          </cell>
          <cell r="G50">
            <v>0</v>
          </cell>
          <cell r="H50" t="str">
            <v>60/61</v>
          </cell>
        </row>
        <row r="51">
          <cell r="F51">
            <v>268.24</v>
          </cell>
          <cell r="G51">
            <v>0</v>
          </cell>
          <cell r="H51" t="str">
            <v>60/61</v>
          </cell>
        </row>
        <row r="52">
          <cell r="F52">
            <v>30087.68</v>
          </cell>
          <cell r="G52">
            <v>0</v>
          </cell>
          <cell r="H52" t="str">
            <v>60/61</v>
          </cell>
        </row>
        <row r="53">
          <cell r="F53">
            <v>13.87</v>
          </cell>
          <cell r="G53">
            <v>0</v>
          </cell>
          <cell r="H53" t="str">
            <v>60/61</v>
          </cell>
        </row>
        <row r="54">
          <cell r="F54">
            <v>3.72</v>
          </cell>
          <cell r="G54">
            <v>0</v>
          </cell>
          <cell r="H54" t="str">
            <v>60/61</v>
          </cell>
        </row>
        <row r="55">
          <cell r="F55">
            <v>14.799999999999999</v>
          </cell>
          <cell r="G55">
            <v>0</v>
          </cell>
          <cell r="H55" t="str">
            <v>60/61</v>
          </cell>
        </row>
        <row r="56">
          <cell r="F56">
            <v>75.010000000000005</v>
          </cell>
          <cell r="G56">
            <v>0</v>
          </cell>
          <cell r="H56" t="str">
            <v>60/61</v>
          </cell>
        </row>
        <row r="57">
          <cell r="F57">
            <v>280.83999999999997</v>
          </cell>
          <cell r="G57">
            <v>0</v>
          </cell>
          <cell r="H57" t="str">
            <v>60/61</v>
          </cell>
        </row>
        <row r="58">
          <cell r="F58">
            <v>376.38</v>
          </cell>
          <cell r="G58">
            <v>0</v>
          </cell>
          <cell r="H58" t="str">
            <v>60/61</v>
          </cell>
        </row>
        <row r="59">
          <cell r="F59">
            <v>88.51</v>
          </cell>
          <cell r="G59">
            <v>0</v>
          </cell>
          <cell r="H59" t="str">
            <v>60/61</v>
          </cell>
        </row>
        <row r="60">
          <cell r="F60">
            <v>48.14</v>
          </cell>
          <cell r="G60">
            <v>0</v>
          </cell>
          <cell r="H60" t="str">
            <v>60/61</v>
          </cell>
        </row>
        <row r="61">
          <cell r="F61">
            <v>106.97</v>
          </cell>
          <cell r="G61">
            <v>0</v>
          </cell>
          <cell r="H61" t="str">
            <v>60/61</v>
          </cell>
        </row>
        <row r="62">
          <cell r="F62">
            <v>106.14</v>
          </cell>
          <cell r="G62">
            <v>0</v>
          </cell>
          <cell r="H62" t="str">
            <v>60/61</v>
          </cell>
        </row>
        <row r="63">
          <cell r="F63">
            <v>30.799999999999997</v>
          </cell>
          <cell r="G63">
            <v>0</v>
          </cell>
          <cell r="H63" t="str">
            <v>60/61</v>
          </cell>
        </row>
        <row r="64">
          <cell r="F64">
            <v>9092.619999999999</v>
          </cell>
          <cell r="G64">
            <v>0</v>
          </cell>
          <cell r="H64" t="str">
            <v>60/61</v>
          </cell>
        </row>
        <row r="65">
          <cell r="F65">
            <v>1316.09</v>
          </cell>
          <cell r="G65">
            <v>0</v>
          </cell>
          <cell r="H65" t="str">
            <v>60/61</v>
          </cell>
        </row>
        <row r="66">
          <cell r="F66">
            <v>488.93</v>
          </cell>
          <cell r="G66">
            <v>0</v>
          </cell>
          <cell r="H66" t="str">
            <v>60/61</v>
          </cell>
        </row>
        <row r="67">
          <cell r="F67">
            <v>12</v>
          </cell>
          <cell r="G67">
            <v>0</v>
          </cell>
          <cell r="H67" t="str">
            <v>60/61</v>
          </cell>
        </row>
        <row r="68">
          <cell r="F68">
            <v>27.57</v>
          </cell>
          <cell r="G68">
            <v>0</v>
          </cell>
          <cell r="H68" t="str">
            <v>60/61</v>
          </cell>
        </row>
        <row r="69">
          <cell r="F69">
            <v>444.32</v>
          </cell>
          <cell r="G69">
            <v>0</v>
          </cell>
          <cell r="H69" t="str">
            <v>60/61</v>
          </cell>
        </row>
        <row r="70">
          <cell r="F70">
            <v>1140.4100000000001</v>
          </cell>
          <cell r="G70">
            <v>0</v>
          </cell>
          <cell r="H70" t="str">
            <v>60/61</v>
          </cell>
        </row>
        <row r="71">
          <cell r="F71">
            <v>39187.360000000001</v>
          </cell>
          <cell r="G71">
            <v>0</v>
          </cell>
          <cell r="H71" t="str">
            <v>60/61</v>
          </cell>
        </row>
        <row r="72">
          <cell r="F72">
            <v>2772.23</v>
          </cell>
          <cell r="G72">
            <v>0</v>
          </cell>
          <cell r="H72" t="str">
            <v>60/61</v>
          </cell>
        </row>
        <row r="73">
          <cell r="F73">
            <v>418.33</v>
          </cell>
          <cell r="G73">
            <v>0</v>
          </cell>
          <cell r="H73" t="str">
            <v>60/61</v>
          </cell>
        </row>
        <row r="74">
          <cell r="F74">
            <v>22.23</v>
          </cell>
          <cell r="G74">
            <v>0</v>
          </cell>
          <cell r="H74" t="str">
            <v>60/61</v>
          </cell>
        </row>
        <row r="75">
          <cell r="F75">
            <v>392.81</v>
          </cell>
          <cell r="G75">
            <v>0</v>
          </cell>
          <cell r="H75" t="str">
            <v>60/61</v>
          </cell>
        </row>
        <row r="76">
          <cell r="F76">
            <v>742.8</v>
          </cell>
          <cell r="G76">
            <v>0</v>
          </cell>
          <cell r="H76" t="str">
            <v>60/61</v>
          </cell>
        </row>
        <row r="77">
          <cell r="F77">
            <v>27493.439999999999</v>
          </cell>
          <cell r="G77">
            <v>0</v>
          </cell>
          <cell r="H77" t="str">
            <v>60/61</v>
          </cell>
        </row>
        <row r="78">
          <cell r="F78">
            <v>114.78</v>
          </cell>
          <cell r="G78">
            <v>0</v>
          </cell>
          <cell r="H78" t="str">
            <v>60/61</v>
          </cell>
        </row>
        <row r="79">
          <cell r="F79">
            <v>260.8</v>
          </cell>
          <cell r="G79">
            <v>0</v>
          </cell>
          <cell r="H79" t="str">
            <v>60/61</v>
          </cell>
        </row>
        <row r="80">
          <cell r="F80">
            <v>511.58</v>
          </cell>
          <cell r="G80">
            <v>0</v>
          </cell>
          <cell r="H80" t="str">
            <v>60/61</v>
          </cell>
        </row>
        <row r="81">
          <cell r="F81">
            <v>1002.77</v>
          </cell>
          <cell r="G81">
            <v>0</v>
          </cell>
          <cell r="H81" t="str">
            <v>60/61</v>
          </cell>
        </row>
        <row r="82">
          <cell r="F82">
            <v>320.64</v>
          </cell>
          <cell r="G82">
            <v>0</v>
          </cell>
          <cell r="H82" t="str">
            <v>60/61</v>
          </cell>
        </row>
        <row r="83">
          <cell r="F83">
            <v>468.08</v>
          </cell>
          <cell r="G83">
            <v>0</v>
          </cell>
          <cell r="H83" t="str">
            <v>60/61</v>
          </cell>
        </row>
        <row r="84">
          <cell r="F84">
            <v>-69.159999999999968</v>
          </cell>
          <cell r="G84">
            <v>0</v>
          </cell>
          <cell r="H84" t="str">
            <v>60/61</v>
          </cell>
        </row>
        <row r="85">
          <cell r="F85">
            <v>104.47</v>
          </cell>
          <cell r="G85">
            <v>0</v>
          </cell>
          <cell r="H85" t="str">
            <v>60/61</v>
          </cell>
        </row>
        <row r="86">
          <cell r="F86">
            <v>13489.59</v>
          </cell>
          <cell r="G86">
            <v>0</v>
          </cell>
          <cell r="H86" t="str">
            <v>60/61</v>
          </cell>
        </row>
        <row r="87">
          <cell r="F87">
            <v>116.34</v>
          </cell>
          <cell r="G87">
            <v>0</v>
          </cell>
          <cell r="H87" t="str">
            <v>60/61</v>
          </cell>
        </row>
        <row r="88">
          <cell r="F88">
            <v>305.32</v>
          </cell>
          <cell r="G88">
            <v>0</v>
          </cell>
          <cell r="H88" t="str">
            <v>60/61</v>
          </cell>
        </row>
        <row r="89">
          <cell r="F89">
            <v>644.33000000000004</v>
          </cell>
          <cell r="G89">
            <v>0</v>
          </cell>
          <cell r="H89" t="str">
            <v>60/61</v>
          </cell>
        </row>
        <row r="90">
          <cell r="F90">
            <v>528.16</v>
          </cell>
          <cell r="G90">
            <v>0</v>
          </cell>
          <cell r="H90" t="str">
            <v>60/61</v>
          </cell>
        </row>
        <row r="91">
          <cell r="F91">
            <v>205.59</v>
          </cell>
          <cell r="G91">
            <v>0</v>
          </cell>
          <cell r="H91" t="str">
            <v>60/61</v>
          </cell>
        </row>
        <row r="92">
          <cell r="F92">
            <v>34</v>
          </cell>
          <cell r="G92">
            <v>0</v>
          </cell>
          <cell r="H92" t="str">
            <v>60/61</v>
          </cell>
        </row>
        <row r="93">
          <cell r="F93">
            <v>67.349999999999994</v>
          </cell>
          <cell r="G93">
            <v>0</v>
          </cell>
          <cell r="H93" t="str">
            <v>60/61</v>
          </cell>
        </row>
        <row r="94">
          <cell r="F94">
            <v>131.19</v>
          </cell>
          <cell r="G94">
            <v>0</v>
          </cell>
          <cell r="H94" t="str">
            <v>60/61</v>
          </cell>
        </row>
        <row r="95">
          <cell r="F95">
            <v>24.27</v>
          </cell>
          <cell r="G95">
            <v>0</v>
          </cell>
          <cell r="H95" t="str">
            <v>60/61</v>
          </cell>
        </row>
        <row r="96">
          <cell r="F96">
            <v>220.07</v>
          </cell>
          <cell r="G96">
            <v>0</v>
          </cell>
          <cell r="H96" t="str">
            <v>60/61</v>
          </cell>
        </row>
        <row r="97">
          <cell r="F97">
            <v>86.93</v>
          </cell>
          <cell r="G97">
            <v>0</v>
          </cell>
          <cell r="H97" t="str">
            <v>60/61</v>
          </cell>
        </row>
        <row r="98">
          <cell r="F98">
            <v>26.99</v>
          </cell>
          <cell r="G98">
            <v>0</v>
          </cell>
          <cell r="H98" t="str">
            <v>60/61</v>
          </cell>
        </row>
        <row r="99">
          <cell r="F99">
            <v>64.58</v>
          </cell>
          <cell r="G99">
            <v>0</v>
          </cell>
          <cell r="H99" t="str">
            <v>60/61</v>
          </cell>
        </row>
        <row r="100">
          <cell r="F100">
            <v>364.89</v>
          </cell>
          <cell r="G100">
            <v>0</v>
          </cell>
          <cell r="H100" t="str">
            <v>60/61</v>
          </cell>
        </row>
        <row r="101">
          <cell r="F101">
            <v>342.92</v>
          </cell>
          <cell r="G101">
            <v>0</v>
          </cell>
          <cell r="H101" t="str">
            <v>60/61</v>
          </cell>
        </row>
        <row r="102">
          <cell r="F102">
            <v>237.28</v>
          </cell>
          <cell r="G102">
            <v>0</v>
          </cell>
          <cell r="H102" t="str">
            <v>60/61</v>
          </cell>
        </row>
        <row r="103">
          <cell r="F103">
            <v>468.77</v>
          </cell>
          <cell r="G103">
            <v>0</v>
          </cell>
          <cell r="H103" t="str">
            <v>60/61</v>
          </cell>
        </row>
        <row r="104">
          <cell r="F104">
            <v>437.7</v>
          </cell>
          <cell r="G104">
            <v>0</v>
          </cell>
          <cell r="H104" t="str">
            <v>60/61</v>
          </cell>
        </row>
        <row r="105">
          <cell r="F105">
            <v>7543.67</v>
          </cell>
          <cell r="G105">
            <v>0</v>
          </cell>
          <cell r="H105" t="str">
            <v>60/61</v>
          </cell>
        </row>
        <row r="106">
          <cell r="F106">
            <v>314.05</v>
          </cell>
          <cell r="G106">
            <v>0</v>
          </cell>
          <cell r="H106" t="str">
            <v>60/61</v>
          </cell>
        </row>
        <row r="107">
          <cell r="F107">
            <v>155.6</v>
          </cell>
          <cell r="G107">
            <v>0</v>
          </cell>
          <cell r="H107" t="str">
            <v>60/61</v>
          </cell>
        </row>
        <row r="108">
          <cell r="F108">
            <v>450.16</v>
          </cell>
          <cell r="G108">
            <v>0</v>
          </cell>
          <cell r="H108" t="str">
            <v>60/61</v>
          </cell>
        </row>
        <row r="109">
          <cell r="F109">
            <v>383.89</v>
          </cell>
          <cell r="G109">
            <v>0</v>
          </cell>
          <cell r="H109" t="str">
            <v>60/61</v>
          </cell>
        </row>
        <row r="110">
          <cell r="F110">
            <v>0</v>
          </cell>
          <cell r="G110">
            <v>0</v>
          </cell>
          <cell r="H110" t="str">
            <v>60/61</v>
          </cell>
        </row>
        <row r="111">
          <cell r="F111">
            <v>0</v>
          </cell>
          <cell r="G111">
            <v>0</v>
          </cell>
          <cell r="H111" t="str">
            <v>60/61</v>
          </cell>
        </row>
        <row r="112">
          <cell r="F112">
            <v>0</v>
          </cell>
          <cell r="G112">
            <v>0</v>
          </cell>
          <cell r="H112" t="str">
            <v>60/61</v>
          </cell>
        </row>
        <row r="113">
          <cell r="F113">
            <v>-249278.75</v>
          </cell>
          <cell r="G113">
            <v>0</v>
          </cell>
          <cell r="H113" t="str">
            <v>60/61</v>
          </cell>
        </row>
        <row r="114">
          <cell r="F114">
            <v>-8803.68</v>
          </cell>
          <cell r="G114">
            <v>0</v>
          </cell>
          <cell r="H114" t="str">
            <v>60/61</v>
          </cell>
        </row>
        <row r="115">
          <cell r="F115">
            <v>12.11</v>
          </cell>
          <cell r="G115">
            <v>0</v>
          </cell>
          <cell r="H115" t="str">
            <v>60/61</v>
          </cell>
        </row>
        <row r="116">
          <cell r="F116">
            <v>135.03</v>
          </cell>
          <cell r="G116">
            <v>0</v>
          </cell>
          <cell r="H116" t="str">
            <v>60/61</v>
          </cell>
        </row>
        <row r="117">
          <cell r="F117">
            <v>34.369999999999997</v>
          </cell>
          <cell r="G117">
            <v>0</v>
          </cell>
          <cell r="H117" t="str">
            <v>60/61</v>
          </cell>
        </row>
        <row r="118">
          <cell r="F118">
            <v>82</v>
          </cell>
          <cell r="G118">
            <v>0</v>
          </cell>
          <cell r="H118" t="str">
            <v>60/61</v>
          </cell>
        </row>
        <row r="119">
          <cell r="F119">
            <v>140.06</v>
          </cell>
          <cell r="G119">
            <v>0</v>
          </cell>
          <cell r="H119" t="str">
            <v>60/61</v>
          </cell>
        </row>
        <row r="120">
          <cell r="F120">
            <v>49.02</v>
          </cell>
          <cell r="G120">
            <v>0</v>
          </cell>
          <cell r="H120" t="str">
            <v>60/61</v>
          </cell>
        </row>
        <row r="121">
          <cell r="F121">
            <v>320.39999999999998</v>
          </cell>
          <cell r="G121">
            <v>0</v>
          </cell>
          <cell r="H121" t="str">
            <v>60/61</v>
          </cell>
        </row>
        <row r="122">
          <cell r="F122">
            <v>31.48</v>
          </cell>
          <cell r="G122">
            <v>0</v>
          </cell>
          <cell r="H122" t="str">
            <v>60/61</v>
          </cell>
        </row>
        <row r="123">
          <cell r="F123">
            <v>0.06</v>
          </cell>
          <cell r="G123">
            <v>0</v>
          </cell>
          <cell r="H123" t="str">
            <v>60/61</v>
          </cell>
        </row>
        <row r="124">
          <cell r="F124">
            <v>3.52</v>
          </cell>
          <cell r="G124">
            <v>0</v>
          </cell>
          <cell r="H124" t="str">
            <v>60/61</v>
          </cell>
        </row>
        <row r="125">
          <cell r="F125">
            <v>27.43</v>
          </cell>
          <cell r="G125">
            <v>0</v>
          </cell>
          <cell r="H125" t="str">
            <v>60/61</v>
          </cell>
        </row>
        <row r="126">
          <cell r="F126">
            <v>33.150000000000006</v>
          </cell>
          <cell r="G126">
            <v>0</v>
          </cell>
          <cell r="H126" t="str">
            <v>60/61</v>
          </cell>
        </row>
        <row r="127">
          <cell r="F127">
            <v>102.71</v>
          </cell>
          <cell r="G127">
            <v>0</v>
          </cell>
          <cell r="H127" t="str">
            <v>60/61</v>
          </cell>
        </row>
        <row r="128">
          <cell r="F128">
            <v>365.84</v>
          </cell>
          <cell r="G128">
            <v>0</v>
          </cell>
          <cell r="H128" t="str">
            <v>60/61</v>
          </cell>
        </row>
        <row r="129">
          <cell r="F129">
            <v>382.04</v>
          </cell>
          <cell r="G129">
            <v>0</v>
          </cell>
          <cell r="H129" t="str">
            <v>60/61</v>
          </cell>
        </row>
        <row r="130">
          <cell r="F130">
            <v>1696.38</v>
          </cell>
          <cell r="G130">
            <v>0</v>
          </cell>
          <cell r="H130" t="str">
            <v>60/61</v>
          </cell>
        </row>
        <row r="131">
          <cell r="F131">
            <v>4804.28</v>
          </cell>
          <cell r="G131">
            <v>0</v>
          </cell>
          <cell r="H131" t="str">
            <v>60/61</v>
          </cell>
        </row>
        <row r="132">
          <cell r="F132">
            <v>21.549999999999997</v>
          </cell>
          <cell r="G132">
            <v>0</v>
          </cell>
          <cell r="H132" t="str">
            <v>60/61</v>
          </cell>
        </row>
        <row r="133">
          <cell r="F133">
            <v>2215.2600000000002</v>
          </cell>
          <cell r="G133">
            <v>0</v>
          </cell>
          <cell r="H133" t="str">
            <v>60/61</v>
          </cell>
        </row>
        <row r="134">
          <cell r="F134">
            <v>807.8</v>
          </cell>
          <cell r="G134">
            <v>0</v>
          </cell>
          <cell r="H134" t="str">
            <v>60/61</v>
          </cell>
        </row>
        <row r="135">
          <cell r="F135">
            <v>357.27</v>
          </cell>
          <cell r="G135">
            <v>0</v>
          </cell>
          <cell r="H135" t="str">
            <v>60/61</v>
          </cell>
        </row>
        <row r="136">
          <cell r="F136">
            <v>34.119999999999997</v>
          </cell>
          <cell r="G136">
            <v>0</v>
          </cell>
          <cell r="H136" t="str">
            <v>60/61</v>
          </cell>
        </row>
        <row r="137">
          <cell r="F137">
            <v>396.63</v>
          </cell>
          <cell r="G137">
            <v>0</v>
          </cell>
          <cell r="H137" t="str">
            <v>60/61</v>
          </cell>
        </row>
        <row r="138">
          <cell r="F138">
            <v>85.49</v>
          </cell>
          <cell r="G138">
            <v>0</v>
          </cell>
          <cell r="H138" t="str">
            <v>60/61</v>
          </cell>
        </row>
        <row r="139">
          <cell r="F139">
            <v>9.9499999999999993</v>
          </cell>
          <cell r="G139">
            <v>0</v>
          </cell>
          <cell r="H139" t="str">
            <v>60/61</v>
          </cell>
        </row>
        <row r="140">
          <cell r="F140">
            <v>414.53</v>
          </cell>
          <cell r="G140">
            <v>0</v>
          </cell>
          <cell r="H140" t="str">
            <v>60/61</v>
          </cell>
        </row>
        <row r="141">
          <cell r="F141">
            <v>1547.27</v>
          </cell>
          <cell r="G141">
            <v>0</v>
          </cell>
          <cell r="H141" t="str">
            <v>60/61</v>
          </cell>
        </row>
        <row r="142">
          <cell r="F142">
            <v>1150.72</v>
          </cell>
          <cell r="G142">
            <v>0</v>
          </cell>
          <cell r="H142" t="str">
            <v>60/61</v>
          </cell>
        </row>
        <row r="143">
          <cell r="F143">
            <v>45.29</v>
          </cell>
          <cell r="G143">
            <v>0</v>
          </cell>
          <cell r="H143" t="str">
            <v>60/61</v>
          </cell>
        </row>
        <row r="144">
          <cell r="F144">
            <v>51.29</v>
          </cell>
          <cell r="G144">
            <v>0</v>
          </cell>
          <cell r="H144" t="str">
            <v>60/61</v>
          </cell>
        </row>
        <row r="145">
          <cell r="F145">
            <v>106.68</v>
          </cell>
          <cell r="G145">
            <v>0</v>
          </cell>
          <cell r="H145" t="str">
            <v>60/61</v>
          </cell>
        </row>
        <row r="146">
          <cell r="F146">
            <v>955.08999999999992</v>
          </cell>
          <cell r="G146">
            <v>0</v>
          </cell>
          <cell r="H146" t="str">
            <v>60/61</v>
          </cell>
        </row>
        <row r="147">
          <cell r="F147">
            <v>93.759999999999991</v>
          </cell>
          <cell r="G147">
            <v>0</v>
          </cell>
          <cell r="H147" t="str">
            <v>60/61</v>
          </cell>
        </row>
        <row r="148">
          <cell r="F148">
            <v>72.23</v>
          </cell>
          <cell r="G148">
            <v>0</v>
          </cell>
          <cell r="H148" t="str">
            <v>60/61</v>
          </cell>
        </row>
        <row r="149">
          <cell r="F149">
            <v>21.5</v>
          </cell>
          <cell r="G149">
            <v>0</v>
          </cell>
          <cell r="H149" t="str">
            <v>60/61</v>
          </cell>
        </row>
        <row r="150">
          <cell r="F150">
            <v>348.32</v>
          </cell>
          <cell r="G150">
            <v>0</v>
          </cell>
          <cell r="H150" t="str">
            <v>60/61</v>
          </cell>
        </row>
        <row r="151">
          <cell r="F151">
            <v>223.28</v>
          </cell>
          <cell r="G151">
            <v>0</v>
          </cell>
          <cell r="H151" t="str">
            <v>60/61</v>
          </cell>
        </row>
        <row r="152">
          <cell r="F152">
            <v>487.81</v>
          </cell>
          <cell r="G152">
            <v>0</v>
          </cell>
          <cell r="H152" t="str">
            <v>60/61</v>
          </cell>
        </row>
        <row r="153">
          <cell r="F153">
            <v>629.79999999999995</v>
          </cell>
          <cell r="G153">
            <v>0</v>
          </cell>
          <cell r="H153" t="str">
            <v>60/61</v>
          </cell>
        </row>
        <row r="154">
          <cell r="F154">
            <v>350.9</v>
          </cell>
          <cell r="G154">
            <v>0</v>
          </cell>
          <cell r="H154" t="str">
            <v>60/61</v>
          </cell>
        </row>
        <row r="155">
          <cell r="F155">
            <v>10.24</v>
          </cell>
          <cell r="G155">
            <v>0</v>
          </cell>
          <cell r="H155" t="str">
            <v>60/61</v>
          </cell>
        </row>
        <row r="156">
          <cell r="F156">
            <v>199.49</v>
          </cell>
          <cell r="G156">
            <v>0</v>
          </cell>
          <cell r="H156" t="str">
            <v>60/61</v>
          </cell>
        </row>
        <row r="157">
          <cell r="F157">
            <v>318.76</v>
          </cell>
          <cell r="G157">
            <v>0</v>
          </cell>
          <cell r="H157" t="str">
            <v>60/61</v>
          </cell>
        </row>
        <row r="158">
          <cell r="F158">
            <v>2986</v>
          </cell>
          <cell r="G158">
            <v>0</v>
          </cell>
          <cell r="H158" t="str">
            <v>60/61</v>
          </cell>
        </row>
        <row r="159">
          <cell r="F159">
            <v>602.55999999999995</v>
          </cell>
          <cell r="G159">
            <v>0</v>
          </cell>
          <cell r="H159" t="str">
            <v>60/61</v>
          </cell>
        </row>
        <row r="160">
          <cell r="F160">
            <v>399.04</v>
          </cell>
          <cell r="G160">
            <v>0</v>
          </cell>
          <cell r="H160" t="str">
            <v>60/61</v>
          </cell>
        </row>
        <row r="161">
          <cell r="F161">
            <v>8.4499999999999993</v>
          </cell>
          <cell r="G161">
            <v>0</v>
          </cell>
          <cell r="H161" t="str">
            <v>60/61</v>
          </cell>
        </row>
        <row r="162">
          <cell r="F162">
            <v>145.97999999999999</v>
          </cell>
          <cell r="G162">
            <v>0</v>
          </cell>
          <cell r="H162" t="str">
            <v>60/61</v>
          </cell>
        </row>
        <row r="163">
          <cell r="F163">
            <v>0.11</v>
          </cell>
          <cell r="G163">
            <v>0</v>
          </cell>
          <cell r="H163" t="str">
            <v>60/61</v>
          </cell>
        </row>
        <row r="164">
          <cell r="F164">
            <v>230.69</v>
          </cell>
          <cell r="G164">
            <v>0</v>
          </cell>
          <cell r="H164" t="str">
            <v>60/61</v>
          </cell>
        </row>
        <row r="165">
          <cell r="F165">
            <v>147.16</v>
          </cell>
          <cell r="G165">
            <v>0</v>
          </cell>
          <cell r="H165" t="str">
            <v>60/61</v>
          </cell>
        </row>
        <row r="166">
          <cell r="F166">
            <v>53.93</v>
          </cell>
          <cell r="G166">
            <v>0</v>
          </cell>
          <cell r="H166" t="str">
            <v>60/61</v>
          </cell>
        </row>
        <row r="167">
          <cell r="F167">
            <v>11.03</v>
          </cell>
          <cell r="G167">
            <v>0</v>
          </cell>
          <cell r="H167" t="str">
            <v>60/61</v>
          </cell>
        </row>
        <row r="168">
          <cell r="F168">
            <v>797.3</v>
          </cell>
          <cell r="G168">
            <v>0</v>
          </cell>
          <cell r="H168" t="str">
            <v>60/61</v>
          </cell>
        </row>
        <row r="169">
          <cell r="F169">
            <v>37.5</v>
          </cell>
          <cell r="G169">
            <v>0</v>
          </cell>
          <cell r="H169" t="str">
            <v>60/61</v>
          </cell>
        </row>
        <row r="170">
          <cell r="F170">
            <v>12.5</v>
          </cell>
          <cell r="G170">
            <v>0</v>
          </cell>
          <cell r="H170" t="str">
            <v>60/61</v>
          </cell>
        </row>
        <row r="171">
          <cell r="F171">
            <v>36.840000000000003</v>
          </cell>
          <cell r="G171">
            <v>0</v>
          </cell>
          <cell r="H171" t="str">
            <v>60/61</v>
          </cell>
        </row>
        <row r="172">
          <cell r="F172">
            <v>14.99</v>
          </cell>
          <cell r="G172">
            <v>0</v>
          </cell>
          <cell r="H172" t="str">
            <v>60/61</v>
          </cell>
        </row>
        <row r="173">
          <cell r="F173">
            <v>1376.94</v>
          </cell>
          <cell r="G173">
            <v>0</v>
          </cell>
          <cell r="H173" t="str">
            <v>60/61</v>
          </cell>
        </row>
        <row r="174">
          <cell r="F174">
            <v>6722.54</v>
          </cell>
          <cell r="G174">
            <v>0</v>
          </cell>
          <cell r="H174" t="str">
            <v>60/61</v>
          </cell>
        </row>
        <row r="175">
          <cell r="F175">
            <v>538.14</v>
          </cell>
          <cell r="G175">
            <v>0</v>
          </cell>
          <cell r="H175" t="str">
            <v>60/61</v>
          </cell>
        </row>
        <row r="176">
          <cell r="F176">
            <v>320.2</v>
          </cell>
          <cell r="G176">
            <v>0</v>
          </cell>
          <cell r="H176" t="str">
            <v>60/61</v>
          </cell>
        </row>
        <row r="177">
          <cell r="F177">
            <v>743.51</v>
          </cell>
          <cell r="G177">
            <v>0</v>
          </cell>
          <cell r="H177" t="str">
            <v>60/61</v>
          </cell>
        </row>
        <row r="178">
          <cell r="F178">
            <v>396.94</v>
          </cell>
          <cell r="G178">
            <v>0</v>
          </cell>
          <cell r="H178" t="str">
            <v>60/61</v>
          </cell>
        </row>
        <row r="179">
          <cell r="F179">
            <v>4078.71</v>
          </cell>
          <cell r="G179">
            <v>0</v>
          </cell>
          <cell r="H179" t="str">
            <v>60/61</v>
          </cell>
        </row>
        <row r="180">
          <cell r="F180">
            <v>46.39</v>
          </cell>
          <cell r="G180">
            <v>0</v>
          </cell>
          <cell r="H180" t="str">
            <v>60/61</v>
          </cell>
        </row>
        <row r="181">
          <cell r="F181">
            <v>148.78</v>
          </cell>
          <cell r="G181">
            <v>0</v>
          </cell>
          <cell r="H181" t="str">
            <v>60/61</v>
          </cell>
        </row>
        <row r="182">
          <cell r="F182">
            <v>22.27</v>
          </cell>
          <cell r="G182">
            <v>0</v>
          </cell>
          <cell r="H182" t="str">
            <v>60/61</v>
          </cell>
        </row>
        <row r="183">
          <cell r="F183">
            <v>167.26</v>
          </cell>
          <cell r="G183">
            <v>0</v>
          </cell>
          <cell r="H183" t="str">
            <v>60/61</v>
          </cell>
        </row>
        <row r="184">
          <cell r="F184">
            <v>0.08</v>
          </cell>
          <cell r="G184">
            <v>0</v>
          </cell>
          <cell r="H184" t="str">
            <v>60/61</v>
          </cell>
        </row>
        <row r="185">
          <cell r="F185">
            <v>0</v>
          </cell>
          <cell r="G185">
            <v>0</v>
          </cell>
          <cell r="H185" t="str">
            <v>60/61</v>
          </cell>
        </row>
        <row r="186">
          <cell r="F186">
            <v>570.79999999999995</v>
          </cell>
          <cell r="G186">
            <v>0</v>
          </cell>
          <cell r="H186" t="str">
            <v>60/61</v>
          </cell>
        </row>
        <row r="187">
          <cell r="F187">
            <v>5712.93</v>
          </cell>
          <cell r="G187">
            <v>0</v>
          </cell>
          <cell r="H187" t="str">
            <v>60/61</v>
          </cell>
        </row>
        <row r="188">
          <cell r="F188">
            <v>470.49</v>
          </cell>
          <cell r="G188">
            <v>0</v>
          </cell>
          <cell r="H188" t="str">
            <v>60/61</v>
          </cell>
        </row>
        <row r="189">
          <cell r="F189">
            <v>1118.9100000000001</v>
          </cell>
          <cell r="G189">
            <v>0</v>
          </cell>
          <cell r="H189" t="str">
            <v>60/61</v>
          </cell>
        </row>
        <row r="190">
          <cell r="F190">
            <v>2886.6400000000003</v>
          </cell>
          <cell r="G190">
            <v>0</v>
          </cell>
          <cell r="H190" t="str">
            <v>60/61</v>
          </cell>
        </row>
        <row r="191">
          <cell r="F191">
            <v>86.48</v>
          </cell>
          <cell r="G191">
            <v>0</v>
          </cell>
          <cell r="H191" t="str">
            <v>60/61</v>
          </cell>
        </row>
        <row r="192">
          <cell r="F192">
            <v>187.53</v>
          </cell>
          <cell r="G192">
            <v>0</v>
          </cell>
          <cell r="H192" t="str">
            <v>60/61</v>
          </cell>
        </row>
        <row r="193">
          <cell r="F193">
            <v>163.28</v>
          </cell>
          <cell r="G193">
            <v>0</v>
          </cell>
          <cell r="H193" t="str">
            <v>60/61</v>
          </cell>
        </row>
        <row r="194">
          <cell r="F194">
            <v>12.91</v>
          </cell>
          <cell r="G194">
            <v>0</v>
          </cell>
          <cell r="H194" t="str">
            <v>60/61</v>
          </cell>
        </row>
        <row r="195">
          <cell r="F195">
            <v>8.58</v>
          </cell>
          <cell r="G195">
            <v>0</v>
          </cell>
          <cell r="H195" t="str">
            <v>60/61</v>
          </cell>
        </row>
        <row r="196">
          <cell r="F196">
            <v>463.82</v>
          </cell>
          <cell r="G196">
            <v>0</v>
          </cell>
          <cell r="H196" t="str">
            <v>60/61</v>
          </cell>
        </row>
        <row r="197">
          <cell r="F197">
            <v>189.51999999999998</v>
          </cell>
          <cell r="G197">
            <v>0</v>
          </cell>
          <cell r="H197" t="str">
            <v>60/61</v>
          </cell>
        </row>
        <row r="198">
          <cell r="F198">
            <v>71.03</v>
          </cell>
          <cell r="G198">
            <v>0</v>
          </cell>
          <cell r="H198" t="str">
            <v>60/61</v>
          </cell>
        </row>
        <row r="199">
          <cell r="F199">
            <v>2034.13</v>
          </cell>
          <cell r="G199">
            <v>0</v>
          </cell>
          <cell r="H199" t="str">
            <v>60/61</v>
          </cell>
        </row>
        <row r="200">
          <cell r="F200">
            <v>403.14</v>
          </cell>
          <cell r="G200">
            <v>0</v>
          </cell>
          <cell r="H200" t="str">
            <v>60/61</v>
          </cell>
        </row>
        <row r="201">
          <cell r="F201">
            <v>32.450000000000003</v>
          </cell>
          <cell r="G201">
            <v>0</v>
          </cell>
          <cell r="H201" t="str">
            <v>60/61</v>
          </cell>
        </row>
        <row r="202">
          <cell r="F202">
            <v>183.12</v>
          </cell>
          <cell r="G202">
            <v>0</v>
          </cell>
          <cell r="H202" t="str">
            <v>60/61</v>
          </cell>
        </row>
        <row r="203">
          <cell r="F203">
            <v>161.5</v>
          </cell>
          <cell r="G203">
            <v>0</v>
          </cell>
          <cell r="H203" t="str">
            <v>60/61</v>
          </cell>
        </row>
        <row r="204">
          <cell r="F204">
            <v>234.78000000000003</v>
          </cell>
          <cell r="G204">
            <v>0</v>
          </cell>
          <cell r="H204" t="str">
            <v>60/61</v>
          </cell>
        </row>
        <row r="205">
          <cell r="F205">
            <v>87.21</v>
          </cell>
          <cell r="G205">
            <v>0</v>
          </cell>
          <cell r="H205" t="str">
            <v>60/61</v>
          </cell>
        </row>
        <row r="206">
          <cell r="F206">
            <v>53.81</v>
          </cell>
          <cell r="G206">
            <v>0</v>
          </cell>
          <cell r="H206" t="str">
            <v>60/61</v>
          </cell>
        </row>
        <row r="207">
          <cell r="F207">
            <v>414.86</v>
          </cell>
          <cell r="G207">
            <v>0</v>
          </cell>
          <cell r="H207" t="str">
            <v>60/61</v>
          </cell>
        </row>
        <row r="208">
          <cell r="F208">
            <v>70.739999999999995</v>
          </cell>
          <cell r="G208">
            <v>0</v>
          </cell>
          <cell r="H208" t="str">
            <v>60/61</v>
          </cell>
        </row>
        <row r="209">
          <cell r="F209">
            <v>52.61</v>
          </cell>
          <cell r="G209">
            <v>0</v>
          </cell>
          <cell r="H209" t="str">
            <v>60/61</v>
          </cell>
        </row>
        <row r="210">
          <cell r="F210">
            <v>534.04</v>
          </cell>
          <cell r="G210">
            <v>0</v>
          </cell>
          <cell r="H210" t="str">
            <v>60/61</v>
          </cell>
        </row>
        <row r="211">
          <cell r="F211">
            <v>260.13</v>
          </cell>
          <cell r="G211">
            <v>0</v>
          </cell>
          <cell r="H211" t="str">
            <v>60/61</v>
          </cell>
        </row>
        <row r="212">
          <cell r="F212">
            <v>3164.45</v>
          </cell>
          <cell r="G212">
            <v>0</v>
          </cell>
          <cell r="H212" t="str">
            <v>60/61</v>
          </cell>
        </row>
        <row r="213">
          <cell r="F213">
            <v>16.95</v>
          </cell>
          <cell r="G213">
            <v>0</v>
          </cell>
          <cell r="H213" t="str">
            <v>60/61</v>
          </cell>
        </row>
        <row r="214">
          <cell r="F214">
            <v>14.56</v>
          </cell>
          <cell r="G214">
            <v>0</v>
          </cell>
          <cell r="H214" t="str">
            <v>60/61</v>
          </cell>
        </row>
        <row r="215">
          <cell r="F215">
            <v>8.23</v>
          </cell>
          <cell r="G215">
            <v>0</v>
          </cell>
          <cell r="H215" t="str">
            <v>60/61</v>
          </cell>
        </row>
        <row r="216">
          <cell r="F216">
            <v>75.25</v>
          </cell>
          <cell r="G216">
            <v>0</v>
          </cell>
          <cell r="H216" t="str">
            <v>60/61</v>
          </cell>
        </row>
        <row r="217">
          <cell r="F217">
            <v>152.88</v>
          </cell>
          <cell r="G217">
            <v>0</v>
          </cell>
          <cell r="H217" t="str">
            <v>60/61</v>
          </cell>
        </row>
        <row r="218">
          <cell r="F218">
            <v>349.84</v>
          </cell>
          <cell r="G218">
            <v>0</v>
          </cell>
          <cell r="H218" t="str">
            <v>60/61</v>
          </cell>
        </row>
        <row r="219">
          <cell r="F219">
            <v>16.100000000000001</v>
          </cell>
          <cell r="G219">
            <v>0</v>
          </cell>
          <cell r="H219" t="str">
            <v>60/61</v>
          </cell>
        </row>
        <row r="220">
          <cell r="F220">
            <v>272.58999999999997</v>
          </cell>
          <cell r="G220">
            <v>0</v>
          </cell>
          <cell r="H220" t="str">
            <v>60/61</v>
          </cell>
        </row>
        <row r="221">
          <cell r="F221">
            <v>0</v>
          </cell>
          <cell r="G221">
            <v>0</v>
          </cell>
          <cell r="H221" t="str">
            <v>60/61</v>
          </cell>
        </row>
        <row r="222">
          <cell r="F222">
            <v>341.54</v>
          </cell>
          <cell r="G222">
            <v>0</v>
          </cell>
          <cell r="H222" t="str">
            <v>60/61</v>
          </cell>
        </row>
        <row r="223">
          <cell r="F223">
            <v>530.85</v>
          </cell>
          <cell r="G223">
            <v>0</v>
          </cell>
          <cell r="H223" t="str">
            <v>60/61</v>
          </cell>
        </row>
        <row r="224">
          <cell r="F224">
            <v>283.05</v>
          </cell>
          <cell r="G224">
            <v>0</v>
          </cell>
          <cell r="H224" t="str">
            <v>60/61</v>
          </cell>
        </row>
        <row r="225">
          <cell r="F225">
            <v>4196.5200000000004</v>
          </cell>
          <cell r="G225">
            <v>0</v>
          </cell>
          <cell r="H225" t="str">
            <v>60/61</v>
          </cell>
        </row>
        <row r="226">
          <cell r="F226">
            <v>43.949999999999996</v>
          </cell>
          <cell r="G226">
            <v>0</v>
          </cell>
          <cell r="H226" t="str">
            <v>60/61</v>
          </cell>
        </row>
        <row r="227">
          <cell r="F227">
            <v>50.7</v>
          </cell>
          <cell r="G227">
            <v>0</v>
          </cell>
          <cell r="H227" t="str">
            <v>60/61</v>
          </cell>
        </row>
        <row r="228">
          <cell r="F228">
            <v>534.48</v>
          </cell>
          <cell r="G228">
            <v>0</v>
          </cell>
          <cell r="H228" t="str">
            <v>60/61</v>
          </cell>
        </row>
        <row r="229">
          <cell r="F229">
            <v>163.84</v>
          </cell>
          <cell r="G229">
            <v>0</v>
          </cell>
          <cell r="H229" t="str">
            <v>60/61</v>
          </cell>
        </row>
        <row r="230">
          <cell r="F230">
            <v>4612.51</v>
          </cell>
          <cell r="G230">
            <v>0</v>
          </cell>
          <cell r="H230" t="str">
            <v>60/61</v>
          </cell>
        </row>
        <row r="231">
          <cell r="F231">
            <v>296.67</v>
          </cell>
          <cell r="G231">
            <v>0</v>
          </cell>
          <cell r="H231" t="str">
            <v>60/61</v>
          </cell>
        </row>
        <row r="232">
          <cell r="F232">
            <v>660.17</v>
          </cell>
          <cell r="G232">
            <v>0</v>
          </cell>
          <cell r="H232" t="str">
            <v>60/61</v>
          </cell>
        </row>
        <row r="233">
          <cell r="F233">
            <v>20.86</v>
          </cell>
          <cell r="G233">
            <v>0</v>
          </cell>
          <cell r="H233" t="str">
            <v>60/61</v>
          </cell>
        </row>
        <row r="234">
          <cell r="F234">
            <v>566.28</v>
          </cell>
          <cell r="G234">
            <v>0</v>
          </cell>
          <cell r="H234" t="str">
            <v>60/61</v>
          </cell>
        </row>
        <row r="235">
          <cell r="F235">
            <v>5.5</v>
          </cell>
          <cell r="G235">
            <v>0</v>
          </cell>
          <cell r="H235" t="str">
            <v>60/61</v>
          </cell>
        </row>
        <row r="236">
          <cell r="F236">
            <v>868.24</v>
          </cell>
          <cell r="G236">
            <v>0</v>
          </cell>
          <cell r="H236" t="str">
            <v>60/61</v>
          </cell>
        </row>
        <row r="237">
          <cell r="F237">
            <v>3796.36</v>
          </cell>
          <cell r="G237">
            <v>0</v>
          </cell>
          <cell r="H237" t="str">
            <v>60/61</v>
          </cell>
        </row>
        <row r="238">
          <cell r="F238">
            <v>62.74</v>
          </cell>
          <cell r="G238">
            <v>0</v>
          </cell>
          <cell r="H238" t="str">
            <v>60/61</v>
          </cell>
        </row>
        <row r="239">
          <cell r="F239">
            <v>49.39</v>
          </cell>
          <cell r="G239">
            <v>0</v>
          </cell>
          <cell r="H239" t="str">
            <v>60/61</v>
          </cell>
        </row>
        <row r="240">
          <cell r="F240">
            <v>58.97</v>
          </cell>
          <cell r="G240">
            <v>0</v>
          </cell>
          <cell r="H240" t="str">
            <v>60/61</v>
          </cell>
        </row>
        <row r="241">
          <cell r="F241">
            <v>32.85</v>
          </cell>
          <cell r="G241">
            <v>0</v>
          </cell>
          <cell r="H241" t="str">
            <v>60/61</v>
          </cell>
        </row>
        <row r="242">
          <cell r="F242">
            <v>365.97</v>
          </cell>
          <cell r="G242">
            <v>0</v>
          </cell>
          <cell r="H242" t="str">
            <v>60/61</v>
          </cell>
        </row>
        <row r="243">
          <cell r="F243">
            <v>3410.03</v>
          </cell>
          <cell r="G243">
            <v>0</v>
          </cell>
          <cell r="H243" t="str">
            <v>60/61</v>
          </cell>
        </row>
        <row r="244">
          <cell r="F244">
            <v>920.8900000000001</v>
          </cell>
          <cell r="G244">
            <v>0</v>
          </cell>
          <cell r="H244" t="str">
            <v>60/61</v>
          </cell>
        </row>
        <row r="245">
          <cell r="F245">
            <v>139.76</v>
          </cell>
          <cell r="G245">
            <v>0</v>
          </cell>
          <cell r="H245" t="str">
            <v>60/61</v>
          </cell>
        </row>
        <row r="246">
          <cell r="F246">
            <v>108.28</v>
          </cell>
          <cell r="G246">
            <v>0</v>
          </cell>
          <cell r="H246" t="str">
            <v>60/61</v>
          </cell>
        </row>
        <row r="247">
          <cell r="F247">
            <v>34.340000000000003</v>
          </cell>
          <cell r="G247">
            <v>0</v>
          </cell>
          <cell r="H247" t="str">
            <v>60/61</v>
          </cell>
        </row>
        <row r="248">
          <cell r="F248">
            <v>213.08</v>
          </cell>
          <cell r="G248">
            <v>0</v>
          </cell>
          <cell r="H248" t="str">
            <v>60/61</v>
          </cell>
        </row>
        <row r="249">
          <cell r="F249">
            <v>142.32</v>
          </cell>
          <cell r="G249">
            <v>0</v>
          </cell>
          <cell r="H249" t="str">
            <v>60/61</v>
          </cell>
        </row>
        <row r="250">
          <cell r="F250">
            <v>1.31</v>
          </cell>
          <cell r="G250">
            <v>0</v>
          </cell>
          <cell r="H250" t="str">
            <v>60/61</v>
          </cell>
        </row>
        <row r="251">
          <cell r="F251">
            <v>2274.81</v>
          </cell>
          <cell r="G251">
            <v>0</v>
          </cell>
          <cell r="H251" t="str">
            <v>60/61</v>
          </cell>
        </row>
        <row r="252">
          <cell r="F252">
            <v>709.88000000000011</v>
          </cell>
          <cell r="G252">
            <v>0</v>
          </cell>
          <cell r="H252" t="str">
            <v>60/61</v>
          </cell>
        </row>
        <row r="253">
          <cell r="F253">
            <v>2256.4</v>
          </cell>
          <cell r="G253">
            <v>0</v>
          </cell>
          <cell r="H253" t="str">
            <v>60/61</v>
          </cell>
        </row>
        <row r="254">
          <cell r="F254">
            <v>1264.8899999999999</v>
          </cell>
          <cell r="G254">
            <v>0</v>
          </cell>
          <cell r="H254" t="str">
            <v>60/61</v>
          </cell>
        </row>
        <row r="255">
          <cell r="F255">
            <v>37.33</v>
          </cell>
          <cell r="G255">
            <v>0</v>
          </cell>
          <cell r="H255" t="str">
            <v>60/61</v>
          </cell>
        </row>
        <row r="256">
          <cell r="F256">
            <v>27.53</v>
          </cell>
          <cell r="G256">
            <v>0</v>
          </cell>
          <cell r="H256" t="str">
            <v>60/61</v>
          </cell>
        </row>
        <row r="257">
          <cell r="F257">
            <v>220.68</v>
          </cell>
          <cell r="G257">
            <v>0</v>
          </cell>
          <cell r="H257" t="str">
            <v>60/61</v>
          </cell>
        </row>
        <row r="258">
          <cell r="F258">
            <v>8.5</v>
          </cell>
          <cell r="G258">
            <v>0</v>
          </cell>
          <cell r="H258" t="str">
            <v>60/61</v>
          </cell>
        </row>
        <row r="259">
          <cell r="F259">
            <v>311.62</v>
          </cell>
          <cell r="G259">
            <v>0</v>
          </cell>
          <cell r="H259" t="str">
            <v>60/61</v>
          </cell>
        </row>
        <row r="260">
          <cell r="F260">
            <v>138.9</v>
          </cell>
          <cell r="G260">
            <v>0</v>
          </cell>
          <cell r="H260" t="str">
            <v>60/61</v>
          </cell>
        </row>
        <row r="261">
          <cell r="F261">
            <v>1551.05</v>
          </cell>
          <cell r="G261">
            <v>0</v>
          </cell>
          <cell r="H261" t="str">
            <v>60/61</v>
          </cell>
        </row>
        <row r="262">
          <cell r="F262">
            <v>1098.2</v>
          </cell>
          <cell r="G262">
            <v>0</v>
          </cell>
          <cell r="H262" t="str">
            <v>60/61</v>
          </cell>
        </row>
        <row r="263">
          <cell r="F263">
            <v>4552.2</v>
          </cell>
          <cell r="G263">
            <v>0</v>
          </cell>
          <cell r="H263" t="str">
            <v>60/61</v>
          </cell>
        </row>
        <row r="264">
          <cell r="F264">
            <v>2949.63</v>
          </cell>
          <cell r="G264">
            <v>0</v>
          </cell>
          <cell r="H264" t="str">
            <v>60/61</v>
          </cell>
        </row>
        <row r="265">
          <cell r="F265">
            <v>11690.37</v>
          </cell>
          <cell r="G265">
            <v>0</v>
          </cell>
          <cell r="H265" t="str">
            <v>60/61</v>
          </cell>
        </row>
        <row r="266">
          <cell r="F266">
            <v>22.21</v>
          </cell>
          <cell r="G266">
            <v>0</v>
          </cell>
          <cell r="H266" t="str">
            <v>60/61</v>
          </cell>
        </row>
        <row r="267">
          <cell r="F267">
            <v>606.45000000000005</v>
          </cell>
          <cell r="G267">
            <v>0</v>
          </cell>
          <cell r="H267" t="str">
            <v>60/61</v>
          </cell>
        </row>
        <row r="268">
          <cell r="F268">
            <v>1571.37</v>
          </cell>
          <cell r="G268">
            <v>0</v>
          </cell>
          <cell r="H268" t="str">
            <v>60/61</v>
          </cell>
        </row>
        <row r="269">
          <cell r="F269">
            <v>412.96</v>
          </cell>
          <cell r="G269">
            <v>0</v>
          </cell>
          <cell r="H269" t="str">
            <v>60/61</v>
          </cell>
        </row>
        <row r="270">
          <cell r="F270">
            <v>682.78</v>
          </cell>
          <cell r="G270">
            <v>0</v>
          </cell>
          <cell r="H270" t="str">
            <v>60/61</v>
          </cell>
        </row>
        <row r="271">
          <cell r="F271">
            <v>4190.79</v>
          </cell>
          <cell r="G271">
            <v>0</v>
          </cell>
          <cell r="H271" t="str">
            <v>60/61</v>
          </cell>
        </row>
        <row r="272">
          <cell r="F272">
            <v>543.91999999999996</v>
          </cell>
          <cell r="G272">
            <v>0</v>
          </cell>
          <cell r="H272" t="str">
            <v>60/61</v>
          </cell>
        </row>
        <row r="273">
          <cell r="F273">
            <v>44.99</v>
          </cell>
          <cell r="G273">
            <v>0</v>
          </cell>
          <cell r="H273" t="str">
            <v>60/61</v>
          </cell>
        </row>
        <row r="274">
          <cell r="F274">
            <v>6207.41</v>
          </cell>
          <cell r="G274">
            <v>0</v>
          </cell>
          <cell r="H274" t="str">
            <v>60/61</v>
          </cell>
        </row>
        <row r="275">
          <cell r="F275">
            <v>5.97</v>
          </cell>
          <cell r="G275">
            <v>0</v>
          </cell>
          <cell r="H275" t="str">
            <v>60/61</v>
          </cell>
        </row>
        <row r="276">
          <cell r="F276">
            <v>174.48</v>
          </cell>
          <cell r="G276">
            <v>0</v>
          </cell>
          <cell r="H276" t="str">
            <v>60/61</v>
          </cell>
        </row>
        <row r="277">
          <cell r="F277">
            <v>281.41000000000003</v>
          </cell>
          <cell r="G277">
            <v>0</v>
          </cell>
          <cell r="H277" t="str">
            <v>60/61</v>
          </cell>
        </row>
        <row r="278">
          <cell r="F278">
            <v>2689.86</v>
          </cell>
          <cell r="G278">
            <v>0</v>
          </cell>
          <cell r="H278" t="str">
            <v>60/61</v>
          </cell>
        </row>
        <row r="279">
          <cell r="F279">
            <v>33.950000000000003</v>
          </cell>
          <cell r="G279">
            <v>0</v>
          </cell>
          <cell r="H279" t="str">
            <v>60/61</v>
          </cell>
        </row>
        <row r="280">
          <cell r="F280">
            <v>2.25</v>
          </cell>
          <cell r="G280">
            <v>0</v>
          </cell>
          <cell r="H280" t="str">
            <v>60/61</v>
          </cell>
        </row>
        <row r="281">
          <cell r="F281">
            <v>451.43</v>
          </cell>
          <cell r="G281">
            <v>0</v>
          </cell>
          <cell r="H281" t="str">
            <v>60/61</v>
          </cell>
        </row>
        <row r="282">
          <cell r="F282">
            <v>80.27</v>
          </cell>
          <cell r="G282">
            <v>0</v>
          </cell>
          <cell r="H282" t="str">
            <v>60/61</v>
          </cell>
        </row>
        <row r="283">
          <cell r="F283">
            <v>219.12</v>
          </cell>
          <cell r="G283">
            <v>0</v>
          </cell>
          <cell r="H283" t="str">
            <v>60/61</v>
          </cell>
        </row>
        <row r="284">
          <cell r="F284">
            <v>66.34</v>
          </cell>
          <cell r="G284">
            <v>0</v>
          </cell>
          <cell r="H284" t="str">
            <v>60/61</v>
          </cell>
        </row>
        <row r="285">
          <cell r="F285">
            <v>283.07</v>
          </cell>
          <cell r="G285">
            <v>0</v>
          </cell>
          <cell r="H285" t="str">
            <v>60/61</v>
          </cell>
        </row>
        <row r="286">
          <cell r="F286">
            <v>165.66</v>
          </cell>
          <cell r="G286">
            <v>0</v>
          </cell>
          <cell r="H286" t="str">
            <v>60/61</v>
          </cell>
        </row>
        <row r="287">
          <cell r="F287">
            <v>349.1</v>
          </cell>
          <cell r="G287">
            <v>0</v>
          </cell>
          <cell r="H287" t="str">
            <v>60/61</v>
          </cell>
        </row>
        <row r="288">
          <cell r="F288">
            <v>126.80000000000001</v>
          </cell>
          <cell r="G288">
            <v>0</v>
          </cell>
          <cell r="H288" t="str">
            <v>60/61</v>
          </cell>
        </row>
        <row r="289">
          <cell r="F289">
            <v>633.08000000000004</v>
          </cell>
          <cell r="G289">
            <v>0</v>
          </cell>
          <cell r="H289" t="str">
            <v>60/61</v>
          </cell>
        </row>
        <row r="290">
          <cell r="F290">
            <v>469</v>
          </cell>
          <cell r="G290">
            <v>0</v>
          </cell>
          <cell r="H290" t="str">
            <v>60/61</v>
          </cell>
        </row>
        <row r="291">
          <cell r="F291">
            <v>284.68</v>
          </cell>
          <cell r="G291">
            <v>0</v>
          </cell>
          <cell r="H291" t="str">
            <v>60/61</v>
          </cell>
        </row>
        <row r="292">
          <cell r="F292">
            <v>395.01</v>
          </cell>
          <cell r="G292">
            <v>0</v>
          </cell>
          <cell r="H292" t="str">
            <v>60/61</v>
          </cell>
        </row>
        <row r="293">
          <cell r="F293">
            <v>0.99</v>
          </cell>
          <cell r="G293">
            <v>0</v>
          </cell>
          <cell r="H293" t="str">
            <v>60/61</v>
          </cell>
        </row>
        <row r="294">
          <cell r="F294">
            <v>27.39</v>
          </cell>
          <cell r="G294">
            <v>0</v>
          </cell>
          <cell r="H294" t="str">
            <v>60/61</v>
          </cell>
        </row>
        <row r="295">
          <cell r="F295">
            <v>180.97</v>
          </cell>
          <cell r="G295">
            <v>0</v>
          </cell>
          <cell r="H295" t="str">
            <v>60/61</v>
          </cell>
        </row>
        <row r="296">
          <cell r="F296">
            <v>473.04</v>
          </cell>
          <cell r="G296">
            <v>0</v>
          </cell>
          <cell r="H296" t="str">
            <v>60/61</v>
          </cell>
        </row>
        <row r="297">
          <cell r="F297">
            <v>379.84</v>
          </cell>
          <cell r="G297">
            <v>0</v>
          </cell>
          <cell r="H297" t="str">
            <v>60/61</v>
          </cell>
        </row>
        <row r="298">
          <cell r="F298">
            <v>127.98</v>
          </cell>
          <cell r="G298">
            <v>0</v>
          </cell>
          <cell r="H298" t="str">
            <v>60/61</v>
          </cell>
        </row>
        <row r="299">
          <cell r="F299">
            <v>89.85</v>
          </cell>
          <cell r="G299">
            <v>0</v>
          </cell>
          <cell r="H299" t="str">
            <v>60/61</v>
          </cell>
        </row>
        <row r="300">
          <cell r="F300">
            <v>269.83</v>
          </cell>
          <cell r="G300">
            <v>0</v>
          </cell>
          <cell r="H300" t="str">
            <v>60/61</v>
          </cell>
        </row>
        <row r="301">
          <cell r="F301">
            <v>6.75</v>
          </cell>
          <cell r="G301">
            <v>0</v>
          </cell>
          <cell r="H301" t="str">
            <v>60/61</v>
          </cell>
        </row>
        <row r="302">
          <cell r="F302">
            <v>4.17</v>
          </cell>
          <cell r="G302">
            <v>0</v>
          </cell>
          <cell r="H302" t="str">
            <v>60/61</v>
          </cell>
        </row>
        <row r="303">
          <cell r="F303">
            <v>24.99</v>
          </cell>
          <cell r="G303">
            <v>0</v>
          </cell>
          <cell r="H303" t="str">
            <v>60/61</v>
          </cell>
        </row>
        <row r="304">
          <cell r="F304">
            <v>49.83</v>
          </cell>
          <cell r="G304">
            <v>0</v>
          </cell>
          <cell r="H304" t="str">
            <v>60/61</v>
          </cell>
        </row>
        <row r="305">
          <cell r="F305">
            <v>246.19</v>
          </cell>
          <cell r="G305">
            <v>0</v>
          </cell>
          <cell r="H305" t="str">
            <v>60/61</v>
          </cell>
        </row>
        <row r="306">
          <cell r="F306">
            <v>96.06</v>
          </cell>
          <cell r="G306">
            <v>0</v>
          </cell>
          <cell r="H306" t="str">
            <v>60/61</v>
          </cell>
        </row>
        <row r="307">
          <cell r="F307">
            <v>71.98</v>
          </cell>
          <cell r="G307">
            <v>0</v>
          </cell>
          <cell r="H307" t="str">
            <v>60/61</v>
          </cell>
        </row>
        <row r="308">
          <cell r="F308">
            <v>114.92</v>
          </cell>
          <cell r="G308">
            <v>0</v>
          </cell>
          <cell r="H308" t="str">
            <v>60/61</v>
          </cell>
        </row>
        <row r="309">
          <cell r="F309">
            <v>2682.04</v>
          </cell>
          <cell r="G309">
            <v>0</v>
          </cell>
          <cell r="H309" t="str">
            <v>60/61</v>
          </cell>
        </row>
        <row r="310">
          <cell r="F310">
            <v>552.41999999999996</v>
          </cell>
          <cell r="G310">
            <v>0</v>
          </cell>
          <cell r="H310" t="str">
            <v>60/61</v>
          </cell>
        </row>
        <row r="311">
          <cell r="F311">
            <v>23.47</v>
          </cell>
          <cell r="G311">
            <v>0</v>
          </cell>
          <cell r="H311" t="str">
            <v>60/61</v>
          </cell>
        </row>
        <row r="312">
          <cell r="F312">
            <v>23.48</v>
          </cell>
          <cell r="G312">
            <v>0</v>
          </cell>
          <cell r="H312" t="str">
            <v>60/61</v>
          </cell>
        </row>
        <row r="313">
          <cell r="F313">
            <v>865.09</v>
          </cell>
          <cell r="G313">
            <v>0</v>
          </cell>
          <cell r="H313" t="str">
            <v>60/61</v>
          </cell>
        </row>
        <row r="314">
          <cell r="F314">
            <v>873.69</v>
          </cell>
          <cell r="G314">
            <v>0</v>
          </cell>
          <cell r="H314" t="str">
            <v>60/61</v>
          </cell>
        </row>
        <row r="315">
          <cell r="F315">
            <v>4273.05</v>
          </cell>
          <cell r="G315">
            <v>0</v>
          </cell>
          <cell r="H315" t="str">
            <v>60/61</v>
          </cell>
        </row>
        <row r="316">
          <cell r="F316">
            <v>43.15</v>
          </cell>
          <cell r="G316">
            <v>0</v>
          </cell>
          <cell r="H316" t="str">
            <v>60/61</v>
          </cell>
        </row>
        <row r="317">
          <cell r="F317">
            <v>5399.92</v>
          </cell>
          <cell r="G317">
            <v>0</v>
          </cell>
          <cell r="H317" t="str">
            <v>60/61</v>
          </cell>
        </row>
        <row r="318">
          <cell r="F318">
            <v>474.24</v>
          </cell>
          <cell r="G318">
            <v>0</v>
          </cell>
          <cell r="H318" t="str">
            <v>60/61</v>
          </cell>
        </row>
        <row r="319">
          <cell r="F319">
            <v>837.74</v>
          </cell>
          <cell r="G319">
            <v>0</v>
          </cell>
          <cell r="H319" t="str">
            <v>60/61</v>
          </cell>
        </row>
        <row r="320">
          <cell r="F320">
            <v>468.21</v>
          </cell>
          <cell r="G320">
            <v>0</v>
          </cell>
          <cell r="H320" t="str">
            <v>60/61</v>
          </cell>
        </row>
        <row r="321">
          <cell r="F321">
            <v>115.82</v>
          </cell>
          <cell r="G321">
            <v>0</v>
          </cell>
          <cell r="H321" t="str">
            <v>60/61</v>
          </cell>
        </row>
        <row r="322">
          <cell r="F322">
            <v>111.92</v>
          </cell>
          <cell r="G322">
            <v>0</v>
          </cell>
          <cell r="H322" t="str">
            <v>60/61</v>
          </cell>
        </row>
        <row r="323">
          <cell r="F323">
            <v>3069.1299999999997</v>
          </cell>
          <cell r="G323">
            <v>0</v>
          </cell>
          <cell r="H323" t="str">
            <v>60/61</v>
          </cell>
        </row>
        <row r="324">
          <cell r="F324">
            <v>-12.82000000000005</v>
          </cell>
          <cell r="G324">
            <v>0</v>
          </cell>
          <cell r="H324" t="str">
            <v>60/61</v>
          </cell>
        </row>
        <row r="325">
          <cell r="F325">
            <v>480.75999999999993</v>
          </cell>
          <cell r="G325">
            <v>0</v>
          </cell>
          <cell r="H325" t="str">
            <v>60/61</v>
          </cell>
        </row>
        <row r="326">
          <cell r="F326">
            <v>2826.5299999999997</v>
          </cell>
          <cell r="G326">
            <v>0</v>
          </cell>
          <cell r="H326" t="str">
            <v>60/61</v>
          </cell>
        </row>
        <row r="327">
          <cell r="F327">
            <v>454.06</v>
          </cell>
          <cell r="G327">
            <v>0</v>
          </cell>
          <cell r="H327" t="str">
            <v>60/61</v>
          </cell>
        </row>
        <row r="328">
          <cell r="F328">
            <v>2188.0899999999997</v>
          </cell>
          <cell r="G328">
            <v>0</v>
          </cell>
          <cell r="H328" t="str">
            <v>60/61</v>
          </cell>
        </row>
        <row r="329">
          <cell r="F329">
            <v>34.380000000000003</v>
          </cell>
          <cell r="G329">
            <v>0</v>
          </cell>
          <cell r="H329" t="str">
            <v>60/61</v>
          </cell>
        </row>
        <row r="330">
          <cell r="F330">
            <v>40.549999999999997</v>
          </cell>
          <cell r="G330">
            <v>0</v>
          </cell>
          <cell r="H330" t="str">
            <v>60/61</v>
          </cell>
        </row>
        <row r="331">
          <cell r="F331">
            <v>3233.07</v>
          </cell>
          <cell r="G331">
            <v>0</v>
          </cell>
          <cell r="H331" t="str">
            <v>60/61</v>
          </cell>
        </row>
        <row r="332">
          <cell r="F332">
            <v>161.77000000000001</v>
          </cell>
          <cell r="G332">
            <v>0</v>
          </cell>
          <cell r="H332" t="str">
            <v>60/61</v>
          </cell>
        </row>
        <row r="333">
          <cell r="F333">
            <v>4748.28</v>
          </cell>
          <cell r="G333">
            <v>0</v>
          </cell>
          <cell r="H333" t="str">
            <v>60/61</v>
          </cell>
        </row>
        <row r="334">
          <cell r="F334">
            <v>860.95</v>
          </cell>
          <cell r="G334">
            <v>0</v>
          </cell>
          <cell r="H334" t="str">
            <v>60/61</v>
          </cell>
        </row>
        <row r="335">
          <cell r="F335">
            <v>433.68</v>
          </cell>
          <cell r="G335">
            <v>0</v>
          </cell>
          <cell r="H335" t="str">
            <v>60/61</v>
          </cell>
        </row>
        <row r="336">
          <cell r="F336">
            <v>605.57000000000005</v>
          </cell>
          <cell r="G336">
            <v>0</v>
          </cell>
          <cell r="H336" t="str">
            <v>60/61</v>
          </cell>
        </row>
        <row r="337">
          <cell r="F337">
            <v>452.92</v>
          </cell>
          <cell r="G337">
            <v>0</v>
          </cell>
          <cell r="H337" t="str">
            <v>60/61</v>
          </cell>
        </row>
        <row r="338">
          <cell r="F338">
            <v>9.64</v>
          </cell>
          <cell r="G338">
            <v>0</v>
          </cell>
          <cell r="H338" t="str">
            <v>60/61</v>
          </cell>
        </row>
        <row r="339">
          <cell r="F339">
            <v>0</v>
          </cell>
          <cell r="G339">
            <v>0</v>
          </cell>
          <cell r="H339" t="str">
            <v>60/61</v>
          </cell>
        </row>
        <row r="340">
          <cell r="F340">
            <v>3595.7</v>
          </cell>
          <cell r="G340">
            <v>0</v>
          </cell>
          <cell r="H340" t="str">
            <v>60/61</v>
          </cell>
        </row>
        <row r="341">
          <cell r="F341">
            <v>2630.09</v>
          </cell>
          <cell r="G341">
            <v>0</v>
          </cell>
          <cell r="H341" t="str">
            <v>60/61</v>
          </cell>
        </row>
        <row r="342">
          <cell r="F342">
            <v>1324.91</v>
          </cell>
          <cell r="G342">
            <v>0</v>
          </cell>
          <cell r="H342" t="str">
            <v>60/61</v>
          </cell>
        </row>
        <row r="343">
          <cell r="F343">
            <v>56.64</v>
          </cell>
          <cell r="G343">
            <v>0</v>
          </cell>
          <cell r="H343" t="str">
            <v>60/61</v>
          </cell>
        </row>
        <row r="344">
          <cell r="F344">
            <v>1643.89</v>
          </cell>
          <cell r="G344">
            <v>0</v>
          </cell>
          <cell r="H344" t="str">
            <v>60/61</v>
          </cell>
        </row>
        <row r="345">
          <cell r="F345">
            <v>1865</v>
          </cell>
          <cell r="G345">
            <v>0</v>
          </cell>
          <cell r="H345" t="str">
            <v>60/61</v>
          </cell>
        </row>
        <row r="346">
          <cell r="F346">
            <v>2248.39</v>
          </cell>
          <cell r="G346">
            <v>0</v>
          </cell>
          <cell r="H346" t="str">
            <v>60/61</v>
          </cell>
        </row>
        <row r="347">
          <cell r="F347">
            <v>2589</v>
          </cell>
          <cell r="G347">
            <v>0</v>
          </cell>
          <cell r="H347" t="str">
            <v>60/61</v>
          </cell>
        </row>
        <row r="348">
          <cell r="F348">
            <v>264.26</v>
          </cell>
          <cell r="G348">
            <v>0</v>
          </cell>
          <cell r="H348" t="str">
            <v>60/61</v>
          </cell>
        </row>
        <row r="349">
          <cell r="F349">
            <v>425</v>
          </cell>
          <cell r="G349">
            <v>0</v>
          </cell>
          <cell r="H349" t="str">
            <v>60/61</v>
          </cell>
        </row>
        <row r="350">
          <cell r="F350">
            <v>69.5</v>
          </cell>
          <cell r="G350">
            <v>0</v>
          </cell>
          <cell r="H350" t="str">
            <v>60/61</v>
          </cell>
        </row>
        <row r="351">
          <cell r="F351">
            <v>7.59</v>
          </cell>
          <cell r="G351">
            <v>0</v>
          </cell>
          <cell r="H351" t="str">
            <v>60/61</v>
          </cell>
        </row>
        <row r="352">
          <cell r="F352">
            <v>119.79</v>
          </cell>
          <cell r="G352">
            <v>0</v>
          </cell>
          <cell r="H352" t="str">
            <v>60/61</v>
          </cell>
        </row>
        <row r="353">
          <cell r="F353">
            <v>3224.96</v>
          </cell>
          <cell r="G353">
            <v>0</v>
          </cell>
          <cell r="H353" t="str">
            <v>60/61</v>
          </cell>
        </row>
        <row r="354">
          <cell r="F354">
            <v>22.5</v>
          </cell>
          <cell r="G354">
            <v>0</v>
          </cell>
          <cell r="H354" t="str">
            <v>60/61</v>
          </cell>
        </row>
        <row r="355">
          <cell r="F355">
            <v>70.650000000000006</v>
          </cell>
          <cell r="G355">
            <v>0</v>
          </cell>
          <cell r="H355" t="str">
            <v>60/61</v>
          </cell>
        </row>
        <row r="356">
          <cell r="F356">
            <v>296.32</v>
          </cell>
          <cell r="G356">
            <v>0</v>
          </cell>
          <cell r="H356" t="str">
            <v>60/61</v>
          </cell>
        </row>
        <row r="357">
          <cell r="F357">
            <v>485.2</v>
          </cell>
          <cell r="G357">
            <v>0</v>
          </cell>
          <cell r="H357" t="str">
            <v>60/61</v>
          </cell>
        </row>
        <row r="358">
          <cell r="F358">
            <v>221.18</v>
          </cell>
          <cell r="G358">
            <v>0</v>
          </cell>
          <cell r="H358" t="str">
            <v>60/61</v>
          </cell>
        </row>
        <row r="359">
          <cell r="F359">
            <v>9.66</v>
          </cell>
          <cell r="G359">
            <v>0</v>
          </cell>
          <cell r="H359" t="str">
            <v>60/61</v>
          </cell>
        </row>
        <row r="360">
          <cell r="F360">
            <v>314.43</v>
          </cell>
          <cell r="G360">
            <v>0</v>
          </cell>
          <cell r="H360" t="str">
            <v>60/61</v>
          </cell>
        </row>
        <row r="361">
          <cell r="F361">
            <v>60.25</v>
          </cell>
          <cell r="G361">
            <v>0</v>
          </cell>
          <cell r="H361" t="str">
            <v>60/61</v>
          </cell>
        </row>
        <row r="362">
          <cell r="F362">
            <v>0.9</v>
          </cell>
          <cell r="G362">
            <v>0</v>
          </cell>
          <cell r="H362" t="str">
            <v>60/61</v>
          </cell>
        </row>
        <row r="363">
          <cell r="F363">
            <v>30.75</v>
          </cell>
          <cell r="G363">
            <v>0</v>
          </cell>
          <cell r="H363" t="str">
            <v>60/61</v>
          </cell>
        </row>
        <row r="364">
          <cell r="F364">
            <v>8.25</v>
          </cell>
          <cell r="G364">
            <v>0</v>
          </cell>
          <cell r="H364" t="str">
            <v>60/61</v>
          </cell>
        </row>
        <row r="365">
          <cell r="F365">
            <v>68.12</v>
          </cell>
          <cell r="G365">
            <v>0</v>
          </cell>
          <cell r="H365" t="str">
            <v>60/61</v>
          </cell>
        </row>
        <row r="366">
          <cell r="F366">
            <v>61.18</v>
          </cell>
          <cell r="G366">
            <v>0</v>
          </cell>
          <cell r="H366" t="str">
            <v>60/61</v>
          </cell>
        </row>
        <row r="367">
          <cell r="F367">
            <v>334.55</v>
          </cell>
          <cell r="G367">
            <v>0</v>
          </cell>
          <cell r="H367" t="str">
            <v>60/61</v>
          </cell>
        </row>
        <row r="368">
          <cell r="F368">
            <v>24.39</v>
          </cell>
          <cell r="G368">
            <v>0</v>
          </cell>
          <cell r="H368" t="str">
            <v>60/61</v>
          </cell>
        </row>
        <row r="369">
          <cell r="F369">
            <v>0.78</v>
          </cell>
          <cell r="G369">
            <v>0</v>
          </cell>
          <cell r="H369" t="str">
            <v>60/61</v>
          </cell>
        </row>
        <row r="370">
          <cell r="F370">
            <v>40.57</v>
          </cell>
          <cell r="G370">
            <v>0</v>
          </cell>
          <cell r="H370" t="str">
            <v>60/61</v>
          </cell>
        </row>
        <row r="371">
          <cell r="F371">
            <v>36.93</v>
          </cell>
          <cell r="G371">
            <v>0</v>
          </cell>
          <cell r="H371" t="str">
            <v>60/61</v>
          </cell>
        </row>
        <row r="372">
          <cell r="F372">
            <v>6.22</v>
          </cell>
          <cell r="G372">
            <v>0</v>
          </cell>
          <cell r="H372" t="str">
            <v>60/61</v>
          </cell>
        </row>
        <row r="373">
          <cell r="F373">
            <v>2119</v>
          </cell>
          <cell r="G373">
            <v>0</v>
          </cell>
          <cell r="H373" t="str">
            <v>60/61</v>
          </cell>
        </row>
        <row r="374">
          <cell r="F374">
            <v>1.96</v>
          </cell>
          <cell r="G374">
            <v>0</v>
          </cell>
          <cell r="H374" t="str">
            <v>60/61</v>
          </cell>
        </row>
        <row r="375">
          <cell r="F375">
            <v>44.56</v>
          </cell>
          <cell r="G375">
            <v>0</v>
          </cell>
          <cell r="H375" t="str">
            <v>60/61</v>
          </cell>
        </row>
        <row r="376">
          <cell r="F376">
            <v>233.83</v>
          </cell>
          <cell r="G376">
            <v>0</v>
          </cell>
          <cell r="H376" t="str">
            <v>60/61</v>
          </cell>
        </row>
        <row r="377">
          <cell r="F377">
            <v>102.7</v>
          </cell>
          <cell r="G377">
            <v>0</v>
          </cell>
          <cell r="H377" t="str">
            <v>60/61</v>
          </cell>
        </row>
        <row r="378">
          <cell r="F378">
            <v>9.06</v>
          </cell>
          <cell r="G378">
            <v>0</v>
          </cell>
          <cell r="H378" t="str">
            <v>60/61</v>
          </cell>
        </row>
        <row r="379">
          <cell r="F379">
            <v>1.47</v>
          </cell>
          <cell r="G379">
            <v>0</v>
          </cell>
          <cell r="H379" t="str">
            <v>60/61</v>
          </cell>
        </row>
        <row r="380">
          <cell r="F380">
            <v>4.53</v>
          </cell>
          <cell r="G380">
            <v>0</v>
          </cell>
          <cell r="H380" t="str">
            <v>60/61</v>
          </cell>
        </row>
        <row r="381">
          <cell r="F381">
            <v>55.69</v>
          </cell>
          <cell r="G381">
            <v>0</v>
          </cell>
          <cell r="H381" t="str">
            <v>60/61</v>
          </cell>
        </row>
        <row r="382">
          <cell r="F382">
            <v>63.67</v>
          </cell>
          <cell r="G382">
            <v>0</v>
          </cell>
          <cell r="H382" t="str">
            <v>60/61</v>
          </cell>
        </row>
        <row r="383">
          <cell r="F383">
            <v>10.659999999999997</v>
          </cell>
          <cell r="G383">
            <v>0</v>
          </cell>
          <cell r="H383" t="str">
            <v>60/61</v>
          </cell>
        </row>
        <row r="384">
          <cell r="F384">
            <v>16.37</v>
          </cell>
          <cell r="G384">
            <v>0</v>
          </cell>
          <cell r="H384" t="str">
            <v>60/61</v>
          </cell>
        </row>
        <row r="385">
          <cell r="F385">
            <v>19.39</v>
          </cell>
          <cell r="G385">
            <v>0</v>
          </cell>
          <cell r="H385" t="str">
            <v>60/61</v>
          </cell>
        </row>
        <row r="386">
          <cell r="F386">
            <v>40.51</v>
          </cell>
          <cell r="G386">
            <v>0</v>
          </cell>
          <cell r="H386" t="str">
            <v>60/61</v>
          </cell>
        </row>
        <row r="387">
          <cell r="F387">
            <v>16.59</v>
          </cell>
          <cell r="G387">
            <v>0</v>
          </cell>
          <cell r="H387" t="str">
            <v>60/61</v>
          </cell>
        </row>
        <row r="388">
          <cell r="F388">
            <v>7.33</v>
          </cell>
          <cell r="G388">
            <v>0</v>
          </cell>
          <cell r="H388" t="str">
            <v>60/61</v>
          </cell>
        </row>
        <row r="389">
          <cell r="F389">
            <v>6072.11</v>
          </cell>
          <cell r="G389">
            <v>0</v>
          </cell>
          <cell r="H389" t="str">
            <v>60/61</v>
          </cell>
        </row>
        <row r="390">
          <cell r="F390">
            <v>35.479999999999997</v>
          </cell>
          <cell r="G390">
            <v>0</v>
          </cell>
          <cell r="H390" t="str">
            <v>60/61</v>
          </cell>
        </row>
        <row r="391">
          <cell r="F391">
            <v>16</v>
          </cell>
          <cell r="G391">
            <v>0</v>
          </cell>
          <cell r="H391" t="str">
            <v>60/61</v>
          </cell>
        </row>
        <row r="392">
          <cell r="F392">
            <v>4.99</v>
          </cell>
          <cell r="G392">
            <v>0</v>
          </cell>
          <cell r="H392" t="str">
            <v>60/61</v>
          </cell>
        </row>
        <row r="393">
          <cell r="F393">
            <v>1.03</v>
          </cell>
          <cell r="G393">
            <v>0</v>
          </cell>
          <cell r="H393" t="str">
            <v>60/61</v>
          </cell>
        </row>
        <row r="394">
          <cell r="F394">
            <v>10.07</v>
          </cell>
          <cell r="G394">
            <v>0</v>
          </cell>
          <cell r="H394" t="str">
            <v>60/61</v>
          </cell>
        </row>
        <row r="395">
          <cell r="F395">
            <v>20.47</v>
          </cell>
          <cell r="G395">
            <v>0</v>
          </cell>
          <cell r="H395" t="str">
            <v>60/61</v>
          </cell>
        </row>
        <row r="396">
          <cell r="F396">
            <v>635.16999999999996</v>
          </cell>
          <cell r="G396">
            <v>0</v>
          </cell>
          <cell r="H396" t="str">
            <v>60/61</v>
          </cell>
        </row>
        <row r="397">
          <cell r="F397">
            <v>6.6300000000000026</v>
          </cell>
          <cell r="G397">
            <v>0</v>
          </cell>
          <cell r="H397" t="str">
            <v>60/61</v>
          </cell>
        </row>
        <row r="398">
          <cell r="F398">
            <v>24.62</v>
          </cell>
          <cell r="G398">
            <v>0</v>
          </cell>
          <cell r="H398" t="str">
            <v>60/61</v>
          </cell>
        </row>
        <row r="399">
          <cell r="F399">
            <v>56.07</v>
          </cell>
          <cell r="G399">
            <v>0</v>
          </cell>
          <cell r="H399" t="str">
            <v>60/61</v>
          </cell>
        </row>
        <row r="400">
          <cell r="F400">
            <v>216.32</v>
          </cell>
          <cell r="G400">
            <v>0</v>
          </cell>
          <cell r="H400" t="str">
            <v>60/61</v>
          </cell>
        </row>
        <row r="401">
          <cell r="F401">
            <v>2.1800000000000002</v>
          </cell>
          <cell r="G401">
            <v>0</v>
          </cell>
          <cell r="H401" t="str">
            <v>60/61</v>
          </cell>
        </row>
        <row r="402">
          <cell r="F402">
            <v>29.05</v>
          </cell>
          <cell r="G402">
            <v>0</v>
          </cell>
          <cell r="H402" t="str">
            <v>60/61</v>
          </cell>
        </row>
        <row r="403">
          <cell r="F403">
            <v>145.33000000000001</v>
          </cell>
          <cell r="G403">
            <v>0</v>
          </cell>
          <cell r="H403" t="str">
            <v>60/61</v>
          </cell>
        </row>
        <row r="404">
          <cell r="F404">
            <v>375.16</v>
          </cell>
          <cell r="G404">
            <v>0</v>
          </cell>
          <cell r="H404" t="str">
            <v>60/61</v>
          </cell>
        </row>
        <row r="405">
          <cell r="F405">
            <v>4863.57</v>
          </cell>
          <cell r="G405">
            <v>0</v>
          </cell>
          <cell r="H405" t="str">
            <v>60/61</v>
          </cell>
        </row>
        <row r="406">
          <cell r="F406">
            <v>1476.05</v>
          </cell>
          <cell r="G406">
            <v>0</v>
          </cell>
          <cell r="H406" t="str">
            <v>60/61</v>
          </cell>
        </row>
        <row r="407">
          <cell r="F407">
            <v>712.11</v>
          </cell>
          <cell r="G407">
            <v>0</v>
          </cell>
          <cell r="H407" t="str">
            <v>60/61</v>
          </cell>
        </row>
        <row r="408">
          <cell r="F408">
            <v>678.7</v>
          </cell>
          <cell r="G408">
            <v>0</v>
          </cell>
          <cell r="H408" t="str">
            <v>60/61</v>
          </cell>
        </row>
        <row r="409">
          <cell r="F409">
            <v>893.89</v>
          </cell>
          <cell r="G409">
            <v>0</v>
          </cell>
          <cell r="H409" t="str">
            <v>60/61</v>
          </cell>
        </row>
        <row r="410">
          <cell r="F410">
            <v>100.57</v>
          </cell>
          <cell r="G410">
            <v>0</v>
          </cell>
          <cell r="H410" t="str">
            <v>60/61</v>
          </cell>
        </row>
        <row r="411">
          <cell r="F411">
            <v>1894.27</v>
          </cell>
          <cell r="G411">
            <v>0</v>
          </cell>
          <cell r="H411" t="str">
            <v>60/61</v>
          </cell>
        </row>
        <row r="412">
          <cell r="F412">
            <v>13.77</v>
          </cell>
          <cell r="G412">
            <v>0</v>
          </cell>
          <cell r="H412" t="str">
            <v>60/61</v>
          </cell>
        </row>
        <row r="413">
          <cell r="F413">
            <v>1427.74</v>
          </cell>
          <cell r="G413">
            <v>0</v>
          </cell>
          <cell r="H413" t="str">
            <v>60/61</v>
          </cell>
        </row>
        <row r="414">
          <cell r="F414">
            <v>22498.98</v>
          </cell>
          <cell r="G414">
            <v>0</v>
          </cell>
          <cell r="H414" t="str">
            <v>60/61</v>
          </cell>
        </row>
        <row r="415">
          <cell r="F415">
            <v>40</v>
          </cell>
          <cell r="G415">
            <v>0</v>
          </cell>
          <cell r="H415" t="str">
            <v>60/61</v>
          </cell>
        </row>
        <row r="416">
          <cell r="F416">
            <v>372.69</v>
          </cell>
          <cell r="G416">
            <v>0</v>
          </cell>
          <cell r="H416" t="str">
            <v>60/61</v>
          </cell>
        </row>
        <row r="417">
          <cell r="F417">
            <v>6596.26</v>
          </cell>
          <cell r="G417">
            <v>0</v>
          </cell>
          <cell r="H417" t="str">
            <v>60/61</v>
          </cell>
        </row>
        <row r="418">
          <cell r="F418">
            <v>5442.43</v>
          </cell>
          <cell r="G418">
            <v>0</v>
          </cell>
          <cell r="H418" t="str">
            <v>60/61</v>
          </cell>
        </row>
        <row r="419">
          <cell r="F419">
            <v>105.18</v>
          </cell>
          <cell r="G419">
            <v>0</v>
          </cell>
          <cell r="H419" t="str">
            <v>60/61</v>
          </cell>
        </row>
        <row r="420">
          <cell r="F420">
            <v>48.85</v>
          </cell>
          <cell r="G420">
            <v>0</v>
          </cell>
          <cell r="H420" t="str">
            <v>60/61</v>
          </cell>
        </row>
        <row r="421">
          <cell r="F421">
            <v>62.61</v>
          </cell>
          <cell r="G421">
            <v>0</v>
          </cell>
          <cell r="H421" t="str">
            <v>60/61</v>
          </cell>
        </row>
        <row r="422">
          <cell r="F422">
            <v>864.74</v>
          </cell>
          <cell r="G422">
            <v>0</v>
          </cell>
          <cell r="H422" t="str">
            <v>60/61</v>
          </cell>
        </row>
        <row r="423">
          <cell r="F423">
            <v>81.59</v>
          </cell>
          <cell r="G423">
            <v>0</v>
          </cell>
          <cell r="H423" t="str">
            <v>60/61</v>
          </cell>
        </row>
        <row r="424">
          <cell r="F424">
            <v>3926.7200000000003</v>
          </cell>
          <cell r="G424">
            <v>0</v>
          </cell>
          <cell r="H424" t="str">
            <v>60/61</v>
          </cell>
        </row>
        <row r="425">
          <cell r="F425">
            <v>106.94</v>
          </cell>
          <cell r="G425">
            <v>0</v>
          </cell>
          <cell r="H425" t="str">
            <v>60/61</v>
          </cell>
        </row>
        <row r="426">
          <cell r="F426">
            <v>37.75</v>
          </cell>
          <cell r="G426">
            <v>0</v>
          </cell>
          <cell r="H426" t="str">
            <v>60/61</v>
          </cell>
        </row>
        <row r="427">
          <cell r="F427">
            <v>22</v>
          </cell>
          <cell r="G427">
            <v>0</v>
          </cell>
          <cell r="H427" t="str">
            <v>60/61</v>
          </cell>
        </row>
        <row r="428">
          <cell r="F428">
            <v>1010</v>
          </cell>
          <cell r="G428">
            <v>0</v>
          </cell>
          <cell r="H428" t="str">
            <v>60/61</v>
          </cell>
        </row>
        <row r="429">
          <cell r="F429">
            <v>1556.7</v>
          </cell>
          <cell r="G429">
            <v>0</v>
          </cell>
          <cell r="H429" t="str">
            <v>60/61</v>
          </cell>
        </row>
        <row r="430">
          <cell r="F430">
            <v>58.099999999999994</v>
          </cell>
          <cell r="G430">
            <v>0</v>
          </cell>
          <cell r="H430" t="str">
            <v>60/61</v>
          </cell>
        </row>
        <row r="431">
          <cell r="F431">
            <v>1745.78</v>
          </cell>
          <cell r="G431">
            <v>0</v>
          </cell>
          <cell r="H431" t="str">
            <v>60/61</v>
          </cell>
        </row>
        <row r="432">
          <cell r="F432">
            <v>1017.84</v>
          </cell>
          <cell r="G432">
            <v>0</v>
          </cell>
          <cell r="H432" t="str">
            <v>60/61</v>
          </cell>
        </row>
        <row r="433">
          <cell r="F433">
            <v>1413.13</v>
          </cell>
          <cell r="G433">
            <v>0</v>
          </cell>
          <cell r="H433" t="str">
            <v>60/61</v>
          </cell>
        </row>
        <row r="434">
          <cell r="F434">
            <v>2160.12</v>
          </cell>
          <cell r="G434">
            <v>0</v>
          </cell>
          <cell r="H434" t="str">
            <v>60/61</v>
          </cell>
        </row>
        <row r="435">
          <cell r="F435">
            <v>817.59</v>
          </cell>
          <cell r="G435">
            <v>0</v>
          </cell>
          <cell r="H435" t="str">
            <v>60/61</v>
          </cell>
        </row>
        <row r="436">
          <cell r="F436">
            <v>5383.1</v>
          </cell>
          <cell r="G436">
            <v>0</v>
          </cell>
          <cell r="H436" t="str">
            <v>60/61</v>
          </cell>
        </row>
        <row r="437">
          <cell r="F437">
            <v>3785.41</v>
          </cell>
          <cell r="G437">
            <v>0</v>
          </cell>
          <cell r="H437" t="str">
            <v>60/61</v>
          </cell>
        </row>
        <row r="438">
          <cell r="F438">
            <v>1441.62</v>
          </cell>
          <cell r="G438">
            <v>0</v>
          </cell>
          <cell r="H438" t="str">
            <v>60/61</v>
          </cell>
        </row>
        <row r="439">
          <cell r="F439">
            <v>91.24</v>
          </cell>
          <cell r="G439">
            <v>0</v>
          </cell>
          <cell r="H439" t="str">
            <v>60/61</v>
          </cell>
        </row>
        <row r="440">
          <cell r="F440">
            <v>247.84</v>
          </cell>
          <cell r="G440">
            <v>0</v>
          </cell>
          <cell r="H440" t="str">
            <v>60/61</v>
          </cell>
        </row>
        <row r="441">
          <cell r="F441">
            <v>246.45</v>
          </cell>
          <cell r="G441">
            <v>0</v>
          </cell>
          <cell r="H441" t="str">
            <v>60/61</v>
          </cell>
        </row>
        <row r="442">
          <cell r="F442">
            <v>299.63</v>
          </cell>
          <cell r="G442">
            <v>0</v>
          </cell>
          <cell r="H442" t="str">
            <v>60/61</v>
          </cell>
        </row>
        <row r="443">
          <cell r="F443">
            <v>508.13</v>
          </cell>
          <cell r="G443">
            <v>0</v>
          </cell>
          <cell r="H443" t="str">
            <v>60/61</v>
          </cell>
        </row>
        <row r="444">
          <cell r="F444">
            <v>350</v>
          </cell>
          <cell r="G444">
            <v>0</v>
          </cell>
          <cell r="H444" t="str">
            <v>60/61</v>
          </cell>
        </row>
        <row r="445">
          <cell r="F445">
            <v>25</v>
          </cell>
          <cell r="G445">
            <v>0</v>
          </cell>
          <cell r="H445" t="str">
            <v>60/61</v>
          </cell>
        </row>
        <row r="446">
          <cell r="F446">
            <v>31.5</v>
          </cell>
          <cell r="G446">
            <v>0</v>
          </cell>
          <cell r="H446" t="str">
            <v>60/61</v>
          </cell>
        </row>
        <row r="447">
          <cell r="F447">
            <v>57.61</v>
          </cell>
          <cell r="G447">
            <v>0</v>
          </cell>
          <cell r="H447" t="str">
            <v>60/61</v>
          </cell>
        </row>
        <row r="448">
          <cell r="F448">
            <v>15.09</v>
          </cell>
          <cell r="G448">
            <v>0</v>
          </cell>
          <cell r="H448" t="str">
            <v>60/61</v>
          </cell>
        </row>
        <row r="449">
          <cell r="F449">
            <v>2834.14</v>
          </cell>
          <cell r="G449">
            <v>0</v>
          </cell>
          <cell r="H449" t="str">
            <v>60/61</v>
          </cell>
        </row>
        <row r="450">
          <cell r="F450">
            <v>1109.32</v>
          </cell>
          <cell r="G450">
            <v>0</v>
          </cell>
          <cell r="H450" t="str">
            <v>60/61</v>
          </cell>
        </row>
        <row r="451">
          <cell r="F451">
            <v>22.29</v>
          </cell>
          <cell r="G451">
            <v>0</v>
          </cell>
          <cell r="H451" t="str">
            <v>60/61</v>
          </cell>
        </row>
        <row r="452">
          <cell r="F452">
            <v>5.4</v>
          </cell>
          <cell r="G452">
            <v>0</v>
          </cell>
          <cell r="H452" t="str">
            <v>60/61</v>
          </cell>
        </row>
        <row r="453">
          <cell r="F453">
            <v>102.03</v>
          </cell>
          <cell r="G453">
            <v>0</v>
          </cell>
          <cell r="H453" t="str">
            <v>60/61</v>
          </cell>
        </row>
        <row r="454">
          <cell r="F454">
            <v>22</v>
          </cell>
          <cell r="G454">
            <v>0</v>
          </cell>
          <cell r="H454" t="str">
            <v>60/61</v>
          </cell>
        </row>
        <row r="455">
          <cell r="F455">
            <v>1029.22</v>
          </cell>
          <cell r="G455">
            <v>0</v>
          </cell>
          <cell r="H455" t="str">
            <v>60/61</v>
          </cell>
        </row>
        <row r="456">
          <cell r="F456">
            <v>3324.76</v>
          </cell>
          <cell r="G456">
            <v>0</v>
          </cell>
          <cell r="H456" t="str">
            <v>60/61</v>
          </cell>
        </row>
        <row r="457">
          <cell r="F457">
            <v>5520.64</v>
          </cell>
          <cell r="G457">
            <v>0</v>
          </cell>
          <cell r="H457" t="str">
            <v>60/61</v>
          </cell>
        </row>
        <row r="458">
          <cell r="F458">
            <v>730</v>
          </cell>
          <cell r="G458">
            <v>0</v>
          </cell>
          <cell r="H458" t="str">
            <v>60/61</v>
          </cell>
        </row>
        <row r="459">
          <cell r="F459">
            <v>18.100000000000001</v>
          </cell>
          <cell r="G459">
            <v>0</v>
          </cell>
          <cell r="H459" t="str">
            <v>60/61</v>
          </cell>
        </row>
        <row r="460">
          <cell r="F460">
            <v>1859.14</v>
          </cell>
          <cell r="G460">
            <v>0</v>
          </cell>
          <cell r="H460" t="str">
            <v>60/61</v>
          </cell>
        </row>
        <row r="461">
          <cell r="F461">
            <v>1770.37</v>
          </cell>
          <cell r="G461">
            <v>0</v>
          </cell>
          <cell r="H461" t="str">
            <v>60/61</v>
          </cell>
        </row>
        <row r="462">
          <cell r="F462">
            <v>2653.81</v>
          </cell>
          <cell r="G462">
            <v>0</v>
          </cell>
          <cell r="H462" t="str">
            <v>60/61</v>
          </cell>
        </row>
        <row r="463">
          <cell r="F463">
            <v>12640.18</v>
          </cell>
          <cell r="G463">
            <v>0</v>
          </cell>
          <cell r="H463" t="str">
            <v>60/61</v>
          </cell>
        </row>
        <row r="464">
          <cell r="F464">
            <v>769.03</v>
          </cell>
          <cell r="G464">
            <v>0</v>
          </cell>
          <cell r="H464" t="str">
            <v>60/61</v>
          </cell>
        </row>
        <row r="465">
          <cell r="F465">
            <v>310.37</v>
          </cell>
          <cell r="G465">
            <v>0</v>
          </cell>
          <cell r="H465" t="str">
            <v>60/61</v>
          </cell>
        </row>
        <row r="466">
          <cell r="F466">
            <v>7894.4</v>
          </cell>
          <cell r="G466">
            <v>0</v>
          </cell>
          <cell r="H466" t="str">
            <v>60/61</v>
          </cell>
        </row>
        <row r="467">
          <cell r="F467">
            <v>0</v>
          </cell>
          <cell r="G467">
            <v>0</v>
          </cell>
          <cell r="H467" t="str">
            <v>60/61</v>
          </cell>
        </row>
        <row r="468">
          <cell r="F468">
            <v>10592.119999999999</v>
          </cell>
          <cell r="G468">
            <v>0</v>
          </cell>
          <cell r="H468" t="str">
            <v>60/61</v>
          </cell>
        </row>
        <row r="469">
          <cell r="F469">
            <v>1594.03</v>
          </cell>
          <cell r="G469">
            <v>0</v>
          </cell>
          <cell r="H469" t="str">
            <v>60/61</v>
          </cell>
        </row>
        <row r="470">
          <cell r="F470">
            <v>9.84</v>
          </cell>
          <cell r="G470">
            <v>0</v>
          </cell>
          <cell r="H470" t="str">
            <v>60/61</v>
          </cell>
        </row>
        <row r="471">
          <cell r="F471">
            <v>11782.710000000001</v>
          </cell>
          <cell r="G471">
            <v>0</v>
          </cell>
          <cell r="H471" t="str">
            <v>60/61</v>
          </cell>
        </row>
        <row r="472">
          <cell r="F472">
            <v>289.42</v>
          </cell>
          <cell r="G472">
            <v>0</v>
          </cell>
          <cell r="H472" t="str">
            <v>60/61</v>
          </cell>
        </row>
        <row r="473">
          <cell r="F473">
            <v>0</v>
          </cell>
          <cell r="G473">
            <v>0</v>
          </cell>
          <cell r="H473" t="str">
            <v>60/61</v>
          </cell>
        </row>
        <row r="474">
          <cell r="F474">
            <v>432.62</v>
          </cell>
          <cell r="G474">
            <v>0</v>
          </cell>
          <cell r="H474" t="str">
            <v>60/61</v>
          </cell>
        </row>
        <row r="475">
          <cell r="F475">
            <v>150</v>
          </cell>
          <cell r="G475">
            <v>0</v>
          </cell>
          <cell r="H475" t="str">
            <v>60/61</v>
          </cell>
        </row>
        <row r="476">
          <cell r="F476">
            <v>102.24</v>
          </cell>
          <cell r="G476">
            <v>0</v>
          </cell>
          <cell r="H476" t="str">
            <v>60/61</v>
          </cell>
        </row>
        <row r="477">
          <cell r="F477">
            <v>615.62</v>
          </cell>
          <cell r="G477">
            <v>0</v>
          </cell>
          <cell r="H477" t="str">
            <v>60/61</v>
          </cell>
        </row>
        <row r="478">
          <cell r="F478">
            <v>114.68</v>
          </cell>
          <cell r="G478">
            <v>0</v>
          </cell>
          <cell r="H478" t="str">
            <v>60/61</v>
          </cell>
        </row>
        <row r="479">
          <cell r="F479">
            <v>3529.76</v>
          </cell>
          <cell r="G479">
            <v>0</v>
          </cell>
          <cell r="H479" t="str">
            <v>60/61</v>
          </cell>
        </row>
        <row r="480">
          <cell r="F480">
            <v>176.42</v>
          </cell>
          <cell r="G480">
            <v>0</v>
          </cell>
          <cell r="H480" t="str">
            <v>60/61</v>
          </cell>
        </row>
        <row r="481">
          <cell r="F481">
            <v>436.03</v>
          </cell>
          <cell r="G481">
            <v>0</v>
          </cell>
          <cell r="H481" t="str">
            <v>60/61</v>
          </cell>
        </row>
        <row r="482">
          <cell r="F482">
            <v>12.9</v>
          </cell>
          <cell r="G482">
            <v>0</v>
          </cell>
          <cell r="H482" t="str">
            <v>60/61</v>
          </cell>
        </row>
        <row r="483">
          <cell r="F483">
            <v>4.0999999999999996</v>
          </cell>
          <cell r="G483">
            <v>0</v>
          </cell>
          <cell r="H483" t="str">
            <v>60/61</v>
          </cell>
        </row>
        <row r="484">
          <cell r="F484">
            <v>109.6</v>
          </cell>
          <cell r="G484">
            <v>0</v>
          </cell>
          <cell r="H484" t="str">
            <v>60/61</v>
          </cell>
        </row>
        <row r="485">
          <cell r="F485">
            <v>169.88</v>
          </cell>
          <cell r="G485">
            <v>0</v>
          </cell>
          <cell r="H485" t="str">
            <v>60/61</v>
          </cell>
        </row>
        <row r="486">
          <cell r="F486">
            <v>7.7</v>
          </cell>
          <cell r="G486">
            <v>0</v>
          </cell>
          <cell r="H486" t="str">
            <v>60/61</v>
          </cell>
        </row>
        <row r="487">
          <cell r="F487">
            <v>1906.2</v>
          </cell>
          <cell r="G487">
            <v>0</v>
          </cell>
          <cell r="H487" t="str">
            <v>60/61</v>
          </cell>
        </row>
        <row r="488">
          <cell r="F488">
            <v>105.5</v>
          </cell>
          <cell r="G488">
            <v>0</v>
          </cell>
          <cell r="H488" t="str">
            <v>60/61</v>
          </cell>
        </row>
        <row r="489">
          <cell r="F489">
            <v>13.85</v>
          </cell>
          <cell r="G489">
            <v>0</v>
          </cell>
          <cell r="H489" t="str">
            <v>60/61</v>
          </cell>
        </row>
        <row r="490">
          <cell r="F490">
            <v>146.5</v>
          </cell>
          <cell r="G490">
            <v>0</v>
          </cell>
          <cell r="H490" t="str">
            <v>60/61</v>
          </cell>
        </row>
        <row r="491">
          <cell r="F491">
            <v>820.08</v>
          </cell>
          <cell r="G491">
            <v>0</v>
          </cell>
          <cell r="H491" t="str">
            <v>60/61</v>
          </cell>
        </row>
        <row r="492">
          <cell r="F492">
            <v>0.69</v>
          </cell>
          <cell r="G492">
            <v>0</v>
          </cell>
          <cell r="H492" t="str">
            <v>60/61</v>
          </cell>
        </row>
        <row r="493">
          <cell r="F493">
            <v>30.01</v>
          </cell>
          <cell r="G493">
            <v>0</v>
          </cell>
          <cell r="H493" t="str">
            <v>60/61</v>
          </cell>
        </row>
        <row r="494">
          <cell r="F494">
            <v>5.6</v>
          </cell>
          <cell r="G494">
            <v>0</v>
          </cell>
          <cell r="H494" t="str">
            <v>60/61</v>
          </cell>
        </row>
        <row r="495">
          <cell r="F495">
            <v>34.6</v>
          </cell>
          <cell r="G495">
            <v>0</v>
          </cell>
          <cell r="H495" t="str">
            <v>60/61</v>
          </cell>
        </row>
        <row r="496">
          <cell r="F496">
            <v>1.27</v>
          </cell>
          <cell r="G496">
            <v>0</v>
          </cell>
          <cell r="H496" t="str">
            <v>60/61</v>
          </cell>
        </row>
        <row r="497">
          <cell r="F497">
            <v>199.33000000000004</v>
          </cell>
          <cell r="G497">
            <v>0</v>
          </cell>
          <cell r="H497" t="str">
            <v>60/61</v>
          </cell>
        </row>
        <row r="498">
          <cell r="F498">
            <v>2724.48</v>
          </cell>
          <cell r="G498">
            <v>0</v>
          </cell>
          <cell r="H498" t="str">
            <v>60/61</v>
          </cell>
        </row>
        <row r="499">
          <cell r="F499">
            <v>355.62</v>
          </cell>
          <cell r="G499">
            <v>0</v>
          </cell>
          <cell r="H499" t="str">
            <v>60/61</v>
          </cell>
        </row>
        <row r="500">
          <cell r="F500">
            <v>16.850000000000001</v>
          </cell>
          <cell r="G500">
            <v>0</v>
          </cell>
          <cell r="H500" t="str">
            <v>60/61</v>
          </cell>
        </row>
        <row r="501">
          <cell r="F501">
            <v>4535.1700000000019</v>
          </cell>
          <cell r="G501">
            <v>0</v>
          </cell>
          <cell r="H501" t="str">
            <v>60/61</v>
          </cell>
        </row>
        <row r="502">
          <cell r="F502">
            <v>112.08000000000001</v>
          </cell>
          <cell r="G502">
            <v>0</v>
          </cell>
          <cell r="H502" t="str">
            <v>60/61</v>
          </cell>
        </row>
        <row r="503">
          <cell r="F503">
            <v>-9.35</v>
          </cell>
          <cell r="G503">
            <v>0</v>
          </cell>
          <cell r="H503" t="str">
            <v>60/61</v>
          </cell>
        </row>
        <row r="504">
          <cell r="F504">
            <v>7.3</v>
          </cell>
          <cell r="G504">
            <v>0</v>
          </cell>
          <cell r="H504" t="str">
            <v>60/61</v>
          </cell>
        </row>
        <row r="505">
          <cell r="F505">
            <v>30</v>
          </cell>
          <cell r="G505">
            <v>0</v>
          </cell>
          <cell r="H505" t="str">
            <v>60/61</v>
          </cell>
        </row>
        <row r="506">
          <cell r="F506">
            <v>60.1</v>
          </cell>
          <cell r="G506">
            <v>0</v>
          </cell>
          <cell r="H506" t="str">
            <v>60/61</v>
          </cell>
        </row>
        <row r="507">
          <cell r="F507">
            <v>40.22</v>
          </cell>
          <cell r="G507">
            <v>0</v>
          </cell>
          <cell r="H507" t="str">
            <v>60/61</v>
          </cell>
        </row>
        <row r="508">
          <cell r="F508">
            <v>8481.86</v>
          </cell>
          <cell r="G508">
            <v>0</v>
          </cell>
          <cell r="H508" t="str">
            <v>60/61</v>
          </cell>
        </row>
        <row r="509">
          <cell r="F509">
            <v>450.7</v>
          </cell>
          <cell r="G509">
            <v>0</v>
          </cell>
          <cell r="H509" t="str">
            <v>60/61</v>
          </cell>
        </row>
        <row r="510">
          <cell r="F510">
            <v>0</v>
          </cell>
          <cell r="G510">
            <v>0</v>
          </cell>
          <cell r="H510" t="str">
            <v>60/61</v>
          </cell>
        </row>
        <row r="511">
          <cell r="F511">
            <v>22.12</v>
          </cell>
          <cell r="G511">
            <v>0</v>
          </cell>
          <cell r="H511" t="str">
            <v>60/61</v>
          </cell>
        </row>
        <row r="512">
          <cell r="F512">
            <v>130.78</v>
          </cell>
          <cell r="G512">
            <v>0</v>
          </cell>
          <cell r="H512" t="str">
            <v>60/61</v>
          </cell>
        </row>
        <row r="513">
          <cell r="F513">
            <v>6</v>
          </cell>
          <cell r="G513">
            <v>0</v>
          </cell>
          <cell r="H513" t="str">
            <v>60/61</v>
          </cell>
        </row>
        <row r="514">
          <cell r="F514">
            <v>23.9</v>
          </cell>
          <cell r="G514">
            <v>0</v>
          </cell>
          <cell r="H514" t="str">
            <v>60/61</v>
          </cell>
        </row>
        <row r="515">
          <cell r="F515">
            <v>600.31999999999994</v>
          </cell>
          <cell r="G515">
            <v>0</v>
          </cell>
          <cell r="H515" t="str">
            <v>60/61</v>
          </cell>
        </row>
        <row r="516">
          <cell r="F516">
            <v>74.75</v>
          </cell>
          <cell r="G516">
            <v>0</v>
          </cell>
          <cell r="H516" t="str">
            <v>60/61</v>
          </cell>
        </row>
        <row r="517">
          <cell r="F517">
            <v>17.989999999999998</v>
          </cell>
          <cell r="G517">
            <v>0</v>
          </cell>
          <cell r="H517" t="str">
            <v>60/61</v>
          </cell>
        </row>
        <row r="518">
          <cell r="F518">
            <v>6049.93</v>
          </cell>
          <cell r="G518">
            <v>0</v>
          </cell>
          <cell r="H518" t="str">
            <v>60/61</v>
          </cell>
        </row>
        <row r="519">
          <cell r="F519">
            <v>4856.92</v>
          </cell>
          <cell r="G519">
            <v>0</v>
          </cell>
          <cell r="H519" t="str">
            <v>60/61</v>
          </cell>
        </row>
        <row r="520">
          <cell r="F520">
            <v>0.97</v>
          </cell>
          <cell r="G520">
            <v>0</v>
          </cell>
          <cell r="H520" t="str">
            <v>60/61</v>
          </cell>
        </row>
        <row r="521">
          <cell r="F521">
            <v>4.87</v>
          </cell>
          <cell r="G521">
            <v>0</v>
          </cell>
          <cell r="H521" t="str">
            <v>60/61</v>
          </cell>
        </row>
        <row r="522">
          <cell r="F522">
            <v>242.79</v>
          </cell>
          <cell r="G522">
            <v>0</v>
          </cell>
          <cell r="H522" t="str">
            <v>60/61</v>
          </cell>
        </row>
        <row r="523">
          <cell r="F523">
            <v>72.599999999999994</v>
          </cell>
          <cell r="G523">
            <v>0</v>
          </cell>
          <cell r="H523" t="str">
            <v>60/61</v>
          </cell>
        </row>
        <row r="524">
          <cell r="F524">
            <v>239.84</v>
          </cell>
          <cell r="G524">
            <v>0</v>
          </cell>
          <cell r="H524" t="str">
            <v>60/61</v>
          </cell>
        </row>
        <row r="525">
          <cell r="F525">
            <v>17758.400000000001</v>
          </cell>
          <cell r="G525">
            <v>0</v>
          </cell>
          <cell r="H525" t="str">
            <v>60/61</v>
          </cell>
        </row>
        <row r="526">
          <cell r="F526">
            <v>5.58</v>
          </cell>
          <cell r="G526">
            <v>0</v>
          </cell>
          <cell r="H526" t="str">
            <v>60/61</v>
          </cell>
        </row>
        <row r="527">
          <cell r="F527">
            <v>94.18</v>
          </cell>
          <cell r="G527">
            <v>0</v>
          </cell>
          <cell r="H527" t="str">
            <v>60/61</v>
          </cell>
        </row>
        <row r="528">
          <cell r="F528">
            <v>761.11</v>
          </cell>
          <cell r="G528">
            <v>0</v>
          </cell>
          <cell r="H528" t="str">
            <v>60/61</v>
          </cell>
        </row>
        <row r="529">
          <cell r="F529">
            <v>2611.44</v>
          </cell>
          <cell r="G529">
            <v>0</v>
          </cell>
          <cell r="H529" t="str">
            <v>60/61</v>
          </cell>
        </row>
        <row r="530">
          <cell r="F530">
            <v>914.74</v>
          </cell>
          <cell r="G530">
            <v>0</v>
          </cell>
          <cell r="H530" t="str">
            <v>60/61</v>
          </cell>
        </row>
        <row r="531">
          <cell r="F531">
            <v>6263.87</v>
          </cell>
          <cell r="G531">
            <v>0</v>
          </cell>
          <cell r="H531" t="str">
            <v>60/61</v>
          </cell>
        </row>
        <row r="532">
          <cell r="F532">
            <v>9.08</v>
          </cell>
          <cell r="G532">
            <v>0</v>
          </cell>
          <cell r="H532" t="str">
            <v>60/61</v>
          </cell>
        </row>
        <row r="533">
          <cell r="F533">
            <v>0</v>
          </cell>
          <cell r="G533">
            <v>0</v>
          </cell>
          <cell r="H533" t="str">
            <v>60/61</v>
          </cell>
        </row>
        <row r="534">
          <cell r="F534">
            <v>1203.3399999999999</v>
          </cell>
          <cell r="G534">
            <v>0</v>
          </cell>
          <cell r="H534" t="str">
            <v>60/61</v>
          </cell>
        </row>
        <row r="535">
          <cell r="F535">
            <v>444.35</v>
          </cell>
          <cell r="G535">
            <v>0</v>
          </cell>
          <cell r="H535" t="str">
            <v>60/61</v>
          </cell>
        </row>
        <row r="536">
          <cell r="F536">
            <v>709.56</v>
          </cell>
          <cell r="G536">
            <v>0</v>
          </cell>
          <cell r="H536" t="str">
            <v>60/61</v>
          </cell>
        </row>
        <row r="537">
          <cell r="F537">
            <v>709.56</v>
          </cell>
          <cell r="G537">
            <v>0</v>
          </cell>
          <cell r="H537" t="str">
            <v>60/61</v>
          </cell>
        </row>
        <row r="538">
          <cell r="F538">
            <v>18.899999999999999</v>
          </cell>
          <cell r="G538">
            <v>0</v>
          </cell>
          <cell r="H538" t="str">
            <v>60/61</v>
          </cell>
        </row>
        <row r="539">
          <cell r="F539">
            <v>2197.83</v>
          </cell>
          <cell r="G539">
            <v>0</v>
          </cell>
          <cell r="H539" t="str">
            <v>60/61</v>
          </cell>
        </row>
        <row r="540">
          <cell r="F540">
            <v>1914.16</v>
          </cell>
          <cell r="G540">
            <v>0</v>
          </cell>
          <cell r="H540" t="str">
            <v>60/61</v>
          </cell>
        </row>
        <row r="541">
          <cell r="F541">
            <v>363.8</v>
          </cell>
          <cell r="G541">
            <v>0</v>
          </cell>
          <cell r="H541" t="str">
            <v>60/61</v>
          </cell>
        </row>
        <row r="542">
          <cell r="F542">
            <v>342.72</v>
          </cell>
          <cell r="G542">
            <v>0</v>
          </cell>
          <cell r="H542" t="str">
            <v>60/61</v>
          </cell>
        </row>
        <row r="543">
          <cell r="F543">
            <v>194.93</v>
          </cell>
          <cell r="G543">
            <v>0</v>
          </cell>
          <cell r="H543" t="str">
            <v>60/61</v>
          </cell>
        </row>
        <row r="544">
          <cell r="F544">
            <v>1091.4000000000001</v>
          </cell>
          <cell r="G544">
            <v>0</v>
          </cell>
          <cell r="H544" t="str">
            <v>60/61</v>
          </cell>
        </row>
        <row r="545">
          <cell r="F545">
            <v>1376.49</v>
          </cell>
          <cell r="G545">
            <v>0</v>
          </cell>
          <cell r="H545" t="str">
            <v>60/61</v>
          </cell>
        </row>
        <row r="546">
          <cell r="F546">
            <v>444.35</v>
          </cell>
          <cell r="G546">
            <v>0</v>
          </cell>
          <cell r="H546" t="str">
            <v>60/61</v>
          </cell>
        </row>
        <row r="547">
          <cell r="F547">
            <v>66.31</v>
          </cell>
          <cell r="G547">
            <v>0</v>
          </cell>
          <cell r="H547" t="str">
            <v>60/61</v>
          </cell>
        </row>
        <row r="548">
          <cell r="F548">
            <v>535.23</v>
          </cell>
          <cell r="G548">
            <v>0</v>
          </cell>
          <cell r="H548" t="str">
            <v>60/61</v>
          </cell>
        </row>
        <row r="549">
          <cell r="F549">
            <v>404.54</v>
          </cell>
          <cell r="G549">
            <v>0</v>
          </cell>
          <cell r="H549" t="str">
            <v>60/61</v>
          </cell>
        </row>
        <row r="550">
          <cell r="F550">
            <v>107.63</v>
          </cell>
          <cell r="G550">
            <v>0</v>
          </cell>
          <cell r="H550" t="str">
            <v>60/61</v>
          </cell>
        </row>
        <row r="551">
          <cell r="F551">
            <v>1.81</v>
          </cell>
          <cell r="G551">
            <v>0</v>
          </cell>
          <cell r="H551" t="str">
            <v>60/61</v>
          </cell>
        </row>
        <row r="552">
          <cell r="F552">
            <v>305.5</v>
          </cell>
          <cell r="G552">
            <v>0</v>
          </cell>
          <cell r="H552" t="str">
            <v>60/61</v>
          </cell>
        </row>
        <row r="553">
          <cell r="F553">
            <v>2.88</v>
          </cell>
          <cell r="G553">
            <v>0</v>
          </cell>
          <cell r="H553" t="str">
            <v>60/61</v>
          </cell>
        </row>
        <row r="554">
          <cell r="F554">
            <v>212.02</v>
          </cell>
          <cell r="G554">
            <v>0</v>
          </cell>
          <cell r="H554" t="str">
            <v>60/61</v>
          </cell>
        </row>
        <row r="555">
          <cell r="F555">
            <v>202.57</v>
          </cell>
          <cell r="G555">
            <v>0</v>
          </cell>
          <cell r="H555" t="str">
            <v>60/61</v>
          </cell>
        </row>
        <row r="556">
          <cell r="F556">
            <v>582.11</v>
          </cell>
          <cell r="G556">
            <v>0</v>
          </cell>
          <cell r="H556" t="str">
            <v>60/61</v>
          </cell>
        </row>
        <row r="557">
          <cell r="F557">
            <v>411.76</v>
          </cell>
          <cell r="G557">
            <v>0</v>
          </cell>
          <cell r="H557" t="str">
            <v>60/61</v>
          </cell>
        </row>
        <row r="558">
          <cell r="F558">
            <v>626.03</v>
          </cell>
          <cell r="G558">
            <v>0</v>
          </cell>
          <cell r="H558" t="str">
            <v>60/61</v>
          </cell>
        </row>
        <row r="559">
          <cell r="F559">
            <v>551.99</v>
          </cell>
          <cell r="G559">
            <v>0</v>
          </cell>
          <cell r="H559" t="str">
            <v>60/61</v>
          </cell>
        </row>
        <row r="560">
          <cell r="F560">
            <v>650.62</v>
          </cell>
          <cell r="G560">
            <v>0</v>
          </cell>
          <cell r="H560" t="str">
            <v>60/61</v>
          </cell>
        </row>
        <row r="561">
          <cell r="F561">
            <v>333.1</v>
          </cell>
          <cell r="G561">
            <v>0</v>
          </cell>
          <cell r="H561" t="str">
            <v>60/61</v>
          </cell>
        </row>
        <row r="562">
          <cell r="F562">
            <v>429.46000000000004</v>
          </cell>
          <cell r="G562">
            <v>0</v>
          </cell>
          <cell r="H562" t="str">
            <v>60/61</v>
          </cell>
        </row>
        <row r="563">
          <cell r="F563">
            <v>334.38</v>
          </cell>
          <cell r="G563">
            <v>0</v>
          </cell>
          <cell r="H563" t="str">
            <v>60/61</v>
          </cell>
        </row>
        <row r="564">
          <cell r="F564">
            <v>306.08999999999997</v>
          </cell>
          <cell r="G564">
            <v>0</v>
          </cell>
          <cell r="H564" t="str">
            <v>60/61</v>
          </cell>
        </row>
        <row r="565">
          <cell r="F565">
            <v>854.57</v>
          </cell>
          <cell r="G565">
            <v>0</v>
          </cell>
          <cell r="H565" t="str">
            <v>60/61</v>
          </cell>
        </row>
        <row r="566">
          <cell r="F566">
            <v>632.85</v>
          </cell>
          <cell r="G566">
            <v>0</v>
          </cell>
          <cell r="H566" t="str">
            <v>60/61</v>
          </cell>
        </row>
        <row r="567">
          <cell r="F567">
            <v>374.24</v>
          </cell>
          <cell r="G567">
            <v>0</v>
          </cell>
          <cell r="H567" t="str">
            <v>60/61</v>
          </cell>
        </row>
        <row r="568">
          <cell r="F568">
            <v>87.14</v>
          </cell>
          <cell r="G568">
            <v>0</v>
          </cell>
          <cell r="H568" t="str">
            <v>60/61</v>
          </cell>
        </row>
        <row r="569">
          <cell r="F569">
            <v>350.96000000000004</v>
          </cell>
          <cell r="G569">
            <v>0</v>
          </cell>
          <cell r="H569" t="str">
            <v>60/61</v>
          </cell>
        </row>
        <row r="570">
          <cell r="F570">
            <v>87.75</v>
          </cell>
          <cell r="G570">
            <v>0</v>
          </cell>
          <cell r="H570" t="str">
            <v>60/61</v>
          </cell>
        </row>
        <row r="571">
          <cell r="F571">
            <v>0</v>
          </cell>
          <cell r="G571">
            <v>0</v>
          </cell>
          <cell r="H571" t="str">
            <v>60/61</v>
          </cell>
        </row>
        <row r="572">
          <cell r="F572">
            <v>828.2</v>
          </cell>
          <cell r="G572">
            <v>0</v>
          </cell>
          <cell r="H572" t="str">
            <v>60/61</v>
          </cell>
        </row>
        <row r="573">
          <cell r="F573">
            <v>709.56</v>
          </cell>
          <cell r="G573">
            <v>0</v>
          </cell>
          <cell r="H573" t="str">
            <v>60/61</v>
          </cell>
        </row>
        <row r="574">
          <cell r="F574">
            <v>214.8</v>
          </cell>
          <cell r="G574">
            <v>0</v>
          </cell>
          <cell r="H574" t="str">
            <v>60/61</v>
          </cell>
        </row>
        <row r="575">
          <cell r="F575">
            <v>1485.52</v>
          </cell>
          <cell r="G575">
            <v>0</v>
          </cell>
          <cell r="H575" t="str">
            <v>60/61</v>
          </cell>
        </row>
        <row r="576">
          <cell r="F576">
            <v>1273.5999999999999</v>
          </cell>
          <cell r="G576">
            <v>0</v>
          </cell>
          <cell r="H576" t="str">
            <v>60/61</v>
          </cell>
        </row>
        <row r="577">
          <cell r="F577">
            <v>702.19</v>
          </cell>
          <cell r="G577">
            <v>0</v>
          </cell>
          <cell r="H577" t="str">
            <v>60/61</v>
          </cell>
        </row>
        <row r="578">
          <cell r="F578">
            <v>425.45</v>
          </cell>
          <cell r="G578">
            <v>0</v>
          </cell>
          <cell r="H578" t="str">
            <v>60/61</v>
          </cell>
        </row>
        <row r="579">
          <cell r="F579">
            <v>185.49</v>
          </cell>
          <cell r="G579">
            <v>0</v>
          </cell>
          <cell r="H579" t="str">
            <v>60/61</v>
          </cell>
        </row>
        <row r="580">
          <cell r="F580">
            <v>182.22</v>
          </cell>
          <cell r="G580">
            <v>0</v>
          </cell>
          <cell r="H580" t="str">
            <v>60/61</v>
          </cell>
        </row>
        <row r="581">
          <cell r="F581">
            <v>413.72</v>
          </cell>
          <cell r="G581">
            <v>0</v>
          </cell>
          <cell r="H581" t="str">
            <v>60/61</v>
          </cell>
        </row>
        <row r="582">
          <cell r="F582">
            <v>47.36</v>
          </cell>
          <cell r="G582">
            <v>0</v>
          </cell>
          <cell r="H582" t="str">
            <v>60/61</v>
          </cell>
        </row>
        <row r="583">
          <cell r="F583">
            <v>34.549999999999997</v>
          </cell>
          <cell r="G583">
            <v>0</v>
          </cell>
          <cell r="H583" t="str">
            <v>60/61</v>
          </cell>
        </row>
        <row r="584">
          <cell r="F584">
            <v>74.3</v>
          </cell>
          <cell r="G584">
            <v>0</v>
          </cell>
          <cell r="H584" t="str">
            <v>60/61</v>
          </cell>
        </row>
        <row r="585">
          <cell r="F585">
            <v>541.58000000000004</v>
          </cell>
          <cell r="G585">
            <v>0</v>
          </cell>
          <cell r="H585" t="str">
            <v>60/61</v>
          </cell>
        </row>
        <row r="586">
          <cell r="F586">
            <v>186.42</v>
          </cell>
          <cell r="G586">
            <v>0</v>
          </cell>
          <cell r="H586" t="str">
            <v>60/61</v>
          </cell>
        </row>
        <row r="587">
          <cell r="F587">
            <v>536.36</v>
          </cell>
          <cell r="G587">
            <v>0</v>
          </cell>
          <cell r="H587" t="str">
            <v>60/61</v>
          </cell>
        </row>
        <row r="588">
          <cell r="F588">
            <v>49.519999999999982</v>
          </cell>
          <cell r="G588">
            <v>0</v>
          </cell>
          <cell r="H588" t="str">
            <v>60/61</v>
          </cell>
        </row>
        <row r="589">
          <cell r="F589">
            <v>273.92000000000007</v>
          </cell>
          <cell r="G589">
            <v>0</v>
          </cell>
          <cell r="H589" t="str">
            <v>60/61</v>
          </cell>
        </row>
        <row r="590">
          <cell r="F590">
            <v>3.46</v>
          </cell>
          <cell r="G590">
            <v>0</v>
          </cell>
          <cell r="H590" t="str">
            <v>60/61</v>
          </cell>
        </row>
        <row r="591">
          <cell r="F591">
            <v>3.66</v>
          </cell>
          <cell r="G591">
            <v>0</v>
          </cell>
          <cell r="H591" t="str">
            <v>60/61</v>
          </cell>
        </row>
        <row r="592">
          <cell r="F592">
            <v>4.3099999999999996</v>
          </cell>
          <cell r="G592">
            <v>0</v>
          </cell>
          <cell r="H592" t="str">
            <v>60/61</v>
          </cell>
        </row>
        <row r="593">
          <cell r="F593">
            <v>11.58</v>
          </cell>
          <cell r="G593">
            <v>0</v>
          </cell>
          <cell r="H593" t="str">
            <v>60/61</v>
          </cell>
        </row>
        <row r="594">
          <cell r="F594">
            <v>250</v>
          </cell>
          <cell r="G594">
            <v>0</v>
          </cell>
          <cell r="H594" t="str">
            <v>60/61</v>
          </cell>
        </row>
        <row r="595">
          <cell r="F595">
            <v>483.87</v>
          </cell>
          <cell r="G595">
            <v>0</v>
          </cell>
          <cell r="H595" t="str">
            <v>60/61</v>
          </cell>
        </row>
        <row r="596">
          <cell r="F596">
            <v>12.83</v>
          </cell>
          <cell r="G596">
            <v>0</v>
          </cell>
          <cell r="H596" t="str">
            <v>60/61</v>
          </cell>
        </row>
        <row r="597">
          <cell r="F597">
            <v>70</v>
          </cell>
          <cell r="G597">
            <v>0</v>
          </cell>
          <cell r="H597" t="str">
            <v>60/61</v>
          </cell>
        </row>
        <row r="598">
          <cell r="F598">
            <v>3991.84</v>
          </cell>
          <cell r="G598">
            <v>0</v>
          </cell>
          <cell r="H598" t="str">
            <v>60/61</v>
          </cell>
        </row>
        <row r="599">
          <cell r="F599">
            <v>97.89</v>
          </cell>
          <cell r="G599">
            <v>0</v>
          </cell>
          <cell r="H599" t="str">
            <v>60/61</v>
          </cell>
        </row>
        <row r="600">
          <cell r="F600">
            <v>1915.12</v>
          </cell>
          <cell r="G600">
            <v>0</v>
          </cell>
          <cell r="H600" t="str">
            <v>60/61</v>
          </cell>
        </row>
        <row r="601">
          <cell r="F601">
            <v>2342.5700000000002</v>
          </cell>
          <cell r="G601">
            <v>0</v>
          </cell>
          <cell r="H601" t="str">
            <v>60/61</v>
          </cell>
        </row>
        <row r="602">
          <cell r="F602">
            <v>587.90999999999985</v>
          </cell>
          <cell r="G602">
            <v>0</v>
          </cell>
          <cell r="H602" t="str">
            <v>60/61</v>
          </cell>
        </row>
        <row r="603">
          <cell r="F603">
            <v>108.39</v>
          </cell>
          <cell r="G603">
            <v>0</v>
          </cell>
          <cell r="H603" t="str">
            <v>60/61</v>
          </cell>
        </row>
        <row r="604">
          <cell r="F604">
            <v>1606.76</v>
          </cell>
          <cell r="G604">
            <v>0</v>
          </cell>
          <cell r="H604" t="str">
            <v>60/61</v>
          </cell>
        </row>
        <row r="605">
          <cell r="F605">
            <v>1352.78</v>
          </cell>
          <cell r="G605">
            <v>0</v>
          </cell>
          <cell r="H605" t="str">
            <v>60/61</v>
          </cell>
        </row>
        <row r="606">
          <cell r="F606">
            <v>2.4000000000000057</v>
          </cell>
          <cell r="G606">
            <v>0</v>
          </cell>
          <cell r="H606" t="str">
            <v>60/61</v>
          </cell>
        </row>
        <row r="607">
          <cell r="F607">
            <v>5.03</v>
          </cell>
          <cell r="G607">
            <v>0</v>
          </cell>
          <cell r="H607" t="str">
            <v>60/61</v>
          </cell>
        </row>
        <row r="608">
          <cell r="F608">
            <v>65.16</v>
          </cell>
          <cell r="G608">
            <v>0</v>
          </cell>
          <cell r="H608" t="str">
            <v>60/61</v>
          </cell>
        </row>
        <row r="609">
          <cell r="F609">
            <v>318.26</v>
          </cell>
          <cell r="G609">
            <v>0</v>
          </cell>
          <cell r="H609" t="str">
            <v>60/61</v>
          </cell>
        </row>
        <row r="610">
          <cell r="F610">
            <v>504.65</v>
          </cell>
          <cell r="G610">
            <v>0</v>
          </cell>
          <cell r="H610" t="str">
            <v>60/61</v>
          </cell>
        </row>
        <row r="611">
          <cell r="F611">
            <v>1.79</v>
          </cell>
          <cell r="G611">
            <v>0</v>
          </cell>
          <cell r="H611" t="str">
            <v>60/61</v>
          </cell>
        </row>
        <row r="612">
          <cell r="F612">
            <v>0</v>
          </cell>
          <cell r="G612">
            <v>0</v>
          </cell>
          <cell r="H612" t="str">
            <v>60/61</v>
          </cell>
        </row>
        <row r="613">
          <cell r="F613">
            <v>7.67</v>
          </cell>
          <cell r="G613">
            <v>0</v>
          </cell>
          <cell r="H613" t="str">
            <v>60/61</v>
          </cell>
        </row>
        <row r="614">
          <cell r="F614">
            <v>5043.8900000000003</v>
          </cell>
          <cell r="G614">
            <v>0</v>
          </cell>
          <cell r="H614" t="str">
            <v>60/61</v>
          </cell>
        </row>
        <row r="615">
          <cell r="F615">
            <v>126.04</v>
          </cell>
          <cell r="G615">
            <v>0</v>
          </cell>
          <cell r="H615" t="str">
            <v>60/61</v>
          </cell>
        </row>
        <row r="616">
          <cell r="F616">
            <v>111.46</v>
          </cell>
          <cell r="G616">
            <v>0</v>
          </cell>
          <cell r="H616" t="str">
            <v>60/61</v>
          </cell>
        </row>
        <row r="617">
          <cell r="F617">
            <v>131.88</v>
          </cell>
          <cell r="G617">
            <v>0</v>
          </cell>
          <cell r="H617" t="str">
            <v>60/61</v>
          </cell>
        </row>
        <row r="618">
          <cell r="F618">
            <v>16120.23</v>
          </cell>
          <cell r="G618">
            <v>0</v>
          </cell>
          <cell r="H618" t="str">
            <v>60/61</v>
          </cell>
        </row>
        <row r="619">
          <cell r="F619">
            <v>69832.17</v>
          </cell>
          <cell r="G619">
            <v>0</v>
          </cell>
          <cell r="H619" t="str">
            <v>60/61</v>
          </cell>
        </row>
        <row r="620">
          <cell r="F620">
            <v>520</v>
          </cell>
          <cell r="G620">
            <v>0</v>
          </cell>
          <cell r="H620" t="str">
            <v>60/61</v>
          </cell>
        </row>
        <row r="621">
          <cell r="F621">
            <v>4496.57</v>
          </cell>
          <cell r="G621">
            <v>0</v>
          </cell>
          <cell r="H621" t="str">
            <v>60/61</v>
          </cell>
        </row>
        <row r="622">
          <cell r="F622">
            <v>93.24</v>
          </cell>
          <cell r="G622">
            <v>0</v>
          </cell>
          <cell r="H622" t="str">
            <v>60/61</v>
          </cell>
        </row>
        <row r="623">
          <cell r="F623">
            <v>213.37</v>
          </cell>
          <cell r="G623">
            <v>0</v>
          </cell>
          <cell r="H623" t="str">
            <v>60/61</v>
          </cell>
        </row>
        <row r="624">
          <cell r="F624">
            <v>2994.85</v>
          </cell>
          <cell r="G624">
            <v>0</v>
          </cell>
          <cell r="H624" t="str">
            <v>60/61</v>
          </cell>
        </row>
        <row r="625">
          <cell r="F625">
            <v>478.29</v>
          </cell>
          <cell r="G625">
            <v>0</v>
          </cell>
          <cell r="H625" t="str">
            <v>60/61</v>
          </cell>
        </row>
        <row r="626">
          <cell r="F626">
            <v>8651.76</v>
          </cell>
          <cell r="G626">
            <v>0</v>
          </cell>
          <cell r="H626" t="str">
            <v>60/61</v>
          </cell>
        </row>
        <row r="627">
          <cell r="F627">
            <v>1399.46</v>
          </cell>
          <cell r="G627">
            <v>0</v>
          </cell>
          <cell r="H627" t="str">
            <v>60/61</v>
          </cell>
        </row>
        <row r="628">
          <cell r="F628">
            <v>6234.79</v>
          </cell>
          <cell r="G628">
            <v>0</v>
          </cell>
          <cell r="H628" t="str">
            <v>60/61</v>
          </cell>
        </row>
        <row r="629">
          <cell r="F629">
            <v>2079.3200000000002</v>
          </cell>
          <cell r="G629">
            <v>0</v>
          </cell>
          <cell r="H629" t="str">
            <v>60/61</v>
          </cell>
        </row>
        <row r="630">
          <cell r="F630">
            <v>1658.46</v>
          </cell>
          <cell r="G630">
            <v>0</v>
          </cell>
          <cell r="H630" t="str">
            <v>60/61</v>
          </cell>
        </row>
        <row r="631">
          <cell r="F631">
            <v>181.5</v>
          </cell>
          <cell r="G631">
            <v>0</v>
          </cell>
          <cell r="H631" t="str">
            <v>60/61</v>
          </cell>
        </row>
        <row r="632">
          <cell r="F632">
            <v>420.56</v>
          </cell>
          <cell r="G632">
            <v>0</v>
          </cell>
          <cell r="H632" t="str">
            <v>60/61</v>
          </cell>
        </row>
        <row r="633">
          <cell r="F633">
            <v>1730.87</v>
          </cell>
          <cell r="G633">
            <v>0</v>
          </cell>
          <cell r="H633" t="str">
            <v>60/61</v>
          </cell>
        </row>
        <row r="634">
          <cell r="F634">
            <v>6966.81</v>
          </cell>
          <cell r="G634">
            <v>0</v>
          </cell>
          <cell r="H634" t="str">
            <v>60/61</v>
          </cell>
        </row>
        <row r="635">
          <cell r="F635">
            <v>308.2</v>
          </cell>
          <cell r="G635">
            <v>0</v>
          </cell>
          <cell r="H635" t="str">
            <v>60/61</v>
          </cell>
        </row>
        <row r="636">
          <cell r="F636">
            <v>-47.7</v>
          </cell>
          <cell r="G636">
            <v>0</v>
          </cell>
          <cell r="H636" t="str">
            <v>60/61</v>
          </cell>
        </row>
        <row r="637">
          <cell r="F637">
            <v>47.7</v>
          </cell>
          <cell r="G637">
            <v>0</v>
          </cell>
          <cell r="H637" t="str">
            <v>60/61</v>
          </cell>
        </row>
        <row r="638">
          <cell r="F638">
            <v>480.24</v>
          </cell>
          <cell r="G638">
            <v>0</v>
          </cell>
          <cell r="H638" t="str">
            <v>60/61</v>
          </cell>
        </row>
        <row r="639">
          <cell r="F639">
            <v>4352.6099999999997</v>
          </cell>
          <cell r="G639">
            <v>0</v>
          </cell>
          <cell r="H639" t="str">
            <v>60/61</v>
          </cell>
        </row>
        <row r="640">
          <cell r="F640">
            <v>1680</v>
          </cell>
          <cell r="G640">
            <v>0</v>
          </cell>
          <cell r="H640" t="str">
            <v>60/61</v>
          </cell>
        </row>
        <row r="641">
          <cell r="F641">
            <v>34392.5</v>
          </cell>
          <cell r="G641">
            <v>0</v>
          </cell>
          <cell r="H641" t="str">
            <v>60/61</v>
          </cell>
        </row>
        <row r="642">
          <cell r="F642">
            <v>585.94000000000005</v>
          </cell>
          <cell r="G642">
            <v>0</v>
          </cell>
          <cell r="H642" t="str">
            <v>60/61</v>
          </cell>
        </row>
        <row r="643">
          <cell r="F643">
            <v>3847.39</v>
          </cell>
          <cell r="G643">
            <v>0</v>
          </cell>
          <cell r="H643" t="str">
            <v>60/61</v>
          </cell>
        </row>
        <row r="644">
          <cell r="F644">
            <v>1413.76</v>
          </cell>
          <cell r="G644">
            <v>0</v>
          </cell>
          <cell r="H644" t="str">
            <v>60/61</v>
          </cell>
        </row>
        <row r="645">
          <cell r="F645">
            <v>1791.77</v>
          </cell>
          <cell r="G645">
            <v>0</v>
          </cell>
          <cell r="H645" t="str">
            <v>60/61</v>
          </cell>
        </row>
        <row r="646">
          <cell r="F646">
            <v>25601.51</v>
          </cell>
          <cell r="G646">
            <v>0</v>
          </cell>
          <cell r="H646" t="str">
            <v>60/61</v>
          </cell>
        </row>
        <row r="647">
          <cell r="F647">
            <v>13556.460000000001</v>
          </cell>
          <cell r="G647">
            <v>0</v>
          </cell>
          <cell r="H647" t="str">
            <v>60/61</v>
          </cell>
        </row>
        <row r="648">
          <cell r="F648">
            <v>6444.09</v>
          </cell>
          <cell r="G648">
            <v>0</v>
          </cell>
          <cell r="H648" t="str">
            <v>60/61</v>
          </cell>
        </row>
        <row r="649">
          <cell r="F649">
            <v>600</v>
          </cell>
          <cell r="G649">
            <v>0</v>
          </cell>
          <cell r="H649" t="str">
            <v>60/61</v>
          </cell>
        </row>
        <row r="650">
          <cell r="F650">
            <v>7014.48</v>
          </cell>
          <cell r="G650">
            <v>0</v>
          </cell>
          <cell r="H650" t="str">
            <v>60/61</v>
          </cell>
        </row>
        <row r="651">
          <cell r="F651">
            <v>3702.6</v>
          </cell>
          <cell r="G651">
            <v>0</v>
          </cell>
          <cell r="H651" t="str">
            <v>60/61</v>
          </cell>
        </row>
        <row r="652">
          <cell r="F652">
            <v>11623.4</v>
          </cell>
          <cell r="G652">
            <v>0</v>
          </cell>
          <cell r="H652" t="str">
            <v>60/61</v>
          </cell>
        </row>
        <row r="653">
          <cell r="F653">
            <v>1993.01</v>
          </cell>
          <cell r="G653">
            <v>0</v>
          </cell>
          <cell r="H653" t="str">
            <v>60/61</v>
          </cell>
        </row>
        <row r="654">
          <cell r="F654">
            <v>13600</v>
          </cell>
          <cell r="G654">
            <v>0</v>
          </cell>
          <cell r="H654" t="str">
            <v>60/61</v>
          </cell>
        </row>
        <row r="655">
          <cell r="F655">
            <v>1200</v>
          </cell>
          <cell r="G655">
            <v>0</v>
          </cell>
          <cell r="H655" t="str">
            <v>60/61</v>
          </cell>
        </row>
        <row r="656">
          <cell r="F656">
            <v>8277.42</v>
          </cell>
          <cell r="G656">
            <v>0</v>
          </cell>
          <cell r="H656" t="str">
            <v>60/61</v>
          </cell>
        </row>
        <row r="657">
          <cell r="F657">
            <v>7155.66</v>
          </cell>
          <cell r="G657">
            <v>0</v>
          </cell>
          <cell r="H657" t="str">
            <v>60/61</v>
          </cell>
        </row>
        <row r="658">
          <cell r="F658">
            <v>11544.77</v>
          </cell>
          <cell r="G658">
            <v>0</v>
          </cell>
          <cell r="H658" t="str">
            <v>60/61</v>
          </cell>
        </row>
        <row r="659">
          <cell r="F659">
            <v>8581.99</v>
          </cell>
          <cell r="G659">
            <v>0</v>
          </cell>
          <cell r="H659" t="str">
            <v>60/61</v>
          </cell>
        </row>
        <row r="660">
          <cell r="F660">
            <v>1979.34</v>
          </cell>
          <cell r="G660">
            <v>0</v>
          </cell>
          <cell r="H660" t="str">
            <v>60/61</v>
          </cell>
        </row>
        <row r="661">
          <cell r="F661">
            <v>8090.77</v>
          </cell>
          <cell r="G661">
            <v>0</v>
          </cell>
          <cell r="H661" t="str">
            <v>60/61</v>
          </cell>
        </row>
        <row r="662">
          <cell r="F662">
            <v>23496.86</v>
          </cell>
          <cell r="G662">
            <v>0</v>
          </cell>
          <cell r="H662" t="str">
            <v>60/61</v>
          </cell>
        </row>
        <row r="663">
          <cell r="F663">
            <v>12083.49</v>
          </cell>
          <cell r="G663">
            <v>0</v>
          </cell>
          <cell r="H663" t="str">
            <v>60/61</v>
          </cell>
        </row>
        <row r="664">
          <cell r="F664">
            <v>13364.8</v>
          </cell>
          <cell r="G664">
            <v>0</v>
          </cell>
          <cell r="H664" t="str">
            <v>60/61</v>
          </cell>
        </row>
        <row r="665">
          <cell r="F665">
            <v>9981.18</v>
          </cell>
          <cell r="G665">
            <v>0</v>
          </cell>
          <cell r="H665" t="str">
            <v>60/61</v>
          </cell>
        </row>
        <row r="666">
          <cell r="F666">
            <v>19562.84</v>
          </cell>
          <cell r="G666">
            <v>0</v>
          </cell>
          <cell r="H666" t="str">
            <v>60/61</v>
          </cell>
        </row>
        <row r="667">
          <cell r="F667">
            <v>3847.49</v>
          </cell>
          <cell r="G667">
            <v>0</v>
          </cell>
          <cell r="H667" t="str">
            <v>60/61</v>
          </cell>
        </row>
        <row r="668">
          <cell r="F668">
            <v>6000</v>
          </cell>
          <cell r="G668">
            <v>0</v>
          </cell>
          <cell r="H668" t="str">
            <v>60/61</v>
          </cell>
        </row>
        <row r="669">
          <cell r="F669">
            <v>8339.1</v>
          </cell>
          <cell r="G669">
            <v>0</v>
          </cell>
          <cell r="H669" t="str">
            <v>60/61</v>
          </cell>
        </row>
        <row r="670">
          <cell r="F670">
            <v>25468.44</v>
          </cell>
          <cell r="G670">
            <v>0</v>
          </cell>
          <cell r="H670" t="str">
            <v>60/61</v>
          </cell>
        </row>
        <row r="671">
          <cell r="F671">
            <v>9743.16</v>
          </cell>
          <cell r="G671">
            <v>0</v>
          </cell>
          <cell r="H671" t="str">
            <v>60/61</v>
          </cell>
        </row>
        <row r="672">
          <cell r="F672">
            <v>20416.439999999999</v>
          </cell>
          <cell r="G672">
            <v>0</v>
          </cell>
          <cell r="H672" t="str">
            <v>60/61</v>
          </cell>
        </row>
        <row r="673">
          <cell r="F673">
            <v>17279.759999999998</v>
          </cell>
          <cell r="G673">
            <v>0</v>
          </cell>
          <cell r="H673" t="str">
            <v>60/61</v>
          </cell>
        </row>
        <row r="674">
          <cell r="F674">
            <v>3600</v>
          </cell>
          <cell r="G674">
            <v>0</v>
          </cell>
          <cell r="H674" t="str">
            <v>60/61</v>
          </cell>
        </row>
        <row r="675">
          <cell r="F675">
            <v>0</v>
          </cell>
          <cell r="G675">
            <v>0</v>
          </cell>
          <cell r="H675" t="str">
            <v>60/61</v>
          </cell>
        </row>
        <row r="676">
          <cell r="F676">
            <v>32061.98</v>
          </cell>
          <cell r="G676">
            <v>0</v>
          </cell>
          <cell r="H676" t="str">
            <v>60/61</v>
          </cell>
        </row>
        <row r="677">
          <cell r="F677">
            <v>13287.46</v>
          </cell>
          <cell r="G677">
            <v>0</v>
          </cell>
          <cell r="H677" t="str">
            <v>60/61</v>
          </cell>
        </row>
        <row r="678">
          <cell r="F678">
            <v>100128.02</v>
          </cell>
          <cell r="G678">
            <v>0</v>
          </cell>
          <cell r="H678" t="str">
            <v>60/61</v>
          </cell>
        </row>
        <row r="679">
          <cell r="F679">
            <v>1296.5999999999999</v>
          </cell>
          <cell r="G679">
            <v>0</v>
          </cell>
          <cell r="H679" t="str">
            <v>60/61</v>
          </cell>
        </row>
        <row r="680">
          <cell r="F680">
            <v>359.99</v>
          </cell>
          <cell r="G680">
            <v>0</v>
          </cell>
          <cell r="H680" t="str">
            <v>60/61</v>
          </cell>
        </row>
        <row r="681">
          <cell r="F681">
            <v>1581.96</v>
          </cell>
          <cell r="G681">
            <v>0</v>
          </cell>
          <cell r="H681" t="str">
            <v>60/61</v>
          </cell>
        </row>
        <row r="682">
          <cell r="F682">
            <v>179.97</v>
          </cell>
          <cell r="G682">
            <v>0</v>
          </cell>
          <cell r="H682" t="str">
            <v>60/61</v>
          </cell>
        </row>
        <row r="683">
          <cell r="F683">
            <v>1200</v>
          </cell>
          <cell r="G683">
            <v>0</v>
          </cell>
          <cell r="H683" t="str">
            <v>60/61</v>
          </cell>
        </row>
        <row r="684">
          <cell r="F684">
            <v>18592.37</v>
          </cell>
          <cell r="G684">
            <v>0</v>
          </cell>
          <cell r="H684" t="str">
            <v>60/61</v>
          </cell>
        </row>
        <row r="685">
          <cell r="F685">
            <v>1792.88</v>
          </cell>
          <cell r="G685">
            <v>0</v>
          </cell>
          <cell r="H685" t="str">
            <v>60/61</v>
          </cell>
        </row>
        <row r="686">
          <cell r="F686">
            <v>11107.9</v>
          </cell>
          <cell r="G686">
            <v>0</v>
          </cell>
          <cell r="H686" t="str">
            <v>60/61</v>
          </cell>
        </row>
        <row r="687">
          <cell r="F687">
            <v>22201.760000000002</v>
          </cell>
          <cell r="G687">
            <v>0</v>
          </cell>
          <cell r="H687" t="str">
            <v>60/61</v>
          </cell>
        </row>
        <row r="688">
          <cell r="F688">
            <v>5664.6</v>
          </cell>
          <cell r="G688">
            <v>0</v>
          </cell>
          <cell r="H688" t="str">
            <v>60/61</v>
          </cell>
        </row>
        <row r="689">
          <cell r="F689">
            <v>3640</v>
          </cell>
          <cell r="G689">
            <v>0</v>
          </cell>
          <cell r="H689" t="str">
            <v>60/61</v>
          </cell>
        </row>
        <row r="690">
          <cell r="F690">
            <v>7177.73</v>
          </cell>
          <cell r="G690">
            <v>0</v>
          </cell>
          <cell r="H690" t="str">
            <v>60/61</v>
          </cell>
        </row>
        <row r="691">
          <cell r="F691">
            <v>2067.2800000000002</v>
          </cell>
          <cell r="G691">
            <v>0</v>
          </cell>
          <cell r="H691" t="str">
            <v>60/61</v>
          </cell>
        </row>
        <row r="692">
          <cell r="F692">
            <v>0</v>
          </cell>
          <cell r="G692">
            <v>0</v>
          </cell>
          <cell r="H692" t="str">
            <v>60/61</v>
          </cell>
        </row>
        <row r="693">
          <cell r="F693">
            <v>480</v>
          </cell>
          <cell r="G693">
            <v>0</v>
          </cell>
          <cell r="H693" t="str">
            <v>60/61</v>
          </cell>
        </row>
        <row r="694">
          <cell r="F694">
            <v>856.64</v>
          </cell>
          <cell r="G694">
            <v>0</v>
          </cell>
          <cell r="H694" t="str">
            <v>60/61</v>
          </cell>
        </row>
        <row r="695">
          <cell r="F695">
            <v>11226.48</v>
          </cell>
          <cell r="G695">
            <v>0</v>
          </cell>
          <cell r="H695" t="str">
            <v>60/61</v>
          </cell>
        </row>
        <row r="696">
          <cell r="F696">
            <v>14377.36</v>
          </cell>
          <cell r="G696">
            <v>0</v>
          </cell>
          <cell r="H696" t="str">
            <v>60/61</v>
          </cell>
        </row>
        <row r="697">
          <cell r="F697">
            <v>24000</v>
          </cell>
          <cell r="G697">
            <v>0</v>
          </cell>
          <cell r="H697" t="str">
            <v>60/61</v>
          </cell>
        </row>
        <row r="698">
          <cell r="F698">
            <v>1232.3599999999999</v>
          </cell>
          <cell r="G698">
            <v>0</v>
          </cell>
          <cell r="H698" t="str">
            <v>60/61</v>
          </cell>
        </row>
        <row r="699">
          <cell r="F699">
            <v>3129.94</v>
          </cell>
          <cell r="G699">
            <v>0</v>
          </cell>
          <cell r="H699" t="str">
            <v>60/61</v>
          </cell>
        </row>
        <row r="700">
          <cell r="F700">
            <v>-3129.94</v>
          </cell>
          <cell r="G700">
            <v>0</v>
          </cell>
          <cell r="H700" t="str">
            <v>60/61</v>
          </cell>
        </row>
        <row r="701">
          <cell r="F701">
            <v>1597.97</v>
          </cell>
          <cell r="G701">
            <v>0</v>
          </cell>
          <cell r="H701" t="str">
            <v>60/61</v>
          </cell>
        </row>
        <row r="702">
          <cell r="F702">
            <v>14651.28</v>
          </cell>
          <cell r="G702">
            <v>0</v>
          </cell>
          <cell r="H702" t="str">
            <v>60/61</v>
          </cell>
        </row>
        <row r="703">
          <cell r="F703">
            <v>210</v>
          </cell>
          <cell r="G703">
            <v>0</v>
          </cell>
          <cell r="H703" t="str">
            <v>60/61</v>
          </cell>
        </row>
        <row r="704">
          <cell r="F704">
            <v>13765.02</v>
          </cell>
          <cell r="G704">
            <v>0</v>
          </cell>
          <cell r="H704" t="str">
            <v>60/61</v>
          </cell>
        </row>
        <row r="705">
          <cell r="F705">
            <v>36325.39</v>
          </cell>
          <cell r="G705">
            <v>0</v>
          </cell>
          <cell r="H705" t="str">
            <v>60/61</v>
          </cell>
        </row>
        <row r="706">
          <cell r="F706">
            <v>8337.5400000000009</v>
          </cell>
          <cell r="G706">
            <v>0</v>
          </cell>
          <cell r="H706" t="str">
            <v>60/61</v>
          </cell>
        </row>
        <row r="707">
          <cell r="F707">
            <v>11221.69</v>
          </cell>
          <cell r="G707">
            <v>0</v>
          </cell>
          <cell r="H707" t="str">
            <v>60/61</v>
          </cell>
        </row>
        <row r="708">
          <cell r="F708">
            <v>13088.76</v>
          </cell>
          <cell r="G708">
            <v>0</v>
          </cell>
          <cell r="H708" t="str">
            <v>60/61</v>
          </cell>
        </row>
        <row r="709">
          <cell r="F709">
            <v>7598.5</v>
          </cell>
          <cell r="G709">
            <v>0</v>
          </cell>
          <cell r="H709" t="str">
            <v>60/61</v>
          </cell>
        </row>
        <row r="710">
          <cell r="F710">
            <v>2699.7</v>
          </cell>
          <cell r="G710">
            <v>0</v>
          </cell>
          <cell r="H710" t="str">
            <v>60/61</v>
          </cell>
        </row>
        <row r="711">
          <cell r="F711">
            <v>2600.7199999999998</v>
          </cell>
          <cell r="G711">
            <v>0</v>
          </cell>
          <cell r="H711" t="str">
            <v>60/61</v>
          </cell>
        </row>
        <row r="712">
          <cell r="F712">
            <v>6344.22</v>
          </cell>
          <cell r="G712">
            <v>0</v>
          </cell>
          <cell r="H712" t="str">
            <v>60/61</v>
          </cell>
        </row>
        <row r="713">
          <cell r="F713">
            <v>11301.24</v>
          </cell>
          <cell r="G713">
            <v>0</v>
          </cell>
          <cell r="H713" t="str">
            <v>60/61</v>
          </cell>
        </row>
        <row r="714">
          <cell r="F714">
            <v>480</v>
          </cell>
          <cell r="G714">
            <v>0</v>
          </cell>
          <cell r="H714" t="str">
            <v>60/61</v>
          </cell>
        </row>
        <row r="715">
          <cell r="F715">
            <v>6632.73</v>
          </cell>
          <cell r="G715">
            <v>0</v>
          </cell>
          <cell r="H715" t="str">
            <v>60/61</v>
          </cell>
        </row>
        <row r="716">
          <cell r="F716">
            <v>6881.42</v>
          </cell>
          <cell r="G716">
            <v>0</v>
          </cell>
          <cell r="H716" t="str">
            <v>60/61</v>
          </cell>
        </row>
        <row r="717">
          <cell r="F717">
            <v>6797.96</v>
          </cell>
          <cell r="G717">
            <v>0</v>
          </cell>
          <cell r="H717" t="str">
            <v>60/61</v>
          </cell>
        </row>
        <row r="718">
          <cell r="F718">
            <v>100109.96</v>
          </cell>
          <cell r="G718">
            <v>0</v>
          </cell>
          <cell r="H718" t="str">
            <v>60/61</v>
          </cell>
        </row>
        <row r="719">
          <cell r="F719">
            <v>1200</v>
          </cell>
          <cell r="G719">
            <v>0</v>
          </cell>
          <cell r="H719" t="str">
            <v>60/61</v>
          </cell>
        </row>
        <row r="720">
          <cell r="F720">
            <v>638.84</v>
          </cell>
          <cell r="G720">
            <v>0</v>
          </cell>
          <cell r="H720" t="str">
            <v>60/61</v>
          </cell>
        </row>
        <row r="721">
          <cell r="F721">
            <v>1973.4</v>
          </cell>
          <cell r="G721">
            <v>0</v>
          </cell>
          <cell r="H721" t="str">
            <v>60/61</v>
          </cell>
        </row>
        <row r="722">
          <cell r="F722">
            <v>16224</v>
          </cell>
          <cell r="G722">
            <v>0</v>
          </cell>
          <cell r="H722" t="str">
            <v>60/61</v>
          </cell>
        </row>
        <row r="723">
          <cell r="F723">
            <v>315.77</v>
          </cell>
          <cell r="G723">
            <v>0</v>
          </cell>
          <cell r="H723" t="str">
            <v>60/61</v>
          </cell>
        </row>
        <row r="724">
          <cell r="F724">
            <v>34.909999999999968</v>
          </cell>
          <cell r="G724">
            <v>0</v>
          </cell>
          <cell r="H724" t="str">
            <v>60/61</v>
          </cell>
        </row>
        <row r="725">
          <cell r="F725">
            <v>336.19</v>
          </cell>
          <cell r="G725">
            <v>0</v>
          </cell>
          <cell r="H725" t="str">
            <v>60/61</v>
          </cell>
        </row>
        <row r="726">
          <cell r="F726">
            <v>36.28</v>
          </cell>
          <cell r="G726">
            <v>0</v>
          </cell>
          <cell r="H726" t="str">
            <v>60/61</v>
          </cell>
        </row>
        <row r="727">
          <cell r="F727">
            <v>613.72</v>
          </cell>
          <cell r="G727">
            <v>0</v>
          </cell>
          <cell r="H727" t="str">
            <v>60/61</v>
          </cell>
        </row>
        <row r="728">
          <cell r="F728">
            <v>649.64</v>
          </cell>
          <cell r="G728">
            <v>0</v>
          </cell>
          <cell r="H728" t="str">
            <v>60/61</v>
          </cell>
        </row>
        <row r="729">
          <cell r="F729">
            <v>204.99</v>
          </cell>
          <cell r="G729">
            <v>0</v>
          </cell>
          <cell r="H729" t="str">
            <v>60/61</v>
          </cell>
        </row>
        <row r="730">
          <cell r="F730">
            <v>53.19</v>
          </cell>
          <cell r="G730">
            <v>0</v>
          </cell>
          <cell r="H730" t="str">
            <v>60/61</v>
          </cell>
        </row>
        <row r="731">
          <cell r="F731">
            <v>166.92</v>
          </cell>
          <cell r="G731">
            <v>0</v>
          </cell>
          <cell r="H731" t="str">
            <v>60/61</v>
          </cell>
        </row>
        <row r="732">
          <cell r="F732">
            <v>235.76</v>
          </cell>
          <cell r="G732">
            <v>0</v>
          </cell>
          <cell r="H732" t="str">
            <v>60/61</v>
          </cell>
        </row>
        <row r="733">
          <cell r="F733">
            <v>37.61</v>
          </cell>
          <cell r="G733">
            <v>0</v>
          </cell>
          <cell r="H733" t="str">
            <v>60/61</v>
          </cell>
        </row>
        <row r="734">
          <cell r="F734">
            <v>0.89</v>
          </cell>
          <cell r="G734">
            <v>0</v>
          </cell>
          <cell r="H734" t="str">
            <v>60/61</v>
          </cell>
        </row>
        <row r="735">
          <cell r="F735">
            <v>100.55</v>
          </cell>
          <cell r="G735">
            <v>0</v>
          </cell>
          <cell r="H735" t="str">
            <v>60/61</v>
          </cell>
        </row>
        <row r="736">
          <cell r="F736">
            <v>0.54</v>
          </cell>
          <cell r="G736">
            <v>0</v>
          </cell>
          <cell r="H736" t="str">
            <v>60/61</v>
          </cell>
        </row>
        <row r="737">
          <cell r="F737">
            <v>296.93</v>
          </cell>
          <cell r="G737">
            <v>0</v>
          </cell>
          <cell r="H737" t="str">
            <v>60/61</v>
          </cell>
        </row>
        <row r="738">
          <cell r="F738">
            <v>241.77</v>
          </cell>
          <cell r="G738">
            <v>0</v>
          </cell>
          <cell r="H738" t="str">
            <v>60/61</v>
          </cell>
        </row>
        <row r="739">
          <cell r="F739">
            <v>18.930000000000003</v>
          </cell>
          <cell r="G739">
            <v>0</v>
          </cell>
          <cell r="H739" t="str">
            <v>60/61</v>
          </cell>
        </row>
        <row r="740">
          <cell r="F740">
            <v>0.71</v>
          </cell>
          <cell r="G740">
            <v>0</v>
          </cell>
          <cell r="H740" t="str">
            <v>60/61</v>
          </cell>
        </row>
        <row r="741">
          <cell r="F741">
            <v>430</v>
          </cell>
          <cell r="G741">
            <v>0</v>
          </cell>
          <cell r="H741" t="str">
            <v>60/61</v>
          </cell>
        </row>
        <row r="742">
          <cell r="F742">
            <v>513.6</v>
          </cell>
          <cell r="G742">
            <v>0</v>
          </cell>
          <cell r="H742" t="str">
            <v>60/61</v>
          </cell>
        </row>
        <row r="743">
          <cell r="F743">
            <v>2258.79</v>
          </cell>
          <cell r="G743">
            <v>0</v>
          </cell>
          <cell r="H743" t="str">
            <v>60/61</v>
          </cell>
        </row>
        <row r="744">
          <cell r="F744">
            <v>1268.19</v>
          </cell>
          <cell r="G744">
            <v>0</v>
          </cell>
          <cell r="H744" t="str">
            <v>60/61</v>
          </cell>
        </row>
        <row r="745">
          <cell r="F745">
            <v>9.8000000000000007</v>
          </cell>
          <cell r="G745">
            <v>0</v>
          </cell>
          <cell r="H745" t="str">
            <v>60/61</v>
          </cell>
        </row>
        <row r="746">
          <cell r="F746">
            <v>1109.8</v>
          </cell>
          <cell r="G746">
            <v>0</v>
          </cell>
          <cell r="H746" t="str">
            <v>60/61</v>
          </cell>
        </row>
        <row r="747">
          <cell r="F747">
            <v>74.78</v>
          </cell>
          <cell r="G747">
            <v>0</v>
          </cell>
          <cell r="H747" t="str">
            <v>60/61</v>
          </cell>
        </row>
        <row r="748">
          <cell r="F748">
            <v>0.35</v>
          </cell>
          <cell r="G748">
            <v>0</v>
          </cell>
          <cell r="H748" t="str">
            <v>60/61</v>
          </cell>
        </row>
        <row r="749">
          <cell r="F749">
            <v>296.94</v>
          </cell>
          <cell r="G749">
            <v>0</v>
          </cell>
          <cell r="H749" t="str">
            <v>60/61</v>
          </cell>
        </row>
        <row r="750">
          <cell r="F750">
            <v>25.809999999999945</v>
          </cell>
          <cell r="G750">
            <v>0</v>
          </cell>
          <cell r="H750" t="str">
            <v>60/61</v>
          </cell>
        </row>
        <row r="751">
          <cell r="F751">
            <v>559.95000000000005</v>
          </cell>
          <cell r="G751">
            <v>0</v>
          </cell>
          <cell r="H751" t="str">
            <v>60/61</v>
          </cell>
        </row>
        <row r="752">
          <cell r="F752">
            <v>225.99</v>
          </cell>
          <cell r="G752">
            <v>0</v>
          </cell>
          <cell r="H752" t="str">
            <v>60/61</v>
          </cell>
        </row>
        <row r="753">
          <cell r="F753">
            <v>51.21</v>
          </cell>
          <cell r="G753">
            <v>0</v>
          </cell>
          <cell r="H753" t="str">
            <v>60/61</v>
          </cell>
        </row>
        <row r="754">
          <cell r="F754">
            <v>179.14</v>
          </cell>
          <cell r="G754">
            <v>0</v>
          </cell>
          <cell r="H754" t="str">
            <v>60/61</v>
          </cell>
        </row>
        <row r="755">
          <cell r="F755">
            <v>72.599999999999994</v>
          </cell>
          <cell r="G755">
            <v>0</v>
          </cell>
          <cell r="H755" t="str">
            <v>60/61</v>
          </cell>
        </row>
        <row r="756">
          <cell r="F756">
            <v>1161.8199999999997</v>
          </cell>
          <cell r="G756">
            <v>0</v>
          </cell>
          <cell r="H756" t="str">
            <v>60/61</v>
          </cell>
        </row>
        <row r="757">
          <cell r="F757">
            <v>512.24</v>
          </cell>
          <cell r="G757">
            <v>0</v>
          </cell>
          <cell r="H757" t="str">
            <v>60/61</v>
          </cell>
        </row>
        <row r="758">
          <cell r="F758">
            <v>18.84</v>
          </cell>
          <cell r="G758">
            <v>0</v>
          </cell>
          <cell r="H758" t="str">
            <v>60/61</v>
          </cell>
        </row>
        <row r="759">
          <cell r="F759">
            <v>333.04</v>
          </cell>
          <cell r="G759">
            <v>0</v>
          </cell>
          <cell r="H759" t="str">
            <v>60/61</v>
          </cell>
        </row>
        <row r="760">
          <cell r="F760">
            <v>812.46</v>
          </cell>
          <cell r="G760">
            <v>0</v>
          </cell>
          <cell r="H760" t="str">
            <v>60/61</v>
          </cell>
        </row>
        <row r="761">
          <cell r="F761">
            <v>2356.11</v>
          </cell>
          <cell r="G761">
            <v>0</v>
          </cell>
          <cell r="H761" t="str">
            <v>60/61</v>
          </cell>
        </row>
        <row r="762">
          <cell r="F762">
            <v>58.65</v>
          </cell>
          <cell r="G762">
            <v>0</v>
          </cell>
          <cell r="H762" t="str">
            <v>60/61</v>
          </cell>
        </row>
        <row r="763">
          <cell r="F763">
            <v>1936.38</v>
          </cell>
          <cell r="G763">
            <v>0</v>
          </cell>
          <cell r="H763" t="str">
            <v>60/61</v>
          </cell>
        </row>
        <row r="764">
          <cell r="F764">
            <v>143.99</v>
          </cell>
          <cell r="G764">
            <v>0</v>
          </cell>
          <cell r="H764" t="str">
            <v>60/61</v>
          </cell>
        </row>
        <row r="765">
          <cell r="F765">
            <v>967.08</v>
          </cell>
          <cell r="G765">
            <v>0</v>
          </cell>
          <cell r="H765" t="str">
            <v>60/61</v>
          </cell>
        </row>
        <row r="766">
          <cell r="F766">
            <v>462.7</v>
          </cell>
          <cell r="G766">
            <v>0</v>
          </cell>
          <cell r="H766" t="str">
            <v>60/61</v>
          </cell>
        </row>
        <row r="767">
          <cell r="F767">
            <v>652</v>
          </cell>
          <cell r="G767">
            <v>0</v>
          </cell>
          <cell r="H767" t="str">
            <v>60/61</v>
          </cell>
        </row>
        <row r="768">
          <cell r="F768">
            <v>399.26</v>
          </cell>
          <cell r="G768">
            <v>0</v>
          </cell>
          <cell r="H768" t="str">
            <v>60/61</v>
          </cell>
        </row>
        <row r="769">
          <cell r="F769">
            <v>1721.8</v>
          </cell>
          <cell r="G769">
            <v>0</v>
          </cell>
          <cell r="H769" t="str">
            <v>60/61</v>
          </cell>
        </row>
        <row r="770">
          <cell r="F770">
            <v>1709.34</v>
          </cell>
          <cell r="G770">
            <v>0</v>
          </cell>
          <cell r="H770" t="str">
            <v>60/61</v>
          </cell>
        </row>
        <row r="771">
          <cell r="F771">
            <v>51.21</v>
          </cell>
          <cell r="G771">
            <v>0</v>
          </cell>
          <cell r="H771" t="str">
            <v>60/61</v>
          </cell>
        </row>
        <row r="772">
          <cell r="F772">
            <v>421.51</v>
          </cell>
          <cell r="G772">
            <v>0</v>
          </cell>
          <cell r="H772" t="str">
            <v>60/61</v>
          </cell>
        </row>
        <row r="773">
          <cell r="F773">
            <v>209.96</v>
          </cell>
          <cell r="G773">
            <v>0</v>
          </cell>
          <cell r="H773" t="str">
            <v>60/61</v>
          </cell>
        </row>
        <row r="774">
          <cell r="F774">
            <v>-70.740000000000009</v>
          </cell>
          <cell r="G774">
            <v>0</v>
          </cell>
          <cell r="H774" t="str">
            <v>60/61</v>
          </cell>
        </row>
        <row r="775">
          <cell r="F775">
            <v>978.79</v>
          </cell>
          <cell r="G775">
            <v>0</v>
          </cell>
          <cell r="H775" t="str">
            <v>60/61</v>
          </cell>
        </row>
        <row r="776">
          <cell r="F776">
            <v>272.12</v>
          </cell>
          <cell r="G776">
            <v>0</v>
          </cell>
          <cell r="H776" t="str">
            <v>60/61</v>
          </cell>
        </row>
        <row r="777">
          <cell r="F777">
            <v>625.66999999999996</v>
          </cell>
          <cell r="G777">
            <v>0</v>
          </cell>
          <cell r="H777" t="str">
            <v>60/61</v>
          </cell>
        </row>
        <row r="778">
          <cell r="F778">
            <v>438.93</v>
          </cell>
          <cell r="G778">
            <v>0</v>
          </cell>
          <cell r="H778" t="str">
            <v>60/61</v>
          </cell>
        </row>
        <row r="779">
          <cell r="F779">
            <v>1340.64</v>
          </cell>
          <cell r="G779">
            <v>0</v>
          </cell>
          <cell r="H779" t="str">
            <v>60/61</v>
          </cell>
        </row>
        <row r="780">
          <cell r="F780">
            <v>253.15999999999997</v>
          </cell>
          <cell r="G780">
            <v>0</v>
          </cell>
          <cell r="H780" t="str">
            <v>60/61</v>
          </cell>
        </row>
        <row r="781">
          <cell r="F781">
            <v>492.25</v>
          </cell>
          <cell r="G781">
            <v>0</v>
          </cell>
          <cell r="H781" t="str">
            <v>60/61</v>
          </cell>
        </row>
        <row r="782">
          <cell r="F782">
            <v>499.21</v>
          </cell>
          <cell r="G782">
            <v>0</v>
          </cell>
          <cell r="H782" t="str">
            <v>60/61</v>
          </cell>
        </row>
        <row r="783">
          <cell r="F783">
            <v>45.78</v>
          </cell>
          <cell r="G783">
            <v>0</v>
          </cell>
          <cell r="H783" t="str">
            <v>60/61</v>
          </cell>
        </row>
        <row r="784">
          <cell r="F784">
            <v>124.79</v>
          </cell>
          <cell r="G784">
            <v>0</v>
          </cell>
          <cell r="H784" t="str">
            <v>60/61</v>
          </cell>
        </row>
        <row r="785">
          <cell r="F785">
            <v>81.27</v>
          </cell>
          <cell r="G785">
            <v>0</v>
          </cell>
          <cell r="H785" t="str">
            <v>60/61</v>
          </cell>
        </row>
        <row r="786">
          <cell r="F786">
            <v>44.2</v>
          </cell>
          <cell r="G786">
            <v>0</v>
          </cell>
          <cell r="H786" t="str">
            <v>60/61</v>
          </cell>
        </row>
        <row r="787">
          <cell r="F787">
            <v>214.76</v>
          </cell>
          <cell r="G787">
            <v>0</v>
          </cell>
          <cell r="H787" t="str">
            <v>60/61</v>
          </cell>
        </row>
        <row r="788">
          <cell r="F788">
            <v>263.44</v>
          </cell>
          <cell r="G788">
            <v>0</v>
          </cell>
          <cell r="H788" t="str">
            <v>60/61</v>
          </cell>
        </row>
        <row r="789">
          <cell r="F789">
            <v>332.82</v>
          </cell>
          <cell r="G789">
            <v>0</v>
          </cell>
          <cell r="H789" t="str">
            <v>60/61</v>
          </cell>
        </row>
        <row r="790">
          <cell r="F790">
            <v>158.07</v>
          </cell>
          <cell r="G790">
            <v>0</v>
          </cell>
          <cell r="H790" t="str">
            <v>60/61</v>
          </cell>
        </row>
        <row r="791">
          <cell r="F791">
            <v>0</v>
          </cell>
          <cell r="G791">
            <v>0</v>
          </cell>
          <cell r="H791" t="str">
            <v>60/61</v>
          </cell>
        </row>
        <row r="792">
          <cell r="F792">
            <v>232.49</v>
          </cell>
          <cell r="G792">
            <v>0</v>
          </cell>
          <cell r="H792" t="str">
            <v>60/61</v>
          </cell>
        </row>
        <row r="793">
          <cell r="F793">
            <v>44.24</v>
          </cell>
          <cell r="G793">
            <v>0</v>
          </cell>
          <cell r="H793" t="str">
            <v>60/61</v>
          </cell>
        </row>
        <row r="794">
          <cell r="F794">
            <v>331.85</v>
          </cell>
          <cell r="G794">
            <v>0</v>
          </cell>
          <cell r="H794" t="str">
            <v>60/61</v>
          </cell>
        </row>
        <row r="795">
          <cell r="F795">
            <v>166.39</v>
          </cell>
          <cell r="G795">
            <v>0</v>
          </cell>
          <cell r="H795" t="str">
            <v>60/61</v>
          </cell>
        </row>
        <row r="796">
          <cell r="F796">
            <v>331.24</v>
          </cell>
          <cell r="G796">
            <v>0</v>
          </cell>
          <cell r="H796" t="str">
            <v>60/61</v>
          </cell>
        </row>
        <row r="797">
          <cell r="F797">
            <v>0</v>
          </cell>
          <cell r="G797">
            <v>0</v>
          </cell>
          <cell r="H797" t="str">
            <v>60/61</v>
          </cell>
        </row>
        <row r="798">
          <cell r="F798">
            <v>558.47</v>
          </cell>
          <cell r="G798">
            <v>0</v>
          </cell>
          <cell r="H798" t="str">
            <v>60/61</v>
          </cell>
        </row>
        <row r="799">
          <cell r="F799">
            <v>215.76</v>
          </cell>
          <cell r="G799">
            <v>0</v>
          </cell>
          <cell r="H799" t="str">
            <v>60/61</v>
          </cell>
        </row>
        <row r="800">
          <cell r="F800">
            <v>1464.12</v>
          </cell>
          <cell r="G800">
            <v>0</v>
          </cell>
          <cell r="H800" t="str">
            <v>60/61</v>
          </cell>
        </row>
        <row r="801">
          <cell r="F801">
            <v>384.81</v>
          </cell>
          <cell r="G801">
            <v>0</v>
          </cell>
          <cell r="H801" t="str">
            <v>60/61</v>
          </cell>
        </row>
        <row r="802">
          <cell r="F802">
            <v>558.76</v>
          </cell>
          <cell r="G802">
            <v>0</v>
          </cell>
          <cell r="H802" t="str">
            <v>60/61</v>
          </cell>
        </row>
        <row r="803">
          <cell r="F803">
            <v>374.42</v>
          </cell>
          <cell r="G803">
            <v>0</v>
          </cell>
          <cell r="H803" t="str">
            <v>60/61</v>
          </cell>
        </row>
        <row r="804">
          <cell r="F804">
            <v>89.66</v>
          </cell>
          <cell r="G804">
            <v>0</v>
          </cell>
          <cell r="H804" t="str">
            <v>60/61</v>
          </cell>
        </row>
        <row r="805">
          <cell r="F805">
            <v>102.03</v>
          </cell>
          <cell r="G805">
            <v>0</v>
          </cell>
          <cell r="H805" t="str">
            <v>60/61</v>
          </cell>
        </row>
        <row r="806">
          <cell r="F806">
            <v>12.37</v>
          </cell>
          <cell r="G806">
            <v>0</v>
          </cell>
          <cell r="H806" t="str">
            <v>60/61</v>
          </cell>
        </row>
        <row r="807">
          <cell r="F807">
            <v>952.29</v>
          </cell>
          <cell r="G807">
            <v>0</v>
          </cell>
          <cell r="H807" t="str">
            <v>60/61</v>
          </cell>
        </row>
        <row r="808">
          <cell r="F808">
            <v>0</v>
          </cell>
          <cell r="G808">
            <v>0</v>
          </cell>
          <cell r="H808" t="str">
            <v>60/61</v>
          </cell>
        </row>
        <row r="809">
          <cell r="F809">
            <v>391.85</v>
          </cell>
          <cell r="G809">
            <v>0</v>
          </cell>
          <cell r="H809" t="str">
            <v>60/61</v>
          </cell>
        </row>
        <row r="810">
          <cell r="F810">
            <v>421.51</v>
          </cell>
          <cell r="G810">
            <v>0</v>
          </cell>
          <cell r="H810" t="str">
            <v>60/61</v>
          </cell>
        </row>
        <row r="811">
          <cell r="F811">
            <v>196.67</v>
          </cell>
          <cell r="G811">
            <v>0</v>
          </cell>
          <cell r="H811" t="str">
            <v>60/61</v>
          </cell>
        </row>
        <row r="812">
          <cell r="F812">
            <v>439.57</v>
          </cell>
          <cell r="G812">
            <v>0</v>
          </cell>
          <cell r="H812" t="str">
            <v>60/61</v>
          </cell>
        </row>
        <row r="813">
          <cell r="F813">
            <v>499.21</v>
          </cell>
          <cell r="G813">
            <v>0</v>
          </cell>
          <cell r="H813" t="str">
            <v>60/61</v>
          </cell>
        </row>
        <row r="814">
          <cell r="F814">
            <v>1149.6099999999999</v>
          </cell>
          <cell r="G814">
            <v>0</v>
          </cell>
          <cell r="H814" t="str">
            <v>60/61</v>
          </cell>
        </row>
        <row r="815">
          <cell r="F815">
            <v>22.120000000000005</v>
          </cell>
          <cell r="G815">
            <v>0</v>
          </cell>
          <cell r="H815" t="str">
            <v>60/61</v>
          </cell>
        </row>
        <row r="816">
          <cell r="F816">
            <v>130.25</v>
          </cell>
          <cell r="G816">
            <v>0</v>
          </cell>
          <cell r="H816" t="str">
            <v>60/61</v>
          </cell>
        </row>
        <row r="817">
          <cell r="F817">
            <v>61.84</v>
          </cell>
          <cell r="G817">
            <v>0</v>
          </cell>
          <cell r="H817" t="str">
            <v>60/61</v>
          </cell>
        </row>
        <row r="818">
          <cell r="F818">
            <v>499.21</v>
          </cell>
          <cell r="G818">
            <v>0</v>
          </cell>
          <cell r="H818" t="str">
            <v>60/61</v>
          </cell>
        </row>
        <row r="819">
          <cell r="F819">
            <v>224.84</v>
          </cell>
          <cell r="G819">
            <v>0</v>
          </cell>
          <cell r="H819" t="str">
            <v>60/61</v>
          </cell>
        </row>
        <row r="820">
          <cell r="F820">
            <v>29.66</v>
          </cell>
          <cell r="G820">
            <v>0</v>
          </cell>
          <cell r="H820" t="str">
            <v>60/61</v>
          </cell>
        </row>
        <row r="821">
          <cell r="F821">
            <v>1418.04</v>
          </cell>
          <cell r="G821">
            <v>0</v>
          </cell>
          <cell r="H821" t="str">
            <v>60/61</v>
          </cell>
        </row>
        <row r="822">
          <cell r="F822">
            <v>206.75</v>
          </cell>
          <cell r="G822">
            <v>0</v>
          </cell>
          <cell r="H822" t="str">
            <v>60/61</v>
          </cell>
        </row>
        <row r="823">
          <cell r="F823">
            <v>0</v>
          </cell>
          <cell r="G823">
            <v>0</v>
          </cell>
          <cell r="H823" t="str">
            <v>60/61</v>
          </cell>
        </row>
        <row r="824">
          <cell r="F824">
            <v>106.57</v>
          </cell>
          <cell r="G824">
            <v>0</v>
          </cell>
          <cell r="H824" t="str">
            <v>60/61</v>
          </cell>
        </row>
        <row r="825">
          <cell r="F825">
            <v>311.89999999999998</v>
          </cell>
          <cell r="G825">
            <v>0</v>
          </cell>
          <cell r="H825" t="str">
            <v>60/61</v>
          </cell>
        </row>
        <row r="826">
          <cell r="F826">
            <v>168.35</v>
          </cell>
          <cell r="G826">
            <v>0</v>
          </cell>
          <cell r="H826" t="str">
            <v>60/61</v>
          </cell>
        </row>
        <row r="827">
          <cell r="F827">
            <v>14.5</v>
          </cell>
          <cell r="G827">
            <v>0</v>
          </cell>
          <cell r="H827" t="str">
            <v>60/61</v>
          </cell>
        </row>
        <row r="828">
          <cell r="F828">
            <v>206.58</v>
          </cell>
          <cell r="G828">
            <v>0</v>
          </cell>
          <cell r="H828" t="str">
            <v>60/61</v>
          </cell>
        </row>
        <row r="829">
          <cell r="F829">
            <v>90.26</v>
          </cell>
          <cell r="G829">
            <v>0</v>
          </cell>
          <cell r="H829" t="str">
            <v>60/61</v>
          </cell>
        </row>
        <row r="830">
          <cell r="F830">
            <v>526.49</v>
          </cell>
          <cell r="G830">
            <v>0</v>
          </cell>
          <cell r="H830" t="str">
            <v>60/61</v>
          </cell>
        </row>
        <row r="831">
          <cell r="F831">
            <v>0</v>
          </cell>
          <cell r="G831">
            <v>0</v>
          </cell>
          <cell r="H831" t="str">
            <v>60/61</v>
          </cell>
        </row>
        <row r="832">
          <cell r="F832">
            <v>0</v>
          </cell>
          <cell r="G832">
            <v>0</v>
          </cell>
          <cell r="H832" t="str">
            <v>60/61</v>
          </cell>
        </row>
        <row r="833">
          <cell r="F833">
            <v>449.14</v>
          </cell>
          <cell r="G833">
            <v>0</v>
          </cell>
          <cell r="H833" t="str">
            <v>60/61</v>
          </cell>
        </row>
        <row r="834">
          <cell r="F834">
            <v>200</v>
          </cell>
          <cell r="G834">
            <v>0</v>
          </cell>
          <cell r="H834" t="str">
            <v>60/61</v>
          </cell>
        </row>
        <row r="835">
          <cell r="F835">
            <v>180</v>
          </cell>
          <cell r="G835">
            <v>0</v>
          </cell>
          <cell r="H835" t="str">
            <v>60/61</v>
          </cell>
        </row>
        <row r="836">
          <cell r="F836">
            <v>-1498.85</v>
          </cell>
          <cell r="G836">
            <v>0</v>
          </cell>
          <cell r="H836" t="str">
            <v>60/61</v>
          </cell>
        </row>
        <row r="837">
          <cell r="F837">
            <v>-51800</v>
          </cell>
          <cell r="G837">
            <v>0</v>
          </cell>
          <cell r="H837" t="str">
            <v>60/61</v>
          </cell>
        </row>
        <row r="838">
          <cell r="F838">
            <v>-728</v>
          </cell>
          <cell r="G838">
            <v>0</v>
          </cell>
          <cell r="H838" t="str">
            <v>60/61</v>
          </cell>
        </row>
        <row r="839">
          <cell r="F839">
            <v>-724.5</v>
          </cell>
          <cell r="G839">
            <v>0</v>
          </cell>
          <cell r="H839" t="str">
            <v>60/61</v>
          </cell>
        </row>
        <row r="840">
          <cell r="F840">
            <v>-217861.61000000002</v>
          </cell>
          <cell r="G840">
            <v>0</v>
          </cell>
          <cell r="H840" t="str">
            <v>60/61</v>
          </cell>
        </row>
        <row r="841">
          <cell r="F841">
            <v>0</v>
          </cell>
          <cell r="G841">
            <v>0</v>
          </cell>
          <cell r="H841" t="str">
            <v>60/61</v>
          </cell>
        </row>
        <row r="842">
          <cell r="F842">
            <v>-180</v>
          </cell>
          <cell r="G842">
            <v>0</v>
          </cell>
          <cell r="H842" t="str">
            <v>60/61</v>
          </cell>
        </row>
        <row r="843">
          <cell r="F843">
            <v>-250</v>
          </cell>
          <cell r="G843">
            <v>0</v>
          </cell>
          <cell r="H843" t="str">
            <v>60/61</v>
          </cell>
        </row>
        <row r="844">
          <cell r="F844">
            <v>348.71</v>
          </cell>
          <cell r="G844">
            <v>0</v>
          </cell>
          <cell r="H844" t="str">
            <v>60/61</v>
          </cell>
        </row>
        <row r="845">
          <cell r="F845">
            <v>133.54999999999998</v>
          </cell>
          <cell r="G845">
            <v>0</v>
          </cell>
          <cell r="H845" t="str">
            <v>60/61</v>
          </cell>
        </row>
        <row r="846">
          <cell r="F846">
            <v>235.3</v>
          </cell>
          <cell r="G846">
            <v>0</v>
          </cell>
          <cell r="H846" t="str">
            <v>60/61</v>
          </cell>
        </row>
        <row r="847">
          <cell r="F847">
            <v>782.92999999999984</v>
          </cell>
          <cell r="G847">
            <v>0</v>
          </cell>
          <cell r="H847" t="str">
            <v>60/61</v>
          </cell>
        </row>
        <row r="848">
          <cell r="F848">
            <v>262.51</v>
          </cell>
          <cell r="G848">
            <v>0</v>
          </cell>
          <cell r="H848" t="str">
            <v>60/61</v>
          </cell>
        </row>
        <row r="849">
          <cell r="F849">
            <v>157.86000000000001</v>
          </cell>
          <cell r="G849">
            <v>0</v>
          </cell>
          <cell r="H849" t="str">
            <v>60/61</v>
          </cell>
        </row>
        <row r="850">
          <cell r="F850">
            <v>542.80999999999995</v>
          </cell>
          <cell r="G850">
            <v>0</v>
          </cell>
          <cell r="H850" t="str">
            <v>60/61</v>
          </cell>
        </row>
        <row r="851">
          <cell r="F851">
            <v>3.06</v>
          </cell>
          <cell r="G851">
            <v>0</v>
          </cell>
          <cell r="H851" t="str">
            <v>60/61</v>
          </cell>
        </row>
        <row r="852">
          <cell r="F852">
            <v>42.77</v>
          </cell>
          <cell r="G852">
            <v>0</v>
          </cell>
          <cell r="H852" t="str">
            <v>60/61</v>
          </cell>
        </row>
        <row r="853">
          <cell r="F853">
            <v>731.94</v>
          </cell>
          <cell r="G853">
            <v>0</v>
          </cell>
          <cell r="H853" t="str">
            <v>60/61</v>
          </cell>
        </row>
        <row r="854">
          <cell r="F854">
            <v>15.73</v>
          </cell>
          <cell r="G854">
            <v>0</v>
          </cell>
          <cell r="H854" t="str">
            <v>60/61</v>
          </cell>
        </row>
        <row r="855">
          <cell r="F855">
            <v>17.12</v>
          </cell>
          <cell r="G855">
            <v>0</v>
          </cell>
          <cell r="H855" t="str">
            <v>60/61</v>
          </cell>
        </row>
        <row r="856">
          <cell r="F856">
            <v>38.160000000000004</v>
          </cell>
          <cell r="G856">
            <v>0</v>
          </cell>
          <cell r="H856" t="str">
            <v>60/61</v>
          </cell>
        </row>
        <row r="857">
          <cell r="F857">
            <v>38.160000000000004</v>
          </cell>
          <cell r="G857">
            <v>0</v>
          </cell>
          <cell r="H857" t="str">
            <v>60/61</v>
          </cell>
        </row>
        <row r="858">
          <cell r="F858">
            <v>222.60000000000002</v>
          </cell>
          <cell r="G858">
            <v>0</v>
          </cell>
          <cell r="H858" t="str">
            <v>60/61</v>
          </cell>
        </row>
        <row r="859">
          <cell r="F859">
            <v>152.96</v>
          </cell>
          <cell r="G859">
            <v>0</v>
          </cell>
          <cell r="H859" t="str">
            <v>60/61</v>
          </cell>
        </row>
        <row r="860">
          <cell r="F860">
            <v>24.96</v>
          </cell>
          <cell r="G860">
            <v>0</v>
          </cell>
          <cell r="H860" t="str">
            <v>60/61</v>
          </cell>
        </row>
        <row r="861">
          <cell r="F861">
            <v>0</v>
          </cell>
          <cell r="G861">
            <v>0</v>
          </cell>
          <cell r="H861" t="str">
            <v>60/61</v>
          </cell>
        </row>
        <row r="862">
          <cell r="F862">
            <v>242.93</v>
          </cell>
          <cell r="G862">
            <v>0</v>
          </cell>
          <cell r="H862" t="str">
            <v>60/61</v>
          </cell>
        </row>
        <row r="863">
          <cell r="F863">
            <v>142.13999999999999</v>
          </cell>
          <cell r="G863">
            <v>0</v>
          </cell>
          <cell r="H863" t="str">
            <v>60/61</v>
          </cell>
        </row>
        <row r="864">
          <cell r="F864">
            <v>2260.2200000000003</v>
          </cell>
          <cell r="G864">
            <v>0</v>
          </cell>
          <cell r="H864" t="str">
            <v>60/61</v>
          </cell>
        </row>
        <row r="865">
          <cell r="F865">
            <v>-9.9999999999980105E-3</v>
          </cell>
          <cell r="G865">
            <v>0</v>
          </cell>
          <cell r="H865" t="str">
            <v>60/61</v>
          </cell>
        </row>
        <row r="866">
          <cell r="F866">
            <v>461.8</v>
          </cell>
          <cell r="G866">
            <v>0</v>
          </cell>
          <cell r="H866" t="str">
            <v>60/61</v>
          </cell>
        </row>
        <row r="867">
          <cell r="F867">
            <v>540.70999999999992</v>
          </cell>
          <cell r="G867">
            <v>0</v>
          </cell>
          <cell r="H867" t="str">
            <v>60/61</v>
          </cell>
        </row>
        <row r="868">
          <cell r="F868">
            <v>1398.8400000000001</v>
          </cell>
          <cell r="G868">
            <v>0</v>
          </cell>
          <cell r="H868" t="str">
            <v>60/61</v>
          </cell>
        </row>
        <row r="869">
          <cell r="F869">
            <v>986.04000000000019</v>
          </cell>
          <cell r="G869">
            <v>0</v>
          </cell>
          <cell r="H869" t="str">
            <v>60/61</v>
          </cell>
        </row>
        <row r="870">
          <cell r="F870">
            <v>32.869999999999997</v>
          </cell>
          <cell r="G870">
            <v>0</v>
          </cell>
          <cell r="H870" t="str">
            <v>60/61</v>
          </cell>
        </row>
        <row r="871">
          <cell r="F871">
            <v>13.05</v>
          </cell>
          <cell r="G871">
            <v>0</v>
          </cell>
          <cell r="H871" t="str">
            <v>60/61</v>
          </cell>
        </row>
        <row r="872">
          <cell r="F872">
            <v>1109.25</v>
          </cell>
          <cell r="G872">
            <v>0</v>
          </cell>
          <cell r="H872" t="str">
            <v>60/61</v>
          </cell>
        </row>
        <row r="873">
          <cell r="F873">
            <v>11.280000000000001</v>
          </cell>
          <cell r="G873">
            <v>0</v>
          </cell>
          <cell r="H873" t="str">
            <v>60/61</v>
          </cell>
        </row>
        <row r="874">
          <cell r="F874">
            <v>31.47</v>
          </cell>
          <cell r="G874">
            <v>0</v>
          </cell>
          <cell r="H874" t="str">
            <v>60/61</v>
          </cell>
        </row>
        <row r="875">
          <cell r="F875">
            <v>157.86000000000001</v>
          </cell>
          <cell r="G875">
            <v>0</v>
          </cell>
          <cell r="H875" t="str">
            <v>60/61</v>
          </cell>
        </row>
        <row r="876">
          <cell r="F876">
            <v>1464.21</v>
          </cell>
          <cell r="G876">
            <v>0</v>
          </cell>
          <cell r="H876" t="str">
            <v>60/61</v>
          </cell>
        </row>
        <row r="877">
          <cell r="F877">
            <v>326.7</v>
          </cell>
          <cell r="G877">
            <v>0</v>
          </cell>
          <cell r="H877" t="str">
            <v>60/61</v>
          </cell>
        </row>
        <row r="878">
          <cell r="F878">
            <v>428.28</v>
          </cell>
          <cell r="G878">
            <v>0</v>
          </cell>
          <cell r="H878" t="str">
            <v>60/61</v>
          </cell>
        </row>
        <row r="879">
          <cell r="F879">
            <v>22.33</v>
          </cell>
          <cell r="G879">
            <v>0</v>
          </cell>
          <cell r="H879" t="str">
            <v>60/61</v>
          </cell>
        </row>
        <row r="880">
          <cell r="F880">
            <v>118.21</v>
          </cell>
          <cell r="G880">
            <v>0</v>
          </cell>
          <cell r="H880" t="str">
            <v>60/61</v>
          </cell>
        </row>
        <row r="881">
          <cell r="F881">
            <v>56.41</v>
          </cell>
          <cell r="G881">
            <v>0</v>
          </cell>
          <cell r="H881" t="str">
            <v>60/61</v>
          </cell>
        </row>
        <row r="882">
          <cell r="F882">
            <v>64.290000000000006</v>
          </cell>
          <cell r="G882">
            <v>0</v>
          </cell>
          <cell r="H882" t="str">
            <v>60/61</v>
          </cell>
        </row>
        <row r="883">
          <cell r="F883">
            <v>28.08</v>
          </cell>
          <cell r="G883">
            <v>0</v>
          </cell>
          <cell r="H883" t="str">
            <v>60/61</v>
          </cell>
        </row>
        <row r="884">
          <cell r="F884">
            <v>29.03</v>
          </cell>
          <cell r="G884">
            <v>0</v>
          </cell>
          <cell r="H884" t="str">
            <v>60/61</v>
          </cell>
        </row>
        <row r="885">
          <cell r="F885">
            <v>29</v>
          </cell>
          <cell r="G885">
            <v>0</v>
          </cell>
          <cell r="H885" t="str">
            <v>60/61</v>
          </cell>
        </row>
        <row r="886">
          <cell r="F886">
            <v>1.0000000000005116E-2</v>
          </cell>
          <cell r="G886">
            <v>0</v>
          </cell>
          <cell r="H886" t="str">
            <v>60/61</v>
          </cell>
        </row>
        <row r="887">
          <cell r="F887">
            <v>12.83</v>
          </cell>
          <cell r="G887">
            <v>0</v>
          </cell>
          <cell r="H887" t="str">
            <v>60/61</v>
          </cell>
        </row>
        <row r="888">
          <cell r="F888">
            <v>134.60999999999999</v>
          </cell>
          <cell r="G888">
            <v>0</v>
          </cell>
          <cell r="H888" t="str">
            <v>60/61</v>
          </cell>
        </row>
        <row r="889">
          <cell r="F889">
            <v>10.59</v>
          </cell>
          <cell r="G889">
            <v>0</v>
          </cell>
          <cell r="H889" t="str">
            <v>60/61</v>
          </cell>
        </row>
        <row r="890">
          <cell r="F890">
            <v>852.06</v>
          </cell>
          <cell r="G890">
            <v>0</v>
          </cell>
          <cell r="H890" t="str">
            <v>60/61</v>
          </cell>
        </row>
        <row r="891">
          <cell r="F891">
            <v>0</v>
          </cell>
          <cell r="G891">
            <v>0</v>
          </cell>
          <cell r="H891" t="str">
            <v>60/61</v>
          </cell>
        </row>
        <row r="892">
          <cell r="F892">
            <v>215</v>
          </cell>
          <cell r="G892">
            <v>0</v>
          </cell>
          <cell r="H892" t="str">
            <v>60/61</v>
          </cell>
        </row>
        <row r="893">
          <cell r="F893">
            <v>1364.28</v>
          </cell>
          <cell r="G893">
            <v>0</v>
          </cell>
          <cell r="H893" t="str">
            <v>60/61</v>
          </cell>
        </row>
        <row r="894">
          <cell r="F894">
            <v>349.6</v>
          </cell>
          <cell r="G894">
            <v>0</v>
          </cell>
          <cell r="H894" t="str">
            <v>60/61</v>
          </cell>
        </row>
        <row r="895">
          <cell r="F895">
            <v>60.97</v>
          </cell>
          <cell r="G895">
            <v>0</v>
          </cell>
          <cell r="H895" t="str">
            <v>60/61</v>
          </cell>
        </row>
        <row r="896">
          <cell r="F896">
            <v>910.83</v>
          </cell>
          <cell r="G896">
            <v>0</v>
          </cell>
          <cell r="H896" t="str">
            <v>60/61</v>
          </cell>
        </row>
        <row r="897">
          <cell r="F897">
            <v>1797.17</v>
          </cell>
          <cell r="G897">
            <v>0</v>
          </cell>
          <cell r="H897" t="str">
            <v>60/61</v>
          </cell>
        </row>
        <row r="898">
          <cell r="F898">
            <v>2067.1799999999998</v>
          </cell>
          <cell r="G898">
            <v>0</v>
          </cell>
          <cell r="H898" t="str">
            <v>60/61</v>
          </cell>
        </row>
        <row r="899">
          <cell r="F899">
            <v>66.540000000000006</v>
          </cell>
          <cell r="G899">
            <v>0</v>
          </cell>
          <cell r="H899" t="str">
            <v>60/61</v>
          </cell>
        </row>
        <row r="900">
          <cell r="F900">
            <v>4079.01</v>
          </cell>
          <cell r="G900">
            <v>0</v>
          </cell>
          <cell r="H900" t="str">
            <v>60/61</v>
          </cell>
        </row>
        <row r="901">
          <cell r="F901">
            <v>0</v>
          </cell>
          <cell r="G901">
            <v>0</v>
          </cell>
          <cell r="H901" t="str">
            <v>60/61</v>
          </cell>
        </row>
        <row r="902">
          <cell r="F902">
            <v>4922.3499999999995</v>
          </cell>
          <cell r="G902">
            <v>0</v>
          </cell>
          <cell r="H902" t="str">
            <v>60/61</v>
          </cell>
        </row>
        <row r="903">
          <cell r="F903">
            <v>61.62</v>
          </cell>
          <cell r="G903">
            <v>0</v>
          </cell>
          <cell r="H903" t="str">
            <v>60/61</v>
          </cell>
        </row>
        <row r="904">
          <cell r="F904">
            <v>0</v>
          </cell>
          <cell r="G904">
            <v>0</v>
          </cell>
          <cell r="H904" t="str">
            <v>60/61</v>
          </cell>
        </row>
        <row r="905">
          <cell r="F905">
            <v>0</v>
          </cell>
          <cell r="G905">
            <v>0</v>
          </cell>
          <cell r="H905" t="str">
            <v>60/61</v>
          </cell>
        </row>
        <row r="906">
          <cell r="F906">
            <v>2537.25</v>
          </cell>
          <cell r="G906">
            <v>0</v>
          </cell>
          <cell r="H906" t="str">
            <v>60/61</v>
          </cell>
        </row>
        <row r="907">
          <cell r="F907">
            <v>301.69</v>
          </cell>
          <cell r="G907">
            <v>0</v>
          </cell>
          <cell r="H907" t="str">
            <v>60/61</v>
          </cell>
        </row>
        <row r="908">
          <cell r="F908">
            <v>45.89</v>
          </cell>
          <cell r="G908">
            <v>0</v>
          </cell>
          <cell r="H908" t="str">
            <v>60/61</v>
          </cell>
        </row>
        <row r="909">
          <cell r="F909">
            <v>4746.66</v>
          </cell>
          <cell r="G909">
            <v>0</v>
          </cell>
          <cell r="H909" t="str">
            <v>60/61</v>
          </cell>
        </row>
        <row r="910">
          <cell r="F910">
            <v>1.92</v>
          </cell>
          <cell r="G910">
            <v>0</v>
          </cell>
          <cell r="H910" t="str">
            <v>60/61</v>
          </cell>
        </row>
        <row r="911">
          <cell r="F911">
            <v>1535.42</v>
          </cell>
          <cell r="G911">
            <v>0</v>
          </cell>
          <cell r="H911" t="str">
            <v>60/61</v>
          </cell>
        </row>
        <row r="912">
          <cell r="F912">
            <v>365.14</v>
          </cell>
          <cell r="G912">
            <v>0</v>
          </cell>
          <cell r="H912" t="str">
            <v>60/61</v>
          </cell>
        </row>
        <row r="913">
          <cell r="F913">
            <v>1861.21</v>
          </cell>
          <cell r="G913">
            <v>0</v>
          </cell>
          <cell r="H913" t="str">
            <v>60/61</v>
          </cell>
        </row>
        <row r="914">
          <cell r="F914">
            <v>784.07</v>
          </cell>
          <cell r="G914">
            <v>0</v>
          </cell>
          <cell r="H914" t="str">
            <v>60/61</v>
          </cell>
        </row>
        <row r="915">
          <cell r="F915">
            <v>1363.08</v>
          </cell>
          <cell r="G915">
            <v>0</v>
          </cell>
          <cell r="H915" t="str">
            <v>60/61</v>
          </cell>
        </row>
        <row r="916">
          <cell r="F916">
            <v>1.0000000000000231E-2</v>
          </cell>
          <cell r="G916">
            <v>0</v>
          </cell>
          <cell r="H916" t="str">
            <v>60/61</v>
          </cell>
        </row>
        <row r="917">
          <cell r="F917">
            <v>1564.53</v>
          </cell>
          <cell r="G917">
            <v>0</v>
          </cell>
          <cell r="H917" t="str">
            <v>60/61</v>
          </cell>
        </row>
        <row r="918">
          <cell r="F918">
            <v>860.24</v>
          </cell>
          <cell r="G918">
            <v>0</v>
          </cell>
          <cell r="H918" t="str">
            <v>60/61</v>
          </cell>
        </row>
        <row r="919">
          <cell r="F919">
            <v>5699.71</v>
          </cell>
          <cell r="G919">
            <v>0</v>
          </cell>
          <cell r="H919" t="str">
            <v>60/61</v>
          </cell>
        </row>
        <row r="920">
          <cell r="F920">
            <v>4741.87</v>
          </cell>
          <cell r="G920">
            <v>0</v>
          </cell>
          <cell r="H920" t="str">
            <v>60/61</v>
          </cell>
        </row>
        <row r="921">
          <cell r="F921">
            <v>1.0000000000000231E-2</v>
          </cell>
          <cell r="G921">
            <v>0</v>
          </cell>
          <cell r="H921" t="str">
            <v>60/61</v>
          </cell>
        </row>
        <row r="922">
          <cell r="F922">
            <v>133.11000000000001</v>
          </cell>
          <cell r="G922">
            <v>0</v>
          </cell>
          <cell r="H922" t="str">
            <v>60/61</v>
          </cell>
        </row>
        <row r="923">
          <cell r="F923">
            <v>83.72</v>
          </cell>
          <cell r="G923">
            <v>0</v>
          </cell>
          <cell r="H923" t="str">
            <v>60/61</v>
          </cell>
        </row>
        <row r="924">
          <cell r="F924">
            <v>572.23</v>
          </cell>
          <cell r="G924">
            <v>0</v>
          </cell>
          <cell r="H924" t="str">
            <v>60/61</v>
          </cell>
        </row>
        <row r="925">
          <cell r="F925">
            <v>16.63</v>
          </cell>
          <cell r="G925">
            <v>0</v>
          </cell>
          <cell r="H925" t="str">
            <v>60/61</v>
          </cell>
        </row>
        <row r="926">
          <cell r="F926">
            <v>782.22</v>
          </cell>
          <cell r="G926">
            <v>0</v>
          </cell>
          <cell r="H926" t="str">
            <v>60/61</v>
          </cell>
        </row>
        <row r="927">
          <cell r="F927">
            <v>3.94</v>
          </cell>
          <cell r="G927">
            <v>0</v>
          </cell>
          <cell r="H927" t="str">
            <v>60/61</v>
          </cell>
        </row>
        <row r="928">
          <cell r="F928">
            <v>97.22</v>
          </cell>
          <cell r="G928">
            <v>0</v>
          </cell>
          <cell r="H928" t="str">
            <v>60/61</v>
          </cell>
        </row>
        <row r="929">
          <cell r="F929">
            <v>6.3199999999999932</v>
          </cell>
          <cell r="G929">
            <v>0</v>
          </cell>
          <cell r="H929" t="str">
            <v>60/61</v>
          </cell>
        </row>
        <row r="930">
          <cell r="F930">
            <v>6.88</v>
          </cell>
          <cell r="G930">
            <v>0</v>
          </cell>
          <cell r="H930" t="str">
            <v>60/61</v>
          </cell>
        </row>
        <row r="931">
          <cell r="F931">
            <v>90.35</v>
          </cell>
          <cell r="G931">
            <v>0</v>
          </cell>
          <cell r="H931" t="str">
            <v>60/61</v>
          </cell>
        </row>
        <row r="932">
          <cell r="F932">
            <v>71.900000000000006</v>
          </cell>
          <cell r="G932">
            <v>0</v>
          </cell>
          <cell r="H932" t="str">
            <v>60/61</v>
          </cell>
        </row>
        <row r="933">
          <cell r="F933">
            <v>31.45</v>
          </cell>
          <cell r="G933">
            <v>0</v>
          </cell>
          <cell r="H933" t="str">
            <v>60/61</v>
          </cell>
        </row>
        <row r="934">
          <cell r="F934">
            <v>15.06</v>
          </cell>
          <cell r="G934">
            <v>0</v>
          </cell>
          <cell r="H934" t="str">
            <v>60/61</v>
          </cell>
        </row>
        <row r="935">
          <cell r="F935">
            <v>36.449999999999996</v>
          </cell>
          <cell r="G935">
            <v>0</v>
          </cell>
          <cell r="H935" t="str">
            <v>60/61</v>
          </cell>
        </row>
        <row r="936">
          <cell r="F936">
            <v>1012.53</v>
          </cell>
          <cell r="G936">
            <v>0</v>
          </cell>
          <cell r="H936" t="str">
            <v>60/61</v>
          </cell>
        </row>
        <row r="937">
          <cell r="F937">
            <v>288.13</v>
          </cell>
          <cell r="G937">
            <v>0</v>
          </cell>
          <cell r="H937" t="str">
            <v>60/61</v>
          </cell>
        </row>
        <row r="938">
          <cell r="F938">
            <v>45.36</v>
          </cell>
          <cell r="G938">
            <v>0</v>
          </cell>
          <cell r="H938" t="str">
            <v>60/61</v>
          </cell>
        </row>
        <row r="939">
          <cell r="F939">
            <v>864.85</v>
          </cell>
          <cell r="G939">
            <v>0</v>
          </cell>
          <cell r="H939" t="str">
            <v>60/61</v>
          </cell>
        </row>
        <row r="940">
          <cell r="F940">
            <v>40.18</v>
          </cell>
          <cell r="G940">
            <v>0</v>
          </cell>
          <cell r="H940" t="str">
            <v>60/61</v>
          </cell>
        </row>
        <row r="941">
          <cell r="F941">
            <v>22.69</v>
          </cell>
          <cell r="G941">
            <v>0</v>
          </cell>
          <cell r="H941" t="str">
            <v>60/61</v>
          </cell>
        </row>
        <row r="942">
          <cell r="F942">
            <v>624.86</v>
          </cell>
          <cell r="G942">
            <v>0</v>
          </cell>
          <cell r="H942" t="str">
            <v>60/61</v>
          </cell>
        </row>
        <row r="943">
          <cell r="F943">
            <v>6.04</v>
          </cell>
          <cell r="G943">
            <v>0</v>
          </cell>
          <cell r="H943" t="str">
            <v>60/61</v>
          </cell>
        </row>
        <row r="944">
          <cell r="F944">
            <v>102.66000000000008</v>
          </cell>
          <cell r="G944">
            <v>0</v>
          </cell>
          <cell r="H944" t="str">
            <v>60/61</v>
          </cell>
        </row>
        <row r="945">
          <cell r="F945">
            <v>35.519999999999996</v>
          </cell>
          <cell r="G945">
            <v>0</v>
          </cell>
          <cell r="H945" t="str">
            <v>60/61</v>
          </cell>
        </row>
        <row r="946">
          <cell r="F946">
            <v>38.950000000000003</v>
          </cell>
          <cell r="G946">
            <v>0</v>
          </cell>
          <cell r="H946" t="str">
            <v>60/61</v>
          </cell>
        </row>
        <row r="947">
          <cell r="F947">
            <v>7.8</v>
          </cell>
          <cell r="G947">
            <v>0</v>
          </cell>
          <cell r="H947" t="str">
            <v>60/61</v>
          </cell>
        </row>
        <row r="948">
          <cell r="F948">
            <v>1026.54</v>
          </cell>
          <cell r="G948">
            <v>0</v>
          </cell>
          <cell r="H948" t="str">
            <v>60/61</v>
          </cell>
        </row>
        <row r="949">
          <cell r="F949">
            <v>30.28</v>
          </cell>
          <cell r="G949">
            <v>0</v>
          </cell>
          <cell r="H949" t="str">
            <v>60/61</v>
          </cell>
        </row>
        <row r="950">
          <cell r="F950">
            <v>34.6</v>
          </cell>
          <cell r="G950">
            <v>0</v>
          </cell>
          <cell r="H950" t="str">
            <v>60/61</v>
          </cell>
        </row>
        <row r="951">
          <cell r="F951">
            <v>334.67</v>
          </cell>
          <cell r="G951">
            <v>0</v>
          </cell>
          <cell r="H951" t="str">
            <v>60/61</v>
          </cell>
        </row>
        <row r="952">
          <cell r="F952">
            <v>69.269999999999982</v>
          </cell>
          <cell r="G952">
            <v>0</v>
          </cell>
          <cell r="H952" t="str">
            <v>60/61</v>
          </cell>
        </row>
        <row r="953">
          <cell r="F953">
            <v>137.30000000000001</v>
          </cell>
          <cell r="G953">
            <v>0</v>
          </cell>
          <cell r="H953" t="str">
            <v>60/61</v>
          </cell>
        </row>
        <row r="954">
          <cell r="F954">
            <v>162.29</v>
          </cell>
          <cell r="G954">
            <v>0</v>
          </cell>
          <cell r="H954" t="str">
            <v>60/61</v>
          </cell>
        </row>
        <row r="955">
          <cell r="F955">
            <v>9.73</v>
          </cell>
          <cell r="G955">
            <v>0</v>
          </cell>
          <cell r="H955" t="str">
            <v>60/61</v>
          </cell>
        </row>
        <row r="956">
          <cell r="F956">
            <v>1202.6199999999999</v>
          </cell>
          <cell r="G956">
            <v>0</v>
          </cell>
          <cell r="H956" t="str">
            <v>60/61</v>
          </cell>
        </row>
        <row r="957">
          <cell r="F957">
            <v>1.95</v>
          </cell>
          <cell r="G957">
            <v>0</v>
          </cell>
          <cell r="H957" t="str">
            <v>60/61</v>
          </cell>
        </row>
        <row r="958">
          <cell r="F958">
            <v>25.26</v>
          </cell>
          <cell r="G958">
            <v>0</v>
          </cell>
          <cell r="H958" t="str">
            <v>60/61</v>
          </cell>
        </row>
        <row r="959">
          <cell r="F959">
            <v>97.24</v>
          </cell>
          <cell r="G959">
            <v>0</v>
          </cell>
          <cell r="H959" t="str">
            <v>60/61</v>
          </cell>
        </row>
        <row r="960">
          <cell r="F960">
            <v>148.35</v>
          </cell>
          <cell r="G960">
            <v>0</v>
          </cell>
          <cell r="H960" t="str">
            <v>60/61</v>
          </cell>
        </row>
        <row r="961">
          <cell r="F961">
            <v>40.04</v>
          </cell>
          <cell r="G961">
            <v>0</v>
          </cell>
          <cell r="H961" t="str">
            <v>60/61</v>
          </cell>
        </row>
        <row r="962">
          <cell r="F962">
            <v>47.22</v>
          </cell>
          <cell r="G962">
            <v>0</v>
          </cell>
          <cell r="H962" t="str">
            <v>60/61</v>
          </cell>
        </row>
        <row r="963">
          <cell r="F963">
            <v>72.67</v>
          </cell>
          <cell r="G963">
            <v>0</v>
          </cell>
          <cell r="H963" t="str">
            <v>60/61</v>
          </cell>
        </row>
        <row r="964">
          <cell r="F964">
            <v>0</v>
          </cell>
          <cell r="G964">
            <v>0</v>
          </cell>
          <cell r="H964" t="str">
            <v>60/61</v>
          </cell>
        </row>
        <row r="965">
          <cell r="F965">
            <v>0</v>
          </cell>
          <cell r="G965">
            <v>0</v>
          </cell>
          <cell r="H965" t="str">
            <v>60/61</v>
          </cell>
        </row>
        <row r="966">
          <cell r="F966">
            <v>23.86</v>
          </cell>
          <cell r="G966">
            <v>0</v>
          </cell>
          <cell r="H966" t="str">
            <v>60/61</v>
          </cell>
        </row>
        <row r="967">
          <cell r="F967">
            <v>58.38</v>
          </cell>
          <cell r="G967">
            <v>0</v>
          </cell>
          <cell r="H967" t="str">
            <v>60/61</v>
          </cell>
        </row>
        <row r="968">
          <cell r="F968">
            <v>1890.26</v>
          </cell>
          <cell r="G968">
            <v>0</v>
          </cell>
          <cell r="H968" t="str">
            <v>60/61</v>
          </cell>
        </row>
        <row r="969">
          <cell r="F969">
            <v>60.77</v>
          </cell>
          <cell r="G969">
            <v>0</v>
          </cell>
          <cell r="H969" t="str">
            <v>60/61</v>
          </cell>
        </row>
        <row r="970">
          <cell r="F970">
            <v>0</v>
          </cell>
          <cell r="G970">
            <v>0</v>
          </cell>
          <cell r="H970" t="str">
            <v>60/61</v>
          </cell>
        </row>
        <row r="971">
          <cell r="F971">
            <v>1414.4</v>
          </cell>
          <cell r="G971">
            <v>0</v>
          </cell>
          <cell r="H971" t="str">
            <v>60/61</v>
          </cell>
        </row>
        <row r="972">
          <cell r="F972">
            <v>76.45</v>
          </cell>
          <cell r="G972">
            <v>0</v>
          </cell>
          <cell r="H972" t="str">
            <v>60/61</v>
          </cell>
        </row>
        <row r="973">
          <cell r="F973">
            <v>38.840000000000003</v>
          </cell>
          <cell r="G973">
            <v>0</v>
          </cell>
          <cell r="H973" t="str">
            <v>60/61</v>
          </cell>
        </row>
        <row r="974">
          <cell r="F974">
            <v>200.87</v>
          </cell>
          <cell r="G974">
            <v>0</v>
          </cell>
          <cell r="H974" t="str">
            <v>60/61</v>
          </cell>
        </row>
        <row r="975">
          <cell r="F975">
            <v>3.019999999999996</v>
          </cell>
          <cell r="G975">
            <v>0</v>
          </cell>
          <cell r="H975" t="str">
            <v>60/61</v>
          </cell>
        </row>
        <row r="976">
          <cell r="F976">
            <v>151.1</v>
          </cell>
          <cell r="G976">
            <v>0</v>
          </cell>
          <cell r="H976" t="str">
            <v>60/61</v>
          </cell>
        </row>
        <row r="977">
          <cell r="F977">
            <v>120.06</v>
          </cell>
          <cell r="G977">
            <v>0</v>
          </cell>
          <cell r="H977" t="str">
            <v>60/61</v>
          </cell>
        </row>
        <row r="978">
          <cell r="F978">
            <v>336.03</v>
          </cell>
          <cell r="G978">
            <v>0</v>
          </cell>
          <cell r="H978" t="str">
            <v>60/61</v>
          </cell>
        </row>
        <row r="979">
          <cell r="F979">
            <v>314.73</v>
          </cell>
          <cell r="G979">
            <v>0</v>
          </cell>
          <cell r="H979" t="str">
            <v>60/61</v>
          </cell>
        </row>
        <row r="980">
          <cell r="F980">
            <v>379.45</v>
          </cell>
          <cell r="G980">
            <v>0</v>
          </cell>
          <cell r="H980" t="str">
            <v>60/61</v>
          </cell>
        </row>
        <row r="981">
          <cell r="F981">
            <v>104.04</v>
          </cell>
          <cell r="G981">
            <v>0</v>
          </cell>
          <cell r="H981" t="str">
            <v>60/61</v>
          </cell>
        </row>
        <row r="982">
          <cell r="F982">
            <v>51.86</v>
          </cell>
          <cell r="G982">
            <v>0</v>
          </cell>
          <cell r="H982" t="str">
            <v>60/61</v>
          </cell>
        </row>
        <row r="983">
          <cell r="F983">
            <v>97.23</v>
          </cell>
          <cell r="G983">
            <v>0</v>
          </cell>
          <cell r="H983" t="str">
            <v>60/61</v>
          </cell>
        </row>
        <row r="984">
          <cell r="F984">
            <v>757.74</v>
          </cell>
          <cell r="G984">
            <v>0</v>
          </cell>
          <cell r="H984" t="str">
            <v>60/61</v>
          </cell>
        </row>
        <row r="985">
          <cell r="F985">
            <v>212.04</v>
          </cell>
          <cell r="G985">
            <v>0</v>
          </cell>
          <cell r="H985" t="str">
            <v>60/61</v>
          </cell>
        </row>
        <row r="986">
          <cell r="F986">
            <v>231.76</v>
          </cell>
          <cell r="G986">
            <v>0</v>
          </cell>
          <cell r="H986" t="str">
            <v>60/61</v>
          </cell>
        </row>
        <row r="987">
          <cell r="F987">
            <v>401.69</v>
          </cell>
          <cell r="G987">
            <v>0</v>
          </cell>
          <cell r="H987" t="str">
            <v>60/61</v>
          </cell>
        </row>
        <row r="988">
          <cell r="F988">
            <v>551.51</v>
          </cell>
          <cell r="G988">
            <v>0</v>
          </cell>
          <cell r="H988" t="str">
            <v>60/61</v>
          </cell>
        </row>
        <row r="989">
          <cell r="F989">
            <v>630.44000000000005</v>
          </cell>
          <cell r="G989">
            <v>0</v>
          </cell>
          <cell r="H989" t="str">
            <v>60/61</v>
          </cell>
        </row>
        <row r="990">
          <cell r="F990">
            <v>4.32</v>
          </cell>
          <cell r="G990">
            <v>0</v>
          </cell>
          <cell r="H990" t="str">
            <v>60/61</v>
          </cell>
        </row>
        <row r="991">
          <cell r="F991">
            <v>188.68</v>
          </cell>
          <cell r="G991">
            <v>0</v>
          </cell>
          <cell r="H991" t="str">
            <v>60/61</v>
          </cell>
        </row>
        <row r="992">
          <cell r="F992">
            <v>235.2</v>
          </cell>
          <cell r="G992">
            <v>0</v>
          </cell>
          <cell r="H992" t="str">
            <v>60/61</v>
          </cell>
        </row>
        <row r="993">
          <cell r="F993">
            <v>677</v>
          </cell>
          <cell r="G993">
            <v>0</v>
          </cell>
          <cell r="H993" t="str">
            <v>60/61</v>
          </cell>
        </row>
        <row r="994">
          <cell r="F994">
            <v>36.520000000000039</v>
          </cell>
          <cell r="G994">
            <v>0</v>
          </cell>
          <cell r="H994" t="str">
            <v>60/61</v>
          </cell>
        </row>
        <row r="995">
          <cell r="F995">
            <v>90.9</v>
          </cell>
          <cell r="G995">
            <v>0</v>
          </cell>
          <cell r="H995" t="str">
            <v>60/61</v>
          </cell>
        </row>
        <row r="996">
          <cell r="F996">
            <v>336.09</v>
          </cell>
          <cell r="G996">
            <v>0</v>
          </cell>
          <cell r="H996" t="str">
            <v>60/61</v>
          </cell>
        </row>
        <row r="997">
          <cell r="F997">
            <v>419.04</v>
          </cell>
          <cell r="G997">
            <v>0</v>
          </cell>
          <cell r="H997" t="str">
            <v>60/61</v>
          </cell>
        </row>
        <row r="998">
          <cell r="F998">
            <v>11.23</v>
          </cell>
          <cell r="G998">
            <v>0</v>
          </cell>
          <cell r="H998" t="str">
            <v>60/61</v>
          </cell>
        </row>
        <row r="999">
          <cell r="F999">
            <v>106.75</v>
          </cell>
          <cell r="G999">
            <v>0</v>
          </cell>
          <cell r="H999" t="str">
            <v>60/61</v>
          </cell>
        </row>
        <row r="1000">
          <cell r="F1000">
            <v>330.52</v>
          </cell>
          <cell r="G1000">
            <v>0</v>
          </cell>
          <cell r="H1000" t="str">
            <v>60/61</v>
          </cell>
        </row>
        <row r="1001">
          <cell r="F1001">
            <v>71.97</v>
          </cell>
          <cell r="G1001">
            <v>0</v>
          </cell>
          <cell r="H1001" t="str">
            <v>60/61</v>
          </cell>
        </row>
        <row r="1002">
          <cell r="F1002">
            <v>0</v>
          </cell>
          <cell r="G1002">
            <v>0</v>
          </cell>
          <cell r="H1002" t="str">
            <v>60/61</v>
          </cell>
        </row>
        <row r="1003">
          <cell r="F1003">
            <v>1.95</v>
          </cell>
          <cell r="G1003">
            <v>0</v>
          </cell>
          <cell r="H1003" t="str">
            <v>60/61</v>
          </cell>
        </row>
        <row r="1004">
          <cell r="F1004">
            <v>97.23</v>
          </cell>
          <cell r="G1004">
            <v>0</v>
          </cell>
          <cell r="H1004" t="str">
            <v>60/61</v>
          </cell>
        </row>
        <row r="1005">
          <cell r="F1005">
            <v>573.66999999999996</v>
          </cell>
          <cell r="G1005">
            <v>0</v>
          </cell>
          <cell r="H1005" t="str">
            <v>60/61</v>
          </cell>
        </row>
        <row r="1006">
          <cell r="F1006">
            <v>439.26</v>
          </cell>
          <cell r="G1006">
            <v>0</v>
          </cell>
          <cell r="H1006" t="str">
            <v>60/61</v>
          </cell>
        </row>
        <row r="1007">
          <cell r="F1007">
            <v>731.5</v>
          </cell>
          <cell r="G1007">
            <v>0</v>
          </cell>
          <cell r="H1007" t="str">
            <v>60/61</v>
          </cell>
        </row>
        <row r="1008">
          <cell r="F1008">
            <v>1002.35</v>
          </cell>
          <cell r="G1008">
            <v>0</v>
          </cell>
          <cell r="H1008" t="str">
            <v>60/61</v>
          </cell>
        </row>
        <row r="1009">
          <cell r="F1009">
            <v>1503.35</v>
          </cell>
          <cell r="G1009">
            <v>0</v>
          </cell>
          <cell r="H1009" t="str">
            <v>60/61</v>
          </cell>
        </row>
        <row r="1010">
          <cell r="F1010">
            <v>90</v>
          </cell>
          <cell r="G1010">
            <v>0</v>
          </cell>
          <cell r="H1010" t="str">
            <v>60/61</v>
          </cell>
        </row>
        <row r="1011">
          <cell r="F1011">
            <v>11</v>
          </cell>
          <cell r="G1011">
            <v>0</v>
          </cell>
          <cell r="H1011" t="str">
            <v>60/61</v>
          </cell>
        </row>
        <row r="1012">
          <cell r="F1012">
            <v>28.48</v>
          </cell>
          <cell r="G1012">
            <v>0</v>
          </cell>
          <cell r="H1012" t="str">
            <v>60/61</v>
          </cell>
        </row>
        <row r="1013">
          <cell r="F1013">
            <v>1065.47</v>
          </cell>
          <cell r="G1013">
            <v>0</v>
          </cell>
          <cell r="H1013" t="str">
            <v>60/61</v>
          </cell>
        </row>
        <row r="1014">
          <cell r="F1014">
            <v>14.85</v>
          </cell>
          <cell r="G1014">
            <v>0</v>
          </cell>
          <cell r="H1014" t="str">
            <v>60/61</v>
          </cell>
        </row>
        <row r="1015">
          <cell r="F1015">
            <v>40</v>
          </cell>
          <cell r="G1015">
            <v>0</v>
          </cell>
          <cell r="H1015" t="str">
            <v>60/61</v>
          </cell>
        </row>
        <row r="1016">
          <cell r="F1016">
            <v>301.38</v>
          </cell>
          <cell r="G1016">
            <v>0</v>
          </cell>
          <cell r="H1016" t="str">
            <v>60/61</v>
          </cell>
        </row>
        <row r="1017">
          <cell r="F1017">
            <v>1451.2</v>
          </cell>
          <cell r="G1017">
            <v>0</v>
          </cell>
          <cell r="H1017" t="str">
            <v>60/61</v>
          </cell>
        </row>
        <row r="1018">
          <cell r="F1018">
            <v>2684.66</v>
          </cell>
          <cell r="G1018">
            <v>0</v>
          </cell>
          <cell r="H1018" t="str">
            <v>60/61</v>
          </cell>
        </row>
        <row r="1019">
          <cell r="F1019">
            <v>2429.6099999999997</v>
          </cell>
          <cell r="G1019">
            <v>0</v>
          </cell>
          <cell r="H1019" t="str">
            <v>60/61</v>
          </cell>
        </row>
        <row r="1020">
          <cell r="F1020">
            <v>12.18</v>
          </cell>
          <cell r="G1020">
            <v>0</v>
          </cell>
          <cell r="H1020" t="str">
            <v>60/61</v>
          </cell>
        </row>
        <row r="1021">
          <cell r="F1021">
            <v>5.98</v>
          </cell>
          <cell r="G1021">
            <v>0</v>
          </cell>
          <cell r="H1021" t="str">
            <v>60/61</v>
          </cell>
        </row>
        <row r="1022">
          <cell r="F1022">
            <v>32.6</v>
          </cell>
          <cell r="G1022">
            <v>0</v>
          </cell>
          <cell r="H1022" t="str">
            <v>60/61</v>
          </cell>
        </row>
        <row r="1023">
          <cell r="F1023">
            <v>5862.25</v>
          </cell>
          <cell r="G1023">
            <v>0</v>
          </cell>
          <cell r="H1023" t="str">
            <v>60/61</v>
          </cell>
        </row>
        <row r="1024">
          <cell r="F1024">
            <v>641.91999999999996</v>
          </cell>
          <cell r="G1024">
            <v>0</v>
          </cell>
          <cell r="H1024" t="str">
            <v>60/61</v>
          </cell>
        </row>
        <row r="1025">
          <cell r="F1025">
            <v>393.4</v>
          </cell>
          <cell r="G1025">
            <v>0</v>
          </cell>
          <cell r="H1025" t="str">
            <v>60/61</v>
          </cell>
        </row>
        <row r="1026">
          <cell r="F1026">
            <v>67.88</v>
          </cell>
          <cell r="G1026">
            <v>0</v>
          </cell>
          <cell r="H1026" t="str">
            <v>60/61</v>
          </cell>
        </row>
        <row r="1027">
          <cell r="F1027">
            <v>49.19</v>
          </cell>
          <cell r="G1027">
            <v>0</v>
          </cell>
          <cell r="H1027" t="str">
            <v>60/61</v>
          </cell>
        </row>
        <row r="1028">
          <cell r="F1028">
            <v>5316.4800000000005</v>
          </cell>
          <cell r="G1028">
            <v>0</v>
          </cell>
          <cell r="H1028" t="str">
            <v>60/61</v>
          </cell>
        </row>
        <row r="1029">
          <cell r="F1029">
            <v>1.64</v>
          </cell>
          <cell r="G1029">
            <v>0</v>
          </cell>
          <cell r="H1029" t="str">
            <v>60/61</v>
          </cell>
        </row>
        <row r="1030">
          <cell r="F1030">
            <v>2462.5200000000004</v>
          </cell>
          <cell r="G1030">
            <v>0</v>
          </cell>
          <cell r="H1030" t="str">
            <v>60/61</v>
          </cell>
        </row>
        <row r="1031">
          <cell r="F1031">
            <v>76.239999999999995</v>
          </cell>
          <cell r="G1031">
            <v>0</v>
          </cell>
          <cell r="H1031" t="str">
            <v>60/61</v>
          </cell>
        </row>
        <row r="1032">
          <cell r="F1032">
            <v>110.56</v>
          </cell>
          <cell r="G1032">
            <v>0</v>
          </cell>
          <cell r="H1032" t="str">
            <v>60/61</v>
          </cell>
        </row>
        <row r="1033">
          <cell r="F1033">
            <v>2876.93</v>
          </cell>
          <cell r="G1033">
            <v>0</v>
          </cell>
          <cell r="H1033" t="str">
            <v>60/61</v>
          </cell>
        </row>
        <row r="1034">
          <cell r="F1034">
            <v>4578.420000000001</v>
          </cell>
          <cell r="G1034">
            <v>0</v>
          </cell>
          <cell r="H1034" t="str">
            <v>60/61</v>
          </cell>
        </row>
        <row r="1035">
          <cell r="F1035">
            <v>231.05000000000018</v>
          </cell>
          <cell r="G1035">
            <v>0</v>
          </cell>
          <cell r="H1035" t="str">
            <v>60/61</v>
          </cell>
        </row>
        <row r="1036">
          <cell r="F1036">
            <v>42.59</v>
          </cell>
          <cell r="G1036">
            <v>0</v>
          </cell>
          <cell r="H1036" t="str">
            <v>60/61</v>
          </cell>
        </row>
        <row r="1037">
          <cell r="F1037">
            <v>351.11</v>
          </cell>
          <cell r="G1037">
            <v>0</v>
          </cell>
          <cell r="H1037" t="str">
            <v>60/61</v>
          </cell>
        </row>
        <row r="1038">
          <cell r="F1038">
            <v>699.11</v>
          </cell>
          <cell r="G1038">
            <v>0</v>
          </cell>
          <cell r="H1038" t="str">
            <v>60/61</v>
          </cell>
        </row>
        <row r="1039">
          <cell r="F1039">
            <v>526.48</v>
          </cell>
          <cell r="G1039">
            <v>0</v>
          </cell>
          <cell r="H1039" t="str">
            <v>60/61</v>
          </cell>
        </row>
        <row r="1040">
          <cell r="F1040">
            <v>15.84</v>
          </cell>
          <cell r="G1040">
            <v>0</v>
          </cell>
          <cell r="H1040" t="str">
            <v>60/61</v>
          </cell>
        </row>
        <row r="1041">
          <cell r="F1041">
            <v>304.19</v>
          </cell>
          <cell r="G1041">
            <v>0</v>
          </cell>
          <cell r="H1041" t="str">
            <v>60/61</v>
          </cell>
        </row>
        <row r="1042">
          <cell r="F1042">
            <v>150.78</v>
          </cell>
          <cell r="G1042">
            <v>0</v>
          </cell>
          <cell r="H1042" t="str">
            <v>60/61</v>
          </cell>
        </row>
        <row r="1043">
          <cell r="F1043">
            <v>42.44</v>
          </cell>
          <cell r="G1043">
            <v>0</v>
          </cell>
          <cell r="H1043" t="str">
            <v>60/61</v>
          </cell>
        </row>
        <row r="1044">
          <cell r="F1044">
            <v>185.71</v>
          </cell>
          <cell r="G1044">
            <v>0</v>
          </cell>
          <cell r="H1044" t="str">
            <v>60/61</v>
          </cell>
        </row>
        <row r="1045">
          <cell r="F1045">
            <v>65.78</v>
          </cell>
          <cell r="G1045">
            <v>0</v>
          </cell>
          <cell r="H1045" t="str">
            <v>60/61</v>
          </cell>
        </row>
        <row r="1046">
          <cell r="F1046">
            <v>39.97</v>
          </cell>
          <cell r="G1046">
            <v>0</v>
          </cell>
          <cell r="H1046" t="str">
            <v>60/61</v>
          </cell>
        </row>
        <row r="1047">
          <cell r="F1047">
            <v>2.41</v>
          </cell>
          <cell r="G1047">
            <v>0</v>
          </cell>
          <cell r="H1047" t="str">
            <v>60/61</v>
          </cell>
        </row>
        <row r="1048">
          <cell r="F1048">
            <v>2599.2700000000004</v>
          </cell>
          <cell r="G1048">
            <v>0</v>
          </cell>
          <cell r="H1048" t="str">
            <v>60/61</v>
          </cell>
        </row>
        <row r="1049">
          <cell r="F1049">
            <v>415.07</v>
          </cell>
          <cell r="G1049">
            <v>0</v>
          </cell>
          <cell r="H1049" t="str">
            <v>60/61</v>
          </cell>
        </row>
        <row r="1050">
          <cell r="F1050">
            <v>150.30000000000001</v>
          </cell>
          <cell r="G1050">
            <v>0</v>
          </cell>
          <cell r="H1050" t="str">
            <v>60/61</v>
          </cell>
        </row>
        <row r="1051">
          <cell r="F1051">
            <v>350.24</v>
          </cell>
          <cell r="G1051">
            <v>0</v>
          </cell>
          <cell r="H1051" t="str">
            <v>60/61</v>
          </cell>
        </row>
        <row r="1052">
          <cell r="F1052">
            <v>409.94000000000005</v>
          </cell>
          <cell r="G1052">
            <v>0</v>
          </cell>
          <cell r="H1052" t="str">
            <v>60/61</v>
          </cell>
        </row>
        <row r="1053">
          <cell r="F1053">
            <v>412.45</v>
          </cell>
          <cell r="G1053">
            <v>0</v>
          </cell>
          <cell r="H1053" t="str">
            <v>60/61</v>
          </cell>
        </row>
        <row r="1054">
          <cell r="F1054">
            <v>964.15000000000009</v>
          </cell>
          <cell r="G1054">
            <v>0</v>
          </cell>
          <cell r="H1054" t="str">
            <v>60/61</v>
          </cell>
        </row>
        <row r="1055">
          <cell r="F1055">
            <v>226.51</v>
          </cell>
          <cell r="G1055">
            <v>0</v>
          </cell>
          <cell r="H1055" t="str">
            <v>60/61</v>
          </cell>
        </row>
        <row r="1056">
          <cell r="F1056">
            <v>631.80999999999995</v>
          </cell>
          <cell r="G1056">
            <v>0</v>
          </cell>
          <cell r="H1056" t="str">
            <v>60/61</v>
          </cell>
        </row>
        <row r="1057">
          <cell r="F1057">
            <v>545.53000000000009</v>
          </cell>
          <cell r="G1057">
            <v>0</v>
          </cell>
          <cell r="H1057" t="str">
            <v>60/61</v>
          </cell>
        </row>
        <row r="1058">
          <cell r="F1058">
            <v>10725.16</v>
          </cell>
          <cell r="G1058">
            <v>0</v>
          </cell>
          <cell r="H1058" t="str">
            <v>60/61</v>
          </cell>
        </row>
        <row r="1059">
          <cell r="F1059">
            <v>16358.63</v>
          </cell>
          <cell r="G1059">
            <v>0</v>
          </cell>
          <cell r="H1059" t="str">
            <v>60/61</v>
          </cell>
        </row>
        <row r="1060">
          <cell r="F1060">
            <v>3924.2200000000003</v>
          </cell>
          <cell r="G1060">
            <v>0</v>
          </cell>
          <cell r="H1060" t="str">
            <v>60/61</v>
          </cell>
        </row>
        <row r="1061">
          <cell r="F1061">
            <v>657.09</v>
          </cell>
          <cell r="G1061">
            <v>0</v>
          </cell>
          <cell r="H1061" t="str">
            <v>60/61</v>
          </cell>
        </row>
        <row r="1062">
          <cell r="F1062">
            <v>963.95</v>
          </cell>
          <cell r="G1062">
            <v>0</v>
          </cell>
          <cell r="H1062" t="str">
            <v>60/61</v>
          </cell>
        </row>
        <row r="1063">
          <cell r="F1063">
            <v>530.85</v>
          </cell>
          <cell r="G1063">
            <v>0</v>
          </cell>
          <cell r="H1063" t="str">
            <v>60/61</v>
          </cell>
        </row>
        <row r="1064">
          <cell r="F1064">
            <v>138.30000000000001</v>
          </cell>
          <cell r="G1064">
            <v>0</v>
          </cell>
          <cell r="H1064" t="str">
            <v>60/61</v>
          </cell>
        </row>
        <row r="1065">
          <cell r="F1065">
            <v>218.13</v>
          </cell>
          <cell r="G1065">
            <v>0</v>
          </cell>
          <cell r="H1065" t="str">
            <v>60/61</v>
          </cell>
        </row>
        <row r="1066">
          <cell r="F1066">
            <v>25.08</v>
          </cell>
          <cell r="G1066">
            <v>0</v>
          </cell>
          <cell r="H1066" t="str">
            <v>60/61</v>
          </cell>
        </row>
        <row r="1067">
          <cell r="F1067">
            <v>921.91</v>
          </cell>
          <cell r="G1067">
            <v>0</v>
          </cell>
          <cell r="H1067" t="str">
            <v>60/61</v>
          </cell>
        </row>
        <row r="1068">
          <cell r="F1068">
            <v>84.86</v>
          </cell>
          <cell r="G1068">
            <v>0</v>
          </cell>
          <cell r="H1068" t="str">
            <v>60/61</v>
          </cell>
        </row>
        <row r="1069">
          <cell r="F1069">
            <v>196.22000000000003</v>
          </cell>
          <cell r="G1069">
            <v>0</v>
          </cell>
          <cell r="H1069" t="str">
            <v>60/61</v>
          </cell>
        </row>
        <row r="1070">
          <cell r="F1070">
            <v>311.19000000000005</v>
          </cell>
          <cell r="G1070">
            <v>0</v>
          </cell>
          <cell r="H1070" t="str">
            <v>60/61</v>
          </cell>
        </row>
        <row r="1071">
          <cell r="F1071">
            <v>480.86</v>
          </cell>
          <cell r="G1071">
            <v>0</v>
          </cell>
          <cell r="H1071" t="str">
            <v>60/61</v>
          </cell>
        </row>
        <row r="1072">
          <cell r="F1072">
            <v>40.54</v>
          </cell>
          <cell r="G1072">
            <v>0</v>
          </cell>
          <cell r="H1072" t="str">
            <v>60/61</v>
          </cell>
        </row>
        <row r="1073">
          <cell r="F1073">
            <v>912.97000000000014</v>
          </cell>
          <cell r="G1073">
            <v>0</v>
          </cell>
          <cell r="H1073" t="str">
            <v>60/61</v>
          </cell>
        </row>
        <row r="1074">
          <cell r="F1074">
            <v>34.770000000000003</v>
          </cell>
          <cell r="G1074">
            <v>0</v>
          </cell>
          <cell r="H1074" t="str">
            <v>60/61</v>
          </cell>
        </row>
        <row r="1075">
          <cell r="F1075">
            <v>2415.6</v>
          </cell>
          <cell r="G1075">
            <v>0</v>
          </cell>
          <cell r="H1075" t="str">
            <v>60/61</v>
          </cell>
        </row>
        <row r="1076">
          <cell r="F1076">
            <v>6761.17</v>
          </cell>
          <cell r="G1076">
            <v>0</v>
          </cell>
          <cell r="H1076" t="str">
            <v>60/61</v>
          </cell>
        </row>
        <row r="1077">
          <cell r="F1077">
            <v>4357.97</v>
          </cell>
          <cell r="G1077">
            <v>0</v>
          </cell>
          <cell r="H1077" t="str">
            <v>60/61</v>
          </cell>
        </row>
        <row r="1078">
          <cell r="F1078">
            <v>1739.54</v>
          </cell>
          <cell r="G1078">
            <v>0</v>
          </cell>
          <cell r="H1078" t="str">
            <v>60/61</v>
          </cell>
        </row>
        <row r="1079">
          <cell r="F1079">
            <v>49</v>
          </cell>
          <cell r="G1079">
            <v>0</v>
          </cell>
          <cell r="H1079" t="str">
            <v>60/61</v>
          </cell>
        </row>
        <row r="1080">
          <cell r="F1080">
            <v>120.15</v>
          </cell>
          <cell r="G1080">
            <v>0</v>
          </cell>
          <cell r="H1080" t="str">
            <v>60/61</v>
          </cell>
        </row>
        <row r="1081">
          <cell r="F1081">
            <v>180.82</v>
          </cell>
          <cell r="G1081">
            <v>0</v>
          </cell>
          <cell r="H1081" t="str">
            <v>60/61</v>
          </cell>
        </row>
        <row r="1082">
          <cell r="F1082">
            <v>24.14</v>
          </cell>
          <cell r="G1082">
            <v>0</v>
          </cell>
          <cell r="H1082" t="str">
            <v>60/61</v>
          </cell>
        </row>
        <row r="1083">
          <cell r="F1083">
            <v>239.25</v>
          </cell>
          <cell r="G1083">
            <v>0</v>
          </cell>
          <cell r="H1083" t="str">
            <v>60/61</v>
          </cell>
        </row>
        <row r="1084">
          <cell r="F1084">
            <v>2680.73</v>
          </cell>
          <cell r="G1084">
            <v>0</v>
          </cell>
          <cell r="H1084" t="str">
            <v>60/61</v>
          </cell>
        </row>
        <row r="1085">
          <cell r="F1085">
            <v>114.21</v>
          </cell>
          <cell r="G1085">
            <v>0</v>
          </cell>
          <cell r="H1085" t="str">
            <v>60/61</v>
          </cell>
        </row>
        <row r="1086">
          <cell r="F1086">
            <v>28.25</v>
          </cell>
          <cell r="G1086">
            <v>0</v>
          </cell>
          <cell r="H1086" t="str">
            <v>60/61</v>
          </cell>
        </row>
        <row r="1087">
          <cell r="F1087">
            <v>258.94</v>
          </cell>
          <cell r="G1087">
            <v>0</v>
          </cell>
          <cell r="H1087" t="str">
            <v>60/61</v>
          </cell>
        </row>
        <row r="1088">
          <cell r="F1088">
            <v>1280.9000000000001</v>
          </cell>
          <cell r="G1088">
            <v>0</v>
          </cell>
          <cell r="H1088" t="str">
            <v>60/61</v>
          </cell>
        </row>
        <row r="1089">
          <cell r="F1089">
            <v>144.72</v>
          </cell>
          <cell r="G1089">
            <v>0</v>
          </cell>
          <cell r="H1089" t="str">
            <v>60/61</v>
          </cell>
        </row>
        <row r="1090">
          <cell r="F1090">
            <v>679.9</v>
          </cell>
          <cell r="G1090">
            <v>0</v>
          </cell>
          <cell r="H1090" t="str">
            <v>60/61</v>
          </cell>
        </row>
        <row r="1091">
          <cell r="F1091">
            <v>231.92</v>
          </cell>
          <cell r="G1091">
            <v>0</v>
          </cell>
          <cell r="H1091" t="str">
            <v>60/61</v>
          </cell>
        </row>
        <row r="1092">
          <cell r="F1092">
            <v>56.39</v>
          </cell>
          <cell r="G1092">
            <v>0</v>
          </cell>
          <cell r="H1092" t="str">
            <v>60/61</v>
          </cell>
        </row>
        <row r="1093">
          <cell r="F1093">
            <v>6.9</v>
          </cell>
          <cell r="G1093">
            <v>0</v>
          </cell>
          <cell r="H1093" t="str">
            <v>60/61</v>
          </cell>
        </row>
        <row r="1094">
          <cell r="F1094">
            <v>1715.1</v>
          </cell>
          <cell r="G1094">
            <v>0</v>
          </cell>
          <cell r="H1094" t="str">
            <v>60/61</v>
          </cell>
        </row>
        <row r="1095">
          <cell r="F1095">
            <v>10.19</v>
          </cell>
          <cell r="G1095">
            <v>0</v>
          </cell>
          <cell r="H1095" t="str">
            <v>60/61</v>
          </cell>
        </row>
        <row r="1096">
          <cell r="F1096">
            <v>94.36</v>
          </cell>
          <cell r="G1096">
            <v>0</v>
          </cell>
          <cell r="H1096" t="str">
            <v>60/61</v>
          </cell>
        </row>
        <row r="1097">
          <cell r="F1097">
            <v>430.02</v>
          </cell>
          <cell r="G1097">
            <v>0</v>
          </cell>
          <cell r="H1097" t="str">
            <v>60/61</v>
          </cell>
        </row>
        <row r="1098">
          <cell r="F1098">
            <v>993.82</v>
          </cell>
          <cell r="G1098">
            <v>0</v>
          </cell>
          <cell r="H1098" t="str">
            <v>60/61</v>
          </cell>
        </row>
        <row r="1099">
          <cell r="F1099">
            <v>478.95</v>
          </cell>
          <cell r="G1099">
            <v>0</v>
          </cell>
          <cell r="H1099" t="str">
            <v>60/61</v>
          </cell>
        </row>
        <row r="1100">
          <cell r="F1100">
            <v>1388.8600000000001</v>
          </cell>
          <cell r="G1100">
            <v>0</v>
          </cell>
          <cell r="H1100" t="str">
            <v>60/61</v>
          </cell>
        </row>
        <row r="1101">
          <cell r="F1101">
            <v>504.27</v>
          </cell>
          <cell r="G1101">
            <v>0</v>
          </cell>
          <cell r="H1101" t="str">
            <v>60/61</v>
          </cell>
        </row>
        <row r="1102">
          <cell r="F1102">
            <v>1373.02</v>
          </cell>
          <cell r="G1102">
            <v>0</v>
          </cell>
          <cell r="H1102" t="str">
            <v>60/61</v>
          </cell>
        </row>
        <row r="1103">
          <cell r="F1103">
            <v>98.23</v>
          </cell>
          <cell r="G1103">
            <v>0</v>
          </cell>
          <cell r="H1103" t="str">
            <v>60/61</v>
          </cell>
        </row>
        <row r="1104">
          <cell r="F1104">
            <v>102.13</v>
          </cell>
          <cell r="G1104">
            <v>0</v>
          </cell>
          <cell r="H1104" t="str">
            <v>60/61</v>
          </cell>
        </row>
        <row r="1105">
          <cell r="F1105">
            <v>870.92</v>
          </cell>
          <cell r="G1105">
            <v>0</v>
          </cell>
          <cell r="H1105" t="str">
            <v>60/61</v>
          </cell>
        </row>
        <row r="1106">
          <cell r="F1106">
            <v>5789.2099999999991</v>
          </cell>
          <cell r="G1106">
            <v>0</v>
          </cell>
          <cell r="H1106" t="str">
            <v>60/61</v>
          </cell>
        </row>
        <row r="1107">
          <cell r="F1107">
            <v>1964.2800000000002</v>
          </cell>
          <cell r="G1107">
            <v>0</v>
          </cell>
          <cell r="H1107" t="str">
            <v>60/61</v>
          </cell>
        </row>
        <row r="1108">
          <cell r="F1108">
            <v>1889.41</v>
          </cell>
          <cell r="G1108">
            <v>0</v>
          </cell>
          <cell r="H1108" t="str">
            <v>60/61</v>
          </cell>
        </row>
        <row r="1109">
          <cell r="F1109">
            <v>235</v>
          </cell>
          <cell r="G1109">
            <v>0</v>
          </cell>
          <cell r="H1109" t="str">
            <v>60/61</v>
          </cell>
        </row>
        <row r="1110">
          <cell r="F1110">
            <v>1523.23</v>
          </cell>
          <cell r="G1110">
            <v>0</v>
          </cell>
          <cell r="H1110" t="str">
            <v>60/61</v>
          </cell>
        </row>
        <row r="1111">
          <cell r="F1111">
            <v>42.59</v>
          </cell>
          <cell r="G1111">
            <v>0</v>
          </cell>
          <cell r="H1111" t="str">
            <v>60/61</v>
          </cell>
        </row>
        <row r="1112">
          <cell r="F1112">
            <v>48.76</v>
          </cell>
          <cell r="G1112">
            <v>0</v>
          </cell>
          <cell r="H1112" t="str">
            <v>60/61</v>
          </cell>
        </row>
        <row r="1113">
          <cell r="F1113">
            <v>76.23</v>
          </cell>
          <cell r="G1113">
            <v>0</v>
          </cell>
          <cell r="H1113" t="str">
            <v>60/61</v>
          </cell>
        </row>
        <row r="1114">
          <cell r="F1114">
            <v>194.37</v>
          </cell>
          <cell r="G1114">
            <v>0</v>
          </cell>
          <cell r="H1114" t="str">
            <v>60/61</v>
          </cell>
        </row>
        <row r="1115">
          <cell r="F1115">
            <v>173.33</v>
          </cell>
          <cell r="G1115">
            <v>0</v>
          </cell>
          <cell r="H1115" t="str">
            <v>60/61</v>
          </cell>
        </row>
        <row r="1116">
          <cell r="F1116">
            <v>108.32</v>
          </cell>
          <cell r="G1116">
            <v>0</v>
          </cell>
          <cell r="H1116" t="str">
            <v>60/61</v>
          </cell>
        </row>
        <row r="1117">
          <cell r="F1117">
            <v>-6125.4</v>
          </cell>
          <cell r="G1117">
            <v>0</v>
          </cell>
          <cell r="H1117" t="str">
            <v>60/61</v>
          </cell>
        </row>
        <row r="1118">
          <cell r="F1118">
            <v>10493.68</v>
          </cell>
          <cell r="G1118">
            <v>0</v>
          </cell>
          <cell r="H1118" t="str">
            <v>60/61</v>
          </cell>
        </row>
        <row r="1119">
          <cell r="F1119">
            <v>970.57</v>
          </cell>
          <cell r="G1119">
            <v>0</v>
          </cell>
          <cell r="H1119" t="str">
            <v>60/61</v>
          </cell>
        </row>
        <row r="1120">
          <cell r="F1120">
            <v>2184</v>
          </cell>
          <cell r="G1120">
            <v>0</v>
          </cell>
          <cell r="H1120" t="str">
            <v>60/61</v>
          </cell>
        </row>
        <row r="1121">
          <cell r="F1121">
            <v>205.96</v>
          </cell>
          <cell r="G1121">
            <v>0</v>
          </cell>
          <cell r="H1121" t="str">
            <v>60/61</v>
          </cell>
        </row>
        <row r="1122">
          <cell r="F1122">
            <v>1105.9100000000001</v>
          </cell>
          <cell r="G1122">
            <v>0</v>
          </cell>
          <cell r="H1122" t="str">
            <v>60/61</v>
          </cell>
        </row>
        <row r="1123">
          <cell r="F1123">
            <v>138.9</v>
          </cell>
          <cell r="G1123">
            <v>0</v>
          </cell>
          <cell r="H1123" t="str">
            <v>60/61</v>
          </cell>
        </row>
        <row r="1124">
          <cell r="F1124">
            <v>0</v>
          </cell>
          <cell r="G1124">
            <v>0</v>
          </cell>
          <cell r="H1124" t="str">
            <v>60/61</v>
          </cell>
        </row>
        <row r="1125">
          <cell r="F1125">
            <v>8606.52</v>
          </cell>
          <cell r="G1125">
            <v>0</v>
          </cell>
          <cell r="H1125" t="str">
            <v>60/61</v>
          </cell>
        </row>
        <row r="1126">
          <cell r="F1126">
            <v>2930.56</v>
          </cell>
          <cell r="G1126">
            <v>0</v>
          </cell>
          <cell r="H1126" t="str">
            <v>60/61</v>
          </cell>
        </row>
        <row r="1127">
          <cell r="F1127">
            <v>2332.34</v>
          </cell>
          <cell r="G1127">
            <v>0</v>
          </cell>
          <cell r="H1127" t="str">
            <v>60/61</v>
          </cell>
        </row>
        <row r="1128">
          <cell r="F1128">
            <v>0</v>
          </cell>
          <cell r="G1128">
            <v>0</v>
          </cell>
          <cell r="H1128" t="str">
            <v>60/61</v>
          </cell>
        </row>
        <row r="1129">
          <cell r="F1129">
            <v>5645.93</v>
          </cell>
          <cell r="G1129">
            <v>0</v>
          </cell>
          <cell r="H1129" t="str">
            <v>60/61</v>
          </cell>
        </row>
        <row r="1130">
          <cell r="F1130">
            <v>1288</v>
          </cell>
          <cell r="G1130">
            <v>0</v>
          </cell>
          <cell r="H1130" t="str">
            <v>60/61</v>
          </cell>
        </row>
        <row r="1131">
          <cell r="F1131">
            <v>3407.04</v>
          </cell>
          <cell r="G1131">
            <v>0</v>
          </cell>
          <cell r="H1131" t="str">
            <v>60/61</v>
          </cell>
        </row>
        <row r="1132">
          <cell r="F1132">
            <v>1412.74</v>
          </cell>
          <cell r="G1132">
            <v>0</v>
          </cell>
          <cell r="H1132" t="str">
            <v>60/61</v>
          </cell>
        </row>
        <row r="1133">
          <cell r="F1133">
            <v>3386.66</v>
          </cell>
          <cell r="G1133">
            <v>0</v>
          </cell>
          <cell r="H1133" t="str">
            <v>60/61</v>
          </cell>
        </row>
        <row r="1134">
          <cell r="F1134">
            <v>2912</v>
          </cell>
          <cell r="G1134">
            <v>0</v>
          </cell>
          <cell r="H1134" t="str">
            <v>60/61</v>
          </cell>
        </row>
        <row r="1135">
          <cell r="F1135">
            <v>2912</v>
          </cell>
          <cell r="G1135">
            <v>0</v>
          </cell>
          <cell r="H1135" t="str">
            <v>60/61</v>
          </cell>
        </row>
        <row r="1136">
          <cell r="F1136">
            <v>1139.48</v>
          </cell>
          <cell r="G1136">
            <v>0</v>
          </cell>
          <cell r="H1136" t="str">
            <v>60/61</v>
          </cell>
        </row>
        <row r="1137">
          <cell r="F1137">
            <v>4086.99</v>
          </cell>
          <cell r="G1137">
            <v>0</v>
          </cell>
          <cell r="H1137" t="str">
            <v>60/61</v>
          </cell>
        </row>
        <row r="1138">
          <cell r="F1138">
            <v>1456</v>
          </cell>
          <cell r="G1138">
            <v>0</v>
          </cell>
          <cell r="H1138" t="str">
            <v>60/61</v>
          </cell>
        </row>
        <row r="1139">
          <cell r="F1139">
            <v>292.95</v>
          </cell>
          <cell r="G1139">
            <v>0</v>
          </cell>
          <cell r="H1139" t="str">
            <v>60/61</v>
          </cell>
        </row>
        <row r="1140">
          <cell r="F1140">
            <v>11474.67</v>
          </cell>
          <cell r="G1140">
            <v>0</v>
          </cell>
          <cell r="H1140" t="str">
            <v>60/61</v>
          </cell>
        </row>
        <row r="1141">
          <cell r="F1141">
            <v>15868.05</v>
          </cell>
          <cell r="G1141">
            <v>0</v>
          </cell>
          <cell r="H1141" t="str">
            <v>60/61</v>
          </cell>
        </row>
        <row r="1142">
          <cell r="F1142">
            <v>611.52</v>
          </cell>
          <cell r="G1142">
            <v>0</v>
          </cell>
          <cell r="H1142" t="str">
            <v>60/61</v>
          </cell>
        </row>
        <row r="1143">
          <cell r="F1143">
            <v>3860.49</v>
          </cell>
          <cell r="G1143">
            <v>0</v>
          </cell>
          <cell r="H1143" t="str">
            <v>60/61</v>
          </cell>
        </row>
        <row r="1144">
          <cell r="F1144">
            <v>2679.04</v>
          </cell>
          <cell r="G1144">
            <v>0</v>
          </cell>
          <cell r="H1144" t="str">
            <v>60/61</v>
          </cell>
        </row>
        <row r="1145">
          <cell r="F1145">
            <v>637.39</v>
          </cell>
          <cell r="G1145">
            <v>0</v>
          </cell>
          <cell r="H1145" t="str">
            <v>60/61</v>
          </cell>
        </row>
        <row r="1146">
          <cell r="F1146">
            <v>2912</v>
          </cell>
          <cell r="G1146">
            <v>0</v>
          </cell>
          <cell r="H1146" t="str">
            <v>60/61</v>
          </cell>
        </row>
        <row r="1147">
          <cell r="F1147">
            <v>341.29</v>
          </cell>
          <cell r="G1147">
            <v>0</v>
          </cell>
          <cell r="H1147" t="str">
            <v>60/61</v>
          </cell>
        </row>
        <row r="1148">
          <cell r="F1148">
            <v>2186.04</v>
          </cell>
          <cell r="G1148">
            <v>0</v>
          </cell>
          <cell r="H1148" t="str">
            <v>60/61</v>
          </cell>
        </row>
        <row r="1149">
          <cell r="F1149">
            <v>8783.35</v>
          </cell>
          <cell r="G1149">
            <v>0</v>
          </cell>
          <cell r="H1149" t="str">
            <v>60/61</v>
          </cell>
        </row>
        <row r="1150">
          <cell r="F1150">
            <v>8098.61</v>
          </cell>
          <cell r="G1150">
            <v>0</v>
          </cell>
          <cell r="H1150" t="str">
            <v>60/61</v>
          </cell>
        </row>
        <row r="1151">
          <cell r="F1151">
            <v>3298.25</v>
          </cell>
          <cell r="G1151">
            <v>0</v>
          </cell>
          <cell r="H1151" t="str">
            <v>60/61</v>
          </cell>
        </row>
        <row r="1152">
          <cell r="F1152">
            <v>1941.43</v>
          </cell>
          <cell r="G1152">
            <v>0</v>
          </cell>
          <cell r="H1152" t="str">
            <v>60/61</v>
          </cell>
        </row>
        <row r="1153">
          <cell r="F1153">
            <v>5824</v>
          </cell>
          <cell r="G1153">
            <v>0</v>
          </cell>
          <cell r="H1153" t="str">
            <v>60/61</v>
          </cell>
        </row>
        <row r="1154">
          <cell r="F1154">
            <v>208.2</v>
          </cell>
          <cell r="G1154">
            <v>0</v>
          </cell>
          <cell r="H1154" t="str">
            <v>60/61</v>
          </cell>
        </row>
        <row r="1155">
          <cell r="F1155">
            <v>564.8900000000001</v>
          </cell>
          <cell r="G1155">
            <v>0</v>
          </cell>
          <cell r="H1155" t="str">
            <v>60/61</v>
          </cell>
        </row>
        <row r="1156">
          <cell r="F1156">
            <v>603.66</v>
          </cell>
          <cell r="G1156">
            <v>0</v>
          </cell>
          <cell r="H1156" t="str">
            <v>60/61</v>
          </cell>
        </row>
        <row r="1157">
          <cell r="F1157">
            <v>728</v>
          </cell>
          <cell r="G1157">
            <v>0</v>
          </cell>
          <cell r="H1157" t="str">
            <v>60/61</v>
          </cell>
        </row>
        <row r="1158">
          <cell r="F1158">
            <v>7219.72</v>
          </cell>
          <cell r="G1158">
            <v>0</v>
          </cell>
          <cell r="H1158" t="str">
            <v>60/61</v>
          </cell>
        </row>
        <row r="1159">
          <cell r="F1159">
            <v>3649.46</v>
          </cell>
          <cell r="G1159">
            <v>0</v>
          </cell>
          <cell r="H1159" t="str">
            <v>60/61</v>
          </cell>
        </row>
        <row r="1160">
          <cell r="F1160">
            <v>1358.31</v>
          </cell>
          <cell r="G1160">
            <v>0</v>
          </cell>
          <cell r="H1160" t="str">
            <v>60/61</v>
          </cell>
        </row>
        <row r="1161">
          <cell r="F1161">
            <v>5193.7299999999996</v>
          </cell>
          <cell r="G1161">
            <v>0</v>
          </cell>
          <cell r="H1161" t="str">
            <v>60/61</v>
          </cell>
        </row>
        <row r="1162">
          <cell r="F1162">
            <v>0</v>
          </cell>
          <cell r="G1162">
            <v>0</v>
          </cell>
          <cell r="H1162" t="str">
            <v>60/61</v>
          </cell>
        </row>
        <row r="1163">
          <cell r="F1163">
            <v>4093.47</v>
          </cell>
          <cell r="G1163">
            <v>0</v>
          </cell>
          <cell r="H1163" t="str">
            <v>60/61</v>
          </cell>
        </row>
        <row r="1164">
          <cell r="F1164">
            <v>2912</v>
          </cell>
          <cell r="G1164">
            <v>0</v>
          </cell>
          <cell r="H1164" t="str">
            <v>60/61</v>
          </cell>
        </row>
        <row r="1165">
          <cell r="F1165">
            <v>433.01</v>
          </cell>
          <cell r="G1165">
            <v>0</v>
          </cell>
          <cell r="H1165" t="str">
            <v>60/61</v>
          </cell>
        </row>
        <row r="1166">
          <cell r="F1166">
            <v>9.1</v>
          </cell>
          <cell r="G1166">
            <v>0</v>
          </cell>
          <cell r="H1166" t="str">
            <v>60/61</v>
          </cell>
        </row>
        <row r="1167">
          <cell r="F1167">
            <v>1456</v>
          </cell>
          <cell r="G1167">
            <v>0</v>
          </cell>
          <cell r="H1167" t="str">
            <v>60/61</v>
          </cell>
        </row>
        <row r="1168">
          <cell r="F1168">
            <v>2415.8799999999997</v>
          </cell>
          <cell r="G1168">
            <v>0</v>
          </cell>
          <cell r="H1168" t="str">
            <v>60/61</v>
          </cell>
        </row>
        <row r="1169">
          <cell r="F1169">
            <v>892.81</v>
          </cell>
          <cell r="G1169">
            <v>0</v>
          </cell>
          <cell r="H1169" t="str">
            <v>60/61</v>
          </cell>
        </row>
        <row r="1170">
          <cell r="F1170">
            <v>191.37</v>
          </cell>
          <cell r="G1170">
            <v>0</v>
          </cell>
          <cell r="H1170" t="str">
            <v>60/61</v>
          </cell>
        </row>
        <row r="1171">
          <cell r="F1171">
            <v>12350.4</v>
          </cell>
          <cell r="G1171">
            <v>0</v>
          </cell>
          <cell r="H1171" t="str">
            <v>60/61</v>
          </cell>
        </row>
        <row r="1172">
          <cell r="F1172">
            <v>2912</v>
          </cell>
          <cell r="G1172">
            <v>0</v>
          </cell>
          <cell r="H1172" t="str">
            <v>60/61</v>
          </cell>
        </row>
        <row r="1173">
          <cell r="F1173">
            <v>185.48</v>
          </cell>
          <cell r="G1173">
            <v>0</v>
          </cell>
          <cell r="H1173" t="str">
            <v>60/61</v>
          </cell>
        </row>
        <row r="1174">
          <cell r="F1174">
            <v>1153.8400000000001</v>
          </cell>
          <cell r="G1174">
            <v>0</v>
          </cell>
          <cell r="H1174" t="str">
            <v>60/61</v>
          </cell>
        </row>
        <row r="1175">
          <cell r="F1175">
            <v>2912</v>
          </cell>
          <cell r="G1175">
            <v>0</v>
          </cell>
          <cell r="H1175" t="str">
            <v>60/61</v>
          </cell>
        </row>
        <row r="1176">
          <cell r="F1176">
            <v>6978.32</v>
          </cell>
          <cell r="G1176">
            <v>0</v>
          </cell>
          <cell r="H1176" t="str">
            <v>60/61</v>
          </cell>
        </row>
        <row r="1177">
          <cell r="F1177">
            <v>9154.0400000000009</v>
          </cell>
          <cell r="G1177">
            <v>0</v>
          </cell>
          <cell r="H1177" t="str">
            <v>60/61</v>
          </cell>
        </row>
        <row r="1178">
          <cell r="F1178">
            <v>2081.66</v>
          </cell>
          <cell r="G1178">
            <v>0</v>
          </cell>
          <cell r="H1178" t="str">
            <v>60/61</v>
          </cell>
        </row>
        <row r="1179">
          <cell r="F1179">
            <v>4183.63</v>
          </cell>
          <cell r="G1179">
            <v>0</v>
          </cell>
          <cell r="H1179" t="str">
            <v>60/61</v>
          </cell>
        </row>
        <row r="1180">
          <cell r="F1180">
            <v>178.07</v>
          </cell>
          <cell r="G1180">
            <v>0</v>
          </cell>
          <cell r="H1180" t="str">
            <v>60/61</v>
          </cell>
        </row>
        <row r="1181">
          <cell r="F1181">
            <v>5756.97</v>
          </cell>
          <cell r="G1181">
            <v>0</v>
          </cell>
          <cell r="H1181" t="str">
            <v>60/61</v>
          </cell>
        </row>
        <row r="1182">
          <cell r="F1182">
            <v>1847.88</v>
          </cell>
          <cell r="G1182">
            <v>0</v>
          </cell>
          <cell r="H1182" t="str">
            <v>60/61</v>
          </cell>
        </row>
        <row r="1183">
          <cell r="F1183">
            <v>11844</v>
          </cell>
          <cell r="G1183">
            <v>0</v>
          </cell>
          <cell r="H1183" t="str">
            <v>60/61</v>
          </cell>
        </row>
        <row r="1184">
          <cell r="F1184">
            <v>1772.52</v>
          </cell>
          <cell r="G1184">
            <v>0</v>
          </cell>
          <cell r="H1184" t="str">
            <v>60/61</v>
          </cell>
        </row>
        <row r="1185">
          <cell r="F1185">
            <v>5824</v>
          </cell>
          <cell r="G1185">
            <v>0</v>
          </cell>
          <cell r="H1185" t="str">
            <v>60/61</v>
          </cell>
        </row>
        <row r="1186">
          <cell r="F1186">
            <v>2086.27</v>
          </cell>
          <cell r="G1186">
            <v>0</v>
          </cell>
          <cell r="H1186" t="str">
            <v>60/61</v>
          </cell>
        </row>
        <row r="1187">
          <cell r="F1187">
            <v>147.94999999999999</v>
          </cell>
          <cell r="G1187">
            <v>0</v>
          </cell>
          <cell r="H1187" t="str">
            <v>60/61</v>
          </cell>
        </row>
        <row r="1188">
          <cell r="F1188">
            <v>680.65</v>
          </cell>
          <cell r="G1188">
            <v>0</v>
          </cell>
          <cell r="H1188" t="str">
            <v>60/61</v>
          </cell>
        </row>
        <row r="1189">
          <cell r="F1189">
            <v>277.52</v>
          </cell>
          <cell r="G1189">
            <v>0</v>
          </cell>
          <cell r="H1189" t="str">
            <v>60/61</v>
          </cell>
        </row>
        <row r="1190">
          <cell r="F1190">
            <v>1151.7299999999998</v>
          </cell>
          <cell r="G1190">
            <v>0</v>
          </cell>
          <cell r="H1190" t="str">
            <v>60/61</v>
          </cell>
        </row>
        <row r="1191">
          <cell r="F1191">
            <v>766.58</v>
          </cell>
          <cell r="G1191">
            <v>0</v>
          </cell>
          <cell r="H1191" t="str">
            <v>60/61</v>
          </cell>
        </row>
        <row r="1192">
          <cell r="F1192">
            <v>147.30000000000001</v>
          </cell>
          <cell r="G1192">
            <v>0</v>
          </cell>
          <cell r="H1192" t="str">
            <v>60/61</v>
          </cell>
        </row>
        <row r="1193">
          <cell r="F1193">
            <v>34.840000000000003</v>
          </cell>
          <cell r="G1193">
            <v>0</v>
          </cell>
          <cell r="H1193" t="str">
            <v>60/61</v>
          </cell>
        </row>
        <row r="1194">
          <cell r="F1194">
            <v>405.99</v>
          </cell>
          <cell r="G1194">
            <v>0</v>
          </cell>
          <cell r="H1194" t="str">
            <v>60/61</v>
          </cell>
        </row>
        <row r="1195">
          <cell r="F1195">
            <v>13248.95</v>
          </cell>
          <cell r="G1195">
            <v>0</v>
          </cell>
          <cell r="H1195" t="str">
            <v>60/61</v>
          </cell>
        </row>
        <row r="1196">
          <cell r="F1196">
            <v>24.87</v>
          </cell>
          <cell r="G1196">
            <v>0</v>
          </cell>
          <cell r="H1196" t="str">
            <v>60/61</v>
          </cell>
        </row>
        <row r="1197">
          <cell r="F1197">
            <v>3039.65</v>
          </cell>
          <cell r="G1197">
            <v>0</v>
          </cell>
          <cell r="H1197" t="str">
            <v>60/61</v>
          </cell>
        </row>
        <row r="1198">
          <cell r="F1198">
            <v>23.72</v>
          </cell>
          <cell r="G1198">
            <v>0</v>
          </cell>
          <cell r="H1198" t="str">
            <v>60/61</v>
          </cell>
        </row>
        <row r="1199">
          <cell r="F1199">
            <v>74.400000000000006</v>
          </cell>
          <cell r="G1199">
            <v>0</v>
          </cell>
          <cell r="H1199" t="str">
            <v>60/61</v>
          </cell>
        </row>
        <row r="1200">
          <cell r="F1200">
            <v>21.25</v>
          </cell>
          <cell r="G1200">
            <v>0</v>
          </cell>
          <cell r="H1200" t="str">
            <v>60/61</v>
          </cell>
        </row>
        <row r="1201">
          <cell r="F1201">
            <v>275.39999999999998</v>
          </cell>
          <cell r="G1201">
            <v>0</v>
          </cell>
          <cell r="H1201" t="str">
            <v>60/61</v>
          </cell>
        </row>
        <row r="1202">
          <cell r="F1202">
            <v>513.16</v>
          </cell>
          <cell r="G1202">
            <v>0</v>
          </cell>
          <cell r="H1202" t="str">
            <v>60/61</v>
          </cell>
        </row>
        <row r="1203">
          <cell r="F1203">
            <v>79.28</v>
          </cell>
          <cell r="G1203">
            <v>0</v>
          </cell>
          <cell r="H1203" t="str">
            <v>60/61</v>
          </cell>
        </row>
        <row r="1204">
          <cell r="F1204">
            <v>68</v>
          </cell>
          <cell r="G1204">
            <v>0</v>
          </cell>
          <cell r="H1204" t="str">
            <v>60/61</v>
          </cell>
        </row>
        <row r="1205">
          <cell r="F1205">
            <v>14.44</v>
          </cell>
          <cell r="G1205">
            <v>0</v>
          </cell>
          <cell r="H1205" t="str">
            <v>60/61</v>
          </cell>
        </row>
        <row r="1206">
          <cell r="F1206">
            <v>389.02</v>
          </cell>
          <cell r="G1206">
            <v>0</v>
          </cell>
          <cell r="H1206" t="str">
            <v>60/61</v>
          </cell>
        </row>
        <row r="1207">
          <cell r="F1207">
            <v>20.93</v>
          </cell>
          <cell r="G1207">
            <v>0</v>
          </cell>
          <cell r="H1207" t="str">
            <v>60/61</v>
          </cell>
        </row>
        <row r="1208">
          <cell r="F1208">
            <v>0</v>
          </cell>
          <cell r="G1208">
            <v>0</v>
          </cell>
          <cell r="H1208" t="str">
            <v>60/61</v>
          </cell>
        </row>
        <row r="1209">
          <cell r="F1209">
            <v>17.11</v>
          </cell>
          <cell r="G1209">
            <v>0</v>
          </cell>
          <cell r="H1209" t="str">
            <v>60/61</v>
          </cell>
        </row>
        <row r="1210">
          <cell r="F1210">
            <v>118.06</v>
          </cell>
          <cell r="G1210">
            <v>0</v>
          </cell>
          <cell r="H1210" t="str">
            <v>60/61</v>
          </cell>
        </row>
        <row r="1211">
          <cell r="F1211">
            <v>159.65</v>
          </cell>
          <cell r="G1211">
            <v>0</v>
          </cell>
          <cell r="H1211" t="str">
            <v>60/61</v>
          </cell>
        </row>
        <row r="1212">
          <cell r="F1212">
            <v>2264.14</v>
          </cell>
          <cell r="G1212">
            <v>0</v>
          </cell>
          <cell r="H1212" t="str">
            <v>60/61</v>
          </cell>
        </row>
        <row r="1213">
          <cell r="F1213">
            <v>2.15</v>
          </cell>
          <cell r="G1213">
            <v>0</v>
          </cell>
          <cell r="H1213" t="str">
            <v>60/61</v>
          </cell>
        </row>
        <row r="1214">
          <cell r="F1214">
            <v>939.65</v>
          </cell>
          <cell r="G1214">
            <v>0</v>
          </cell>
          <cell r="H1214" t="str">
            <v>60/61</v>
          </cell>
        </row>
        <row r="1215">
          <cell r="F1215">
            <v>54</v>
          </cell>
          <cell r="G1215">
            <v>0</v>
          </cell>
          <cell r="H1215" t="str">
            <v>60/61</v>
          </cell>
        </row>
        <row r="1216">
          <cell r="F1216">
            <v>58.71</v>
          </cell>
          <cell r="G1216">
            <v>0</v>
          </cell>
          <cell r="H1216" t="str">
            <v>60/61</v>
          </cell>
        </row>
        <row r="1217">
          <cell r="F1217">
            <v>352.36</v>
          </cell>
          <cell r="G1217">
            <v>0</v>
          </cell>
          <cell r="H1217" t="str">
            <v>60/61</v>
          </cell>
        </row>
        <row r="1218">
          <cell r="F1218">
            <v>2828.23</v>
          </cell>
          <cell r="G1218">
            <v>0</v>
          </cell>
          <cell r="H1218" t="str">
            <v>60/61</v>
          </cell>
        </row>
        <row r="1219">
          <cell r="F1219">
            <v>34.96</v>
          </cell>
          <cell r="G1219">
            <v>0</v>
          </cell>
          <cell r="H1219" t="str">
            <v>60/61</v>
          </cell>
        </row>
        <row r="1220">
          <cell r="F1220">
            <v>245.59</v>
          </cell>
          <cell r="G1220">
            <v>0</v>
          </cell>
          <cell r="H1220" t="str">
            <v>60/61</v>
          </cell>
        </row>
        <row r="1221">
          <cell r="F1221">
            <v>4194.79</v>
          </cell>
          <cell r="G1221">
            <v>0</v>
          </cell>
          <cell r="H1221" t="str">
            <v>60/61</v>
          </cell>
        </row>
        <row r="1222">
          <cell r="F1222">
            <v>111.36</v>
          </cell>
          <cell r="G1222">
            <v>0</v>
          </cell>
          <cell r="H1222" t="str">
            <v>60/61</v>
          </cell>
        </row>
        <row r="1223">
          <cell r="F1223">
            <v>177.54</v>
          </cell>
          <cell r="G1223">
            <v>0</v>
          </cell>
          <cell r="H1223" t="str">
            <v>60/61</v>
          </cell>
        </row>
        <row r="1224">
          <cell r="F1224">
            <v>32.950000000000003</v>
          </cell>
          <cell r="G1224">
            <v>0</v>
          </cell>
          <cell r="H1224" t="str">
            <v>60/61</v>
          </cell>
        </row>
        <row r="1225">
          <cell r="F1225">
            <v>131.81</v>
          </cell>
          <cell r="G1225">
            <v>0</v>
          </cell>
          <cell r="H1225" t="str">
            <v>60/61</v>
          </cell>
        </row>
        <row r="1226">
          <cell r="F1226">
            <v>1.29</v>
          </cell>
          <cell r="G1226">
            <v>0</v>
          </cell>
          <cell r="H1226" t="str">
            <v>60/61</v>
          </cell>
        </row>
        <row r="1227">
          <cell r="F1227">
            <v>234.52</v>
          </cell>
          <cell r="G1227">
            <v>0</v>
          </cell>
          <cell r="H1227" t="str">
            <v>60/61</v>
          </cell>
        </row>
        <row r="1228">
          <cell r="F1228">
            <v>1080.9000000000001</v>
          </cell>
          <cell r="G1228">
            <v>0</v>
          </cell>
          <cell r="H1228" t="str">
            <v>60/61</v>
          </cell>
        </row>
        <row r="1229">
          <cell r="F1229">
            <v>71.38</v>
          </cell>
          <cell r="G1229">
            <v>0</v>
          </cell>
          <cell r="H1229" t="str">
            <v>60/61</v>
          </cell>
        </row>
        <row r="1230">
          <cell r="F1230">
            <v>5734.13</v>
          </cell>
          <cell r="G1230">
            <v>0</v>
          </cell>
          <cell r="H1230" t="str">
            <v>60/61</v>
          </cell>
        </row>
        <row r="1231">
          <cell r="F1231">
            <v>10.27</v>
          </cell>
          <cell r="G1231">
            <v>0</v>
          </cell>
          <cell r="H1231" t="str">
            <v>60/61</v>
          </cell>
        </row>
        <row r="1232">
          <cell r="F1232">
            <v>26.43</v>
          </cell>
          <cell r="G1232">
            <v>0</v>
          </cell>
          <cell r="H1232" t="str">
            <v>60/61</v>
          </cell>
        </row>
        <row r="1233">
          <cell r="F1233">
            <v>466.27</v>
          </cell>
          <cell r="G1233">
            <v>0</v>
          </cell>
          <cell r="H1233" t="str">
            <v>60/61</v>
          </cell>
        </row>
        <row r="1234">
          <cell r="F1234">
            <v>265.52</v>
          </cell>
          <cell r="G1234">
            <v>0</v>
          </cell>
          <cell r="H1234" t="str">
            <v>60/61</v>
          </cell>
        </row>
        <row r="1235">
          <cell r="F1235">
            <v>1248.01</v>
          </cell>
          <cell r="G1235">
            <v>0</v>
          </cell>
          <cell r="H1235" t="str">
            <v>60/61</v>
          </cell>
        </row>
        <row r="1236">
          <cell r="F1236">
            <v>51.31</v>
          </cell>
          <cell r="G1236">
            <v>0</v>
          </cell>
          <cell r="H1236" t="str">
            <v>60/61</v>
          </cell>
        </row>
        <row r="1237">
          <cell r="F1237">
            <v>168.48</v>
          </cell>
          <cell r="G1237">
            <v>0</v>
          </cell>
          <cell r="H1237" t="str">
            <v>60/61</v>
          </cell>
        </row>
        <row r="1238">
          <cell r="F1238">
            <v>9.09</v>
          </cell>
          <cell r="G1238">
            <v>0</v>
          </cell>
          <cell r="H1238" t="str">
            <v>60/61</v>
          </cell>
        </row>
        <row r="1239">
          <cell r="F1239">
            <v>1520.56</v>
          </cell>
          <cell r="G1239">
            <v>0</v>
          </cell>
          <cell r="H1239" t="str">
            <v>60/61</v>
          </cell>
        </row>
        <row r="1240">
          <cell r="F1240">
            <v>305.2</v>
          </cell>
          <cell r="G1240">
            <v>0</v>
          </cell>
          <cell r="H1240" t="str">
            <v>60/61</v>
          </cell>
        </row>
        <row r="1241">
          <cell r="F1241">
            <v>175.71</v>
          </cell>
          <cell r="G1241">
            <v>0</v>
          </cell>
          <cell r="H1241" t="str">
            <v>60/61</v>
          </cell>
        </row>
        <row r="1242">
          <cell r="F1242">
            <v>8.14</v>
          </cell>
          <cell r="G1242">
            <v>0</v>
          </cell>
          <cell r="H1242" t="str">
            <v>60/61</v>
          </cell>
        </row>
        <row r="1243">
          <cell r="F1243">
            <v>38.1</v>
          </cell>
          <cell r="G1243">
            <v>0</v>
          </cell>
          <cell r="H1243" t="str">
            <v>60/61</v>
          </cell>
        </row>
        <row r="1244">
          <cell r="F1244">
            <v>60.23</v>
          </cell>
          <cell r="G1244">
            <v>0</v>
          </cell>
          <cell r="H1244" t="str">
            <v>60/61</v>
          </cell>
        </row>
        <row r="1245">
          <cell r="F1245">
            <v>144.79</v>
          </cell>
          <cell r="G1245">
            <v>0</v>
          </cell>
          <cell r="H1245" t="str">
            <v>60/61</v>
          </cell>
        </row>
        <row r="1246">
          <cell r="F1246">
            <v>795.35</v>
          </cell>
          <cell r="G1246">
            <v>0</v>
          </cell>
          <cell r="H1246" t="str">
            <v>60/61</v>
          </cell>
        </row>
        <row r="1247">
          <cell r="F1247">
            <v>883.3</v>
          </cell>
          <cell r="G1247">
            <v>0</v>
          </cell>
          <cell r="H1247" t="str">
            <v>60/61</v>
          </cell>
        </row>
        <row r="1248">
          <cell r="F1248">
            <v>1490.82</v>
          </cell>
          <cell r="G1248">
            <v>0</v>
          </cell>
          <cell r="H1248" t="str">
            <v>60/61</v>
          </cell>
        </row>
        <row r="1249">
          <cell r="F1249">
            <v>23.56</v>
          </cell>
          <cell r="G1249">
            <v>0</v>
          </cell>
          <cell r="H1249" t="str">
            <v>60/61</v>
          </cell>
        </row>
        <row r="1250">
          <cell r="F1250">
            <v>2181.3200000000002</v>
          </cell>
          <cell r="G1250">
            <v>0</v>
          </cell>
          <cell r="H1250" t="str">
            <v>60/61</v>
          </cell>
        </row>
        <row r="1251">
          <cell r="F1251">
            <v>201.24</v>
          </cell>
          <cell r="G1251">
            <v>0</v>
          </cell>
          <cell r="H1251" t="str">
            <v>60/61</v>
          </cell>
        </row>
        <row r="1252">
          <cell r="F1252">
            <v>24.12</v>
          </cell>
          <cell r="G1252">
            <v>0</v>
          </cell>
          <cell r="H1252" t="str">
            <v>60/61</v>
          </cell>
        </row>
        <row r="1253">
          <cell r="F1253">
            <v>446.44</v>
          </cell>
          <cell r="G1253">
            <v>0</v>
          </cell>
          <cell r="H1253" t="str">
            <v>60/61</v>
          </cell>
        </row>
        <row r="1254">
          <cell r="F1254">
            <v>257.52999999999997</v>
          </cell>
          <cell r="G1254">
            <v>0</v>
          </cell>
          <cell r="H1254" t="str">
            <v>60/61</v>
          </cell>
        </row>
        <row r="1255">
          <cell r="F1255">
            <v>523.32000000000005</v>
          </cell>
          <cell r="G1255">
            <v>0</v>
          </cell>
          <cell r="H1255" t="str">
            <v>60/61</v>
          </cell>
        </row>
        <row r="1256">
          <cell r="F1256">
            <v>0.44</v>
          </cell>
          <cell r="G1256">
            <v>0</v>
          </cell>
          <cell r="H1256" t="str">
            <v>60/61</v>
          </cell>
        </row>
        <row r="1257">
          <cell r="F1257">
            <v>262.10000000000002</v>
          </cell>
          <cell r="G1257">
            <v>0</v>
          </cell>
          <cell r="H1257" t="str">
            <v>60/61</v>
          </cell>
        </row>
        <row r="1258">
          <cell r="F1258">
            <v>96.36</v>
          </cell>
          <cell r="G1258">
            <v>0</v>
          </cell>
          <cell r="H1258" t="str">
            <v>60/61</v>
          </cell>
        </row>
        <row r="1259">
          <cell r="F1259">
            <v>84.28</v>
          </cell>
          <cell r="G1259">
            <v>0</v>
          </cell>
          <cell r="H1259" t="str">
            <v>60/61</v>
          </cell>
        </row>
        <row r="1260">
          <cell r="F1260">
            <v>527.82000000000005</v>
          </cell>
          <cell r="G1260">
            <v>0</v>
          </cell>
          <cell r="H1260" t="str">
            <v>60/61</v>
          </cell>
        </row>
        <row r="1261">
          <cell r="F1261">
            <v>1674.8500000000001</v>
          </cell>
          <cell r="G1261">
            <v>0</v>
          </cell>
          <cell r="H1261" t="str">
            <v>60/61</v>
          </cell>
        </row>
        <row r="1262">
          <cell r="F1262">
            <v>283.5</v>
          </cell>
          <cell r="G1262">
            <v>0</v>
          </cell>
          <cell r="H1262" t="str">
            <v>60/61</v>
          </cell>
        </row>
        <row r="1263">
          <cell r="F1263">
            <v>1107.01</v>
          </cell>
          <cell r="G1263">
            <v>0</v>
          </cell>
          <cell r="H1263" t="str">
            <v>60/61</v>
          </cell>
        </row>
        <row r="1264">
          <cell r="F1264">
            <v>3065.98</v>
          </cell>
          <cell r="G1264">
            <v>0</v>
          </cell>
          <cell r="H1264" t="str">
            <v>60/61</v>
          </cell>
        </row>
        <row r="1265">
          <cell r="F1265">
            <v>209</v>
          </cell>
          <cell r="G1265">
            <v>0</v>
          </cell>
          <cell r="H1265" t="str">
            <v>60/61</v>
          </cell>
        </row>
        <row r="1266">
          <cell r="F1266">
            <v>352.85</v>
          </cell>
          <cell r="G1266">
            <v>0</v>
          </cell>
          <cell r="H1266" t="str">
            <v>60/61</v>
          </cell>
        </row>
        <row r="1267">
          <cell r="F1267">
            <v>122.78</v>
          </cell>
          <cell r="G1267">
            <v>0</v>
          </cell>
          <cell r="H1267" t="str">
            <v>60/61</v>
          </cell>
        </row>
        <row r="1268">
          <cell r="F1268">
            <v>31.83</v>
          </cell>
          <cell r="G1268">
            <v>0</v>
          </cell>
          <cell r="H1268" t="str">
            <v>60/61</v>
          </cell>
        </row>
        <row r="1269">
          <cell r="F1269">
            <v>5.24</v>
          </cell>
          <cell r="G1269">
            <v>0</v>
          </cell>
          <cell r="H1269" t="str">
            <v>60/61</v>
          </cell>
        </row>
        <row r="1270">
          <cell r="F1270">
            <v>24.51</v>
          </cell>
          <cell r="G1270">
            <v>0</v>
          </cell>
          <cell r="H1270" t="str">
            <v>60/61</v>
          </cell>
        </row>
        <row r="1271">
          <cell r="F1271">
            <v>8.4499999999999993</v>
          </cell>
          <cell r="G1271">
            <v>0</v>
          </cell>
          <cell r="H1271" t="str">
            <v>60/61</v>
          </cell>
        </row>
        <row r="1272">
          <cell r="F1272">
            <v>646.78</v>
          </cell>
          <cell r="G1272">
            <v>0</v>
          </cell>
          <cell r="H1272" t="str">
            <v>60/61</v>
          </cell>
        </row>
        <row r="1273">
          <cell r="F1273">
            <v>1066.8399999999999</v>
          </cell>
          <cell r="G1273">
            <v>0</v>
          </cell>
          <cell r="H1273" t="str">
            <v>60/61</v>
          </cell>
        </row>
        <row r="1274">
          <cell r="F1274">
            <v>1612.0900000000001</v>
          </cell>
          <cell r="G1274">
            <v>0</v>
          </cell>
          <cell r="H1274" t="str">
            <v>60/61</v>
          </cell>
        </row>
        <row r="1275">
          <cell r="F1275">
            <v>45.79</v>
          </cell>
          <cell r="G1275">
            <v>0</v>
          </cell>
          <cell r="H1275" t="str">
            <v>60/61</v>
          </cell>
        </row>
        <row r="1276">
          <cell r="F1276">
            <v>40.75</v>
          </cell>
          <cell r="G1276">
            <v>0</v>
          </cell>
          <cell r="H1276" t="str">
            <v>60/61</v>
          </cell>
        </row>
        <row r="1277">
          <cell r="F1277">
            <v>234.71</v>
          </cell>
          <cell r="G1277">
            <v>0</v>
          </cell>
          <cell r="H1277" t="str">
            <v>60/61</v>
          </cell>
        </row>
        <row r="1278">
          <cell r="F1278">
            <v>0</v>
          </cell>
          <cell r="G1278">
            <v>0</v>
          </cell>
          <cell r="H1278" t="str">
            <v>60/61</v>
          </cell>
        </row>
        <row r="1279">
          <cell r="F1279">
            <v>48.23</v>
          </cell>
          <cell r="G1279">
            <v>0</v>
          </cell>
          <cell r="H1279" t="str">
            <v>60/61</v>
          </cell>
        </row>
        <row r="1280">
          <cell r="F1280">
            <v>60.42</v>
          </cell>
          <cell r="G1280">
            <v>0</v>
          </cell>
          <cell r="H1280" t="str">
            <v>60/61</v>
          </cell>
        </row>
        <row r="1281">
          <cell r="F1281">
            <v>391.17</v>
          </cell>
          <cell r="G1281">
            <v>0</v>
          </cell>
          <cell r="H1281" t="str">
            <v>60/61</v>
          </cell>
        </row>
        <row r="1282">
          <cell r="F1282">
            <v>10.039999999999999</v>
          </cell>
          <cell r="G1282">
            <v>0</v>
          </cell>
          <cell r="H1282" t="str">
            <v>60/61</v>
          </cell>
        </row>
        <row r="1283">
          <cell r="F1283">
            <v>37.630000000000003</v>
          </cell>
          <cell r="G1283">
            <v>0</v>
          </cell>
          <cell r="H1283" t="str">
            <v>60/61</v>
          </cell>
        </row>
        <row r="1284">
          <cell r="F1284">
            <v>258.16000000000003</v>
          </cell>
          <cell r="G1284">
            <v>0</v>
          </cell>
          <cell r="H1284" t="str">
            <v>60/61</v>
          </cell>
        </row>
        <row r="1285">
          <cell r="F1285">
            <v>79.59</v>
          </cell>
          <cell r="G1285">
            <v>0</v>
          </cell>
          <cell r="H1285" t="str">
            <v>60/61</v>
          </cell>
        </row>
        <row r="1286">
          <cell r="F1286">
            <v>114.34</v>
          </cell>
          <cell r="G1286">
            <v>0</v>
          </cell>
          <cell r="H1286" t="str">
            <v>60/61</v>
          </cell>
        </row>
        <row r="1287">
          <cell r="F1287">
            <v>42.44</v>
          </cell>
          <cell r="G1287">
            <v>0</v>
          </cell>
          <cell r="H1287" t="str">
            <v>60/61</v>
          </cell>
        </row>
        <row r="1288">
          <cell r="F1288">
            <v>60.96</v>
          </cell>
          <cell r="G1288">
            <v>0</v>
          </cell>
          <cell r="H1288" t="str">
            <v>60/61</v>
          </cell>
        </row>
        <row r="1289">
          <cell r="F1289">
            <v>1457.3</v>
          </cell>
          <cell r="G1289">
            <v>0</v>
          </cell>
          <cell r="H1289" t="str">
            <v>60/61</v>
          </cell>
        </row>
        <row r="1290">
          <cell r="F1290">
            <v>1000.65</v>
          </cell>
          <cell r="G1290">
            <v>0</v>
          </cell>
          <cell r="H1290" t="str">
            <v>60/61</v>
          </cell>
        </row>
        <row r="1291">
          <cell r="F1291">
            <v>1592.2300000000005</v>
          </cell>
          <cell r="G1291">
            <v>0</v>
          </cell>
          <cell r="H1291" t="str">
            <v>60/61</v>
          </cell>
        </row>
        <row r="1292">
          <cell r="F1292">
            <v>27.56</v>
          </cell>
          <cell r="G1292">
            <v>0</v>
          </cell>
          <cell r="H1292" t="str">
            <v>60/61</v>
          </cell>
        </row>
        <row r="1293">
          <cell r="F1293">
            <v>1343.1</v>
          </cell>
          <cell r="G1293">
            <v>0</v>
          </cell>
          <cell r="H1293" t="str">
            <v>60/61</v>
          </cell>
        </row>
        <row r="1294">
          <cell r="F1294">
            <v>121</v>
          </cell>
          <cell r="G1294">
            <v>0</v>
          </cell>
          <cell r="H1294" t="str">
            <v>60/61</v>
          </cell>
        </row>
        <row r="1295">
          <cell r="F1295">
            <v>1040.6400000000001</v>
          </cell>
          <cell r="G1295">
            <v>0</v>
          </cell>
          <cell r="H1295" t="str">
            <v>60/61</v>
          </cell>
        </row>
        <row r="1296">
          <cell r="F1296">
            <v>48.36</v>
          </cell>
          <cell r="G1296">
            <v>0</v>
          </cell>
          <cell r="H1296" t="str">
            <v>60/61</v>
          </cell>
        </row>
        <row r="1297">
          <cell r="F1297">
            <v>1647.41</v>
          </cell>
          <cell r="G1297">
            <v>0</v>
          </cell>
          <cell r="H1297" t="str">
            <v>60/61</v>
          </cell>
        </row>
        <row r="1298">
          <cell r="F1298">
            <v>1830.09</v>
          </cell>
          <cell r="G1298">
            <v>0</v>
          </cell>
          <cell r="H1298" t="str">
            <v>60/61</v>
          </cell>
        </row>
        <row r="1299">
          <cell r="F1299">
            <v>17.8</v>
          </cell>
          <cell r="G1299">
            <v>0</v>
          </cell>
          <cell r="H1299" t="str">
            <v>60/61</v>
          </cell>
        </row>
        <row r="1300">
          <cell r="F1300">
            <v>436.83</v>
          </cell>
          <cell r="G1300">
            <v>0</v>
          </cell>
          <cell r="H1300" t="str">
            <v>60/61</v>
          </cell>
        </row>
        <row r="1301">
          <cell r="F1301">
            <v>354.15</v>
          </cell>
          <cell r="G1301">
            <v>0</v>
          </cell>
          <cell r="H1301" t="str">
            <v>60/61</v>
          </cell>
        </row>
        <row r="1302">
          <cell r="F1302">
            <v>11.22</v>
          </cell>
          <cell r="G1302">
            <v>0</v>
          </cell>
          <cell r="H1302" t="str">
            <v>60/61</v>
          </cell>
        </row>
        <row r="1303">
          <cell r="F1303">
            <v>18.739999999999998</v>
          </cell>
          <cell r="G1303">
            <v>0</v>
          </cell>
          <cell r="H1303" t="str">
            <v>60/61</v>
          </cell>
        </row>
        <row r="1304">
          <cell r="F1304">
            <v>1671.16</v>
          </cell>
          <cell r="G1304">
            <v>0</v>
          </cell>
          <cell r="H1304" t="str">
            <v>60/61</v>
          </cell>
        </row>
        <row r="1305">
          <cell r="F1305">
            <v>206.72</v>
          </cell>
          <cell r="G1305">
            <v>0</v>
          </cell>
          <cell r="H1305" t="str">
            <v>60/61</v>
          </cell>
        </row>
        <row r="1306">
          <cell r="F1306">
            <v>27.56</v>
          </cell>
          <cell r="G1306">
            <v>0</v>
          </cell>
          <cell r="H1306" t="str">
            <v>60/61</v>
          </cell>
        </row>
        <row r="1307">
          <cell r="F1307">
            <v>2365.15</v>
          </cell>
          <cell r="G1307">
            <v>0</v>
          </cell>
          <cell r="H1307" t="str">
            <v>60/61</v>
          </cell>
        </row>
        <row r="1308">
          <cell r="F1308">
            <v>96.48</v>
          </cell>
          <cell r="G1308">
            <v>0</v>
          </cell>
          <cell r="H1308" t="str">
            <v>60/61</v>
          </cell>
        </row>
        <row r="1309">
          <cell r="F1309">
            <v>20.03</v>
          </cell>
          <cell r="G1309">
            <v>0</v>
          </cell>
          <cell r="H1309" t="str">
            <v>60/61</v>
          </cell>
        </row>
        <row r="1310">
          <cell r="F1310">
            <v>1250</v>
          </cell>
          <cell r="G1310">
            <v>0</v>
          </cell>
          <cell r="H1310" t="str">
            <v>60/61</v>
          </cell>
        </row>
        <row r="1311">
          <cell r="F1311">
            <v>5805.13</v>
          </cell>
          <cell r="G1311">
            <v>0</v>
          </cell>
          <cell r="H1311" t="str">
            <v>60/61</v>
          </cell>
        </row>
        <row r="1312">
          <cell r="F1312">
            <v>14.72</v>
          </cell>
          <cell r="G1312">
            <v>0</v>
          </cell>
          <cell r="H1312" t="str">
            <v>60/61</v>
          </cell>
        </row>
        <row r="1313">
          <cell r="F1313">
            <v>977.99000000000024</v>
          </cell>
          <cell r="G1313">
            <v>0</v>
          </cell>
          <cell r="H1313" t="str">
            <v>60/61</v>
          </cell>
        </row>
        <row r="1314">
          <cell r="F1314">
            <v>244.29999999999995</v>
          </cell>
          <cell r="G1314">
            <v>0</v>
          </cell>
          <cell r="H1314" t="str">
            <v>60/61</v>
          </cell>
        </row>
        <row r="1315">
          <cell r="F1315">
            <v>466.3599999999999</v>
          </cell>
          <cell r="G1315">
            <v>0</v>
          </cell>
          <cell r="H1315" t="str">
            <v>60/61</v>
          </cell>
        </row>
        <row r="1316">
          <cell r="F1316">
            <v>413.95</v>
          </cell>
          <cell r="G1316">
            <v>0</v>
          </cell>
          <cell r="H1316" t="str">
            <v>60/61</v>
          </cell>
        </row>
        <row r="1317">
          <cell r="F1317">
            <v>1497.17</v>
          </cell>
          <cell r="G1317">
            <v>0</v>
          </cell>
          <cell r="H1317" t="str">
            <v>60/61</v>
          </cell>
        </row>
        <row r="1318">
          <cell r="F1318">
            <v>23.45</v>
          </cell>
          <cell r="G1318">
            <v>0</v>
          </cell>
          <cell r="H1318" t="str">
            <v>60/61</v>
          </cell>
        </row>
        <row r="1319">
          <cell r="F1319">
            <v>1535.28</v>
          </cell>
          <cell r="G1319">
            <v>0</v>
          </cell>
          <cell r="H1319" t="str">
            <v>60/61</v>
          </cell>
        </row>
        <row r="1320">
          <cell r="F1320">
            <v>56</v>
          </cell>
          <cell r="G1320">
            <v>0</v>
          </cell>
          <cell r="H1320" t="str">
            <v>60/61</v>
          </cell>
        </row>
        <row r="1321">
          <cell r="F1321">
            <v>979.67</v>
          </cell>
          <cell r="G1321">
            <v>0</v>
          </cell>
          <cell r="H1321" t="str">
            <v>60/61</v>
          </cell>
        </row>
        <row r="1322">
          <cell r="F1322">
            <v>862.99</v>
          </cell>
          <cell r="G1322">
            <v>0</v>
          </cell>
          <cell r="H1322" t="str">
            <v>60/61</v>
          </cell>
        </row>
        <row r="1323">
          <cell r="F1323">
            <v>51.7</v>
          </cell>
          <cell r="G1323">
            <v>0</v>
          </cell>
          <cell r="H1323" t="str">
            <v>60/61</v>
          </cell>
        </row>
        <row r="1324">
          <cell r="F1324">
            <v>3438.58</v>
          </cell>
          <cell r="G1324">
            <v>0</v>
          </cell>
          <cell r="H1324" t="str">
            <v>60/61</v>
          </cell>
        </row>
        <row r="1325">
          <cell r="F1325">
            <v>672.65</v>
          </cell>
          <cell r="G1325">
            <v>0</v>
          </cell>
          <cell r="H1325" t="str">
            <v>60/61</v>
          </cell>
        </row>
        <row r="1326">
          <cell r="F1326">
            <v>184.36</v>
          </cell>
          <cell r="G1326">
            <v>0</v>
          </cell>
          <cell r="H1326" t="str">
            <v>60/61</v>
          </cell>
        </row>
        <row r="1327">
          <cell r="F1327">
            <v>4081.74</v>
          </cell>
          <cell r="G1327">
            <v>0</v>
          </cell>
          <cell r="H1327" t="str">
            <v>60/61</v>
          </cell>
        </row>
        <row r="1328">
          <cell r="F1328">
            <v>803.22</v>
          </cell>
          <cell r="G1328">
            <v>0</v>
          </cell>
          <cell r="H1328" t="str">
            <v>60/61</v>
          </cell>
        </row>
        <row r="1329">
          <cell r="F1329">
            <v>1551.4199999999998</v>
          </cell>
          <cell r="G1329">
            <v>0</v>
          </cell>
          <cell r="H1329" t="str">
            <v>60/61</v>
          </cell>
        </row>
        <row r="1330">
          <cell r="F1330">
            <v>840.03</v>
          </cell>
          <cell r="G1330">
            <v>0</v>
          </cell>
          <cell r="H1330" t="str">
            <v>60/61</v>
          </cell>
        </row>
        <row r="1331">
          <cell r="F1331">
            <v>3012.1</v>
          </cell>
          <cell r="G1331">
            <v>0</v>
          </cell>
          <cell r="H1331" t="str">
            <v>60/61</v>
          </cell>
        </row>
        <row r="1332">
          <cell r="F1332">
            <v>271.02999999999997</v>
          </cell>
          <cell r="G1332">
            <v>0</v>
          </cell>
          <cell r="H1332" t="str">
            <v>60/61</v>
          </cell>
        </row>
        <row r="1333">
          <cell r="F1333">
            <v>447.83</v>
          </cell>
          <cell r="G1333">
            <v>0</v>
          </cell>
          <cell r="H1333" t="str">
            <v>60/61</v>
          </cell>
        </row>
        <row r="1334">
          <cell r="F1334">
            <v>1189.4100000000001</v>
          </cell>
          <cell r="G1334">
            <v>0</v>
          </cell>
          <cell r="H1334" t="str">
            <v>60/61</v>
          </cell>
        </row>
        <row r="1335">
          <cell r="F1335">
            <v>481.24</v>
          </cell>
          <cell r="G1335">
            <v>0</v>
          </cell>
          <cell r="H1335" t="str">
            <v>60/61</v>
          </cell>
        </row>
        <row r="1336">
          <cell r="F1336">
            <v>1189.3900000000001</v>
          </cell>
          <cell r="G1336">
            <v>0</v>
          </cell>
          <cell r="H1336" t="str">
            <v>60/61</v>
          </cell>
        </row>
        <row r="1337">
          <cell r="F1337">
            <v>796.3</v>
          </cell>
          <cell r="G1337">
            <v>0</v>
          </cell>
          <cell r="H1337" t="str">
            <v>60/61</v>
          </cell>
        </row>
        <row r="1338">
          <cell r="F1338">
            <v>43.96</v>
          </cell>
          <cell r="G1338">
            <v>0</v>
          </cell>
          <cell r="H1338" t="str">
            <v>60/61</v>
          </cell>
        </row>
        <row r="1339">
          <cell r="F1339">
            <v>543.24</v>
          </cell>
          <cell r="G1339">
            <v>0</v>
          </cell>
          <cell r="H1339" t="str">
            <v>60/61</v>
          </cell>
        </row>
        <row r="1340">
          <cell r="F1340">
            <v>382.55</v>
          </cell>
          <cell r="G1340">
            <v>0</v>
          </cell>
          <cell r="H1340" t="str">
            <v>60/61</v>
          </cell>
        </row>
        <row r="1341">
          <cell r="F1341">
            <v>42.13</v>
          </cell>
          <cell r="G1341">
            <v>0</v>
          </cell>
          <cell r="H1341" t="str">
            <v>60/61</v>
          </cell>
        </row>
        <row r="1342">
          <cell r="F1342">
            <v>1189.4100000000001</v>
          </cell>
          <cell r="G1342">
            <v>0</v>
          </cell>
          <cell r="H1342" t="str">
            <v>60/61</v>
          </cell>
        </row>
        <row r="1343">
          <cell r="F1343">
            <v>12.56</v>
          </cell>
          <cell r="G1343">
            <v>0</v>
          </cell>
          <cell r="H1343" t="str">
            <v>60/61</v>
          </cell>
        </row>
        <row r="1344">
          <cell r="F1344">
            <v>477.28</v>
          </cell>
          <cell r="G1344">
            <v>0</v>
          </cell>
          <cell r="H1344" t="str">
            <v>60/61</v>
          </cell>
        </row>
        <row r="1345">
          <cell r="F1345">
            <v>5416.1</v>
          </cell>
          <cell r="G1345">
            <v>0</v>
          </cell>
          <cell r="H1345" t="str">
            <v>60/61</v>
          </cell>
        </row>
        <row r="1346">
          <cell r="F1346">
            <v>0</v>
          </cell>
          <cell r="G1346">
            <v>0</v>
          </cell>
          <cell r="H1346" t="str">
            <v>60/61</v>
          </cell>
        </row>
        <row r="1347">
          <cell r="F1347">
            <v>398.15000000000003</v>
          </cell>
          <cell r="G1347">
            <v>0</v>
          </cell>
          <cell r="H1347" t="str">
            <v>60/61</v>
          </cell>
        </row>
        <row r="1348">
          <cell r="F1348">
            <v>1197.8499999999999</v>
          </cell>
          <cell r="G1348">
            <v>0</v>
          </cell>
          <cell r="H1348" t="str">
            <v>60/61</v>
          </cell>
        </row>
        <row r="1349">
          <cell r="F1349">
            <v>6963.71</v>
          </cell>
          <cell r="G1349">
            <v>0</v>
          </cell>
          <cell r="H1349" t="str">
            <v>60/61</v>
          </cell>
        </row>
        <row r="1350">
          <cell r="F1350">
            <v>94.2</v>
          </cell>
          <cell r="G1350">
            <v>0</v>
          </cell>
          <cell r="H1350" t="str">
            <v>60/61</v>
          </cell>
        </row>
        <row r="1351">
          <cell r="F1351">
            <v>87.87</v>
          </cell>
          <cell r="G1351">
            <v>0</v>
          </cell>
          <cell r="H1351" t="str">
            <v>60/61</v>
          </cell>
        </row>
        <row r="1352">
          <cell r="F1352">
            <v>20.25</v>
          </cell>
          <cell r="G1352">
            <v>0</v>
          </cell>
          <cell r="H1352" t="str">
            <v>60/61</v>
          </cell>
        </row>
        <row r="1353">
          <cell r="F1353">
            <v>9764.1899999999987</v>
          </cell>
          <cell r="G1353">
            <v>0</v>
          </cell>
          <cell r="H1353" t="str">
            <v>60/61</v>
          </cell>
        </row>
        <row r="1354">
          <cell r="F1354">
            <v>3722.81</v>
          </cell>
          <cell r="G1354">
            <v>0</v>
          </cell>
          <cell r="H1354" t="str">
            <v>60/61</v>
          </cell>
        </row>
        <row r="1355">
          <cell r="F1355">
            <v>577.49</v>
          </cell>
          <cell r="G1355">
            <v>0</v>
          </cell>
          <cell r="H1355" t="str">
            <v>60/61</v>
          </cell>
        </row>
        <row r="1356">
          <cell r="F1356">
            <v>0</v>
          </cell>
          <cell r="G1356">
            <v>0</v>
          </cell>
          <cell r="H1356" t="str">
            <v>60/61</v>
          </cell>
        </row>
        <row r="1357">
          <cell r="F1357">
            <v>129.97999999999999</v>
          </cell>
          <cell r="G1357">
            <v>0</v>
          </cell>
          <cell r="H1357" t="str">
            <v>60/61</v>
          </cell>
        </row>
        <row r="1358">
          <cell r="F1358">
            <v>36.82</v>
          </cell>
          <cell r="G1358">
            <v>0</v>
          </cell>
          <cell r="H1358" t="str">
            <v>60/61</v>
          </cell>
        </row>
        <row r="1359">
          <cell r="F1359">
            <v>59.79</v>
          </cell>
          <cell r="G1359">
            <v>0</v>
          </cell>
          <cell r="H1359" t="str">
            <v>60/61</v>
          </cell>
        </row>
        <row r="1360">
          <cell r="F1360">
            <v>47.13</v>
          </cell>
          <cell r="G1360">
            <v>0</v>
          </cell>
          <cell r="H1360" t="str">
            <v>60/61</v>
          </cell>
        </row>
        <row r="1361">
          <cell r="F1361">
            <v>19.649999999999999</v>
          </cell>
          <cell r="G1361">
            <v>0</v>
          </cell>
          <cell r="H1361" t="str">
            <v>60/61</v>
          </cell>
        </row>
        <row r="1362">
          <cell r="F1362">
            <v>403.97</v>
          </cell>
          <cell r="G1362">
            <v>0</v>
          </cell>
          <cell r="H1362" t="str">
            <v>60/61</v>
          </cell>
        </row>
        <row r="1363">
          <cell r="F1363">
            <v>21.36</v>
          </cell>
          <cell r="G1363">
            <v>0</v>
          </cell>
          <cell r="H1363" t="str">
            <v>60/61</v>
          </cell>
        </row>
        <row r="1364">
          <cell r="F1364">
            <v>54.62</v>
          </cell>
          <cell r="G1364">
            <v>0</v>
          </cell>
          <cell r="H1364" t="str">
            <v>60/61</v>
          </cell>
        </row>
        <row r="1365">
          <cell r="F1365">
            <v>151.94</v>
          </cell>
          <cell r="G1365">
            <v>0</v>
          </cell>
          <cell r="H1365" t="str">
            <v>60/61</v>
          </cell>
        </row>
        <row r="1366">
          <cell r="F1366">
            <v>9.3800000000000008</v>
          </cell>
          <cell r="G1366">
            <v>0</v>
          </cell>
          <cell r="H1366" t="str">
            <v>60/61</v>
          </cell>
        </row>
        <row r="1367">
          <cell r="F1367">
            <v>27.43</v>
          </cell>
          <cell r="G1367">
            <v>0</v>
          </cell>
          <cell r="H1367" t="str">
            <v>60/61</v>
          </cell>
        </row>
        <row r="1368">
          <cell r="F1368">
            <v>205.76</v>
          </cell>
          <cell r="G1368">
            <v>0</v>
          </cell>
          <cell r="H1368" t="str">
            <v>60/61</v>
          </cell>
        </row>
        <row r="1369">
          <cell r="F1369">
            <v>27.43</v>
          </cell>
          <cell r="G1369">
            <v>0</v>
          </cell>
          <cell r="H1369" t="str">
            <v>60/61</v>
          </cell>
        </row>
        <row r="1370">
          <cell r="F1370">
            <v>15.95</v>
          </cell>
          <cell r="G1370">
            <v>0</v>
          </cell>
          <cell r="H1370" t="str">
            <v>60/61</v>
          </cell>
        </row>
        <row r="1371">
          <cell r="F1371">
            <v>24.25</v>
          </cell>
          <cell r="G1371">
            <v>0</v>
          </cell>
          <cell r="H1371" t="str">
            <v>60/61</v>
          </cell>
        </row>
        <row r="1372">
          <cell r="F1372">
            <v>573.66999999999996</v>
          </cell>
          <cell r="G1372">
            <v>0</v>
          </cell>
          <cell r="H1372" t="str">
            <v>60/61</v>
          </cell>
        </row>
        <row r="1373">
          <cell r="F1373">
            <v>64.540000000000006</v>
          </cell>
          <cell r="G1373">
            <v>0</v>
          </cell>
          <cell r="H1373" t="str">
            <v>60/61</v>
          </cell>
        </row>
        <row r="1374">
          <cell r="F1374">
            <v>13.05</v>
          </cell>
          <cell r="G1374">
            <v>0</v>
          </cell>
          <cell r="H1374" t="str">
            <v>60/61</v>
          </cell>
        </row>
        <row r="1375">
          <cell r="F1375">
            <v>15.59</v>
          </cell>
          <cell r="G1375">
            <v>0</v>
          </cell>
          <cell r="H1375" t="str">
            <v>60/61</v>
          </cell>
        </row>
        <row r="1376">
          <cell r="F1376">
            <v>32.92</v>
          </cell>
          <cell r="G1376">
            <v>0</v>
          </cell>
          <cell r="H1376" t="str">
            <v>60/61</v>
          </cell>
        </row>
        <row r="1377">
          <cell r="F1377">
            <v>30.84</v>
          </cell>
          <cell r="G1377">
            <v>0</v>
          </cell>
          <cell r="H1377" t="str">
            <v>60/61</v>
          </cell>
        </row>
        <row r="1378">
          <cell r="F1378">
            <v>91.22</v>
          </cell>
          <cell r="G1378">
            <v>0</v>
          </cell>
          <cell r="H1378" t="str">
            <v>60/61</v>
          </cell>
        </row>
        <row r="1379">
          <cell r="F1379">
            <v>276.83000000000004</v>
          </cell>
          <cell r="G1379">
            <v>0</v>
          </cell>
          <cell r="H1379" t="str">
            <v>60/61</v>
          </cell>
        </row>
        <row r="1380">
          <cell r="F1380">
            <v>102.66</v>
          </cell>
          <cell r="G1380">
            <v>0</v>
          </cell>
          <cell r="H1380" t="str">
            <v>60/61</v>
          </cell>
        </row>
        <row r="1381">
          <cell r="F1381">
            <v>65.11</v>
          </cell>
          <cell r="G1381">
            <v>0</v>
          </cell>
          <cell r="H1381" t="str">
            <v>60/61</v>
          </cell>
        </row>
        <row r="1382">
          <cell r="F1382">
            <v>7.26</v>
          </cell>
          <cell r="G1382">
            <v>0</v>
          </cell>
          <cell r="H1382" t="str">
            <v>60/61</v>
          </cell>
        </row>
        <row r="1383">
          <cell r="F1383">
            <v>54.27</v>
          </cell>
          <cell r="G1383">
            <v>0</v>
          </cell>
          <cell r="H1383" t="str">
            <v>60/61</v>
          </cell>
        </row>
        <row r="1384">
          <cell r="F1384">
            <v>53.41</v>
          </cell>
          <cell r="G1384">
            <v>0</v>
          </cell>
          <cell r="H1384" t="str">
            <v>60/61</v>
          </cell>
        </row>
        <row r="1385">
          <cell r="F1385">
            <v>1.51</v>
          </cell>
          <cell r="G1385">
            <v>0</v>
          </cell>
          <cell r="H1385" t="str">
            <v>60/61</v>
          </cell>
        </row>
        <row r="1386">
          <cell r="F1386">
            <v>37.700000000000003</v>
          </cell>
          <cell r="G1386">
            <v>0</v>
          </cell>
          <cell r="H1386" t="str">
            <v>60/61</v>
          </cell>
        </row>
        <row r="1387">
          <cell r="F1387">
            <v>5.4</v>
          </cell>
          <cell r="G1387">
            <v>0</v>
          </cell>
          <cell r="H1387" t="str">
            <v>60/61</v>
          </cell>
        </row>
        <row r="1388">
          <cell r="F1388">
            <v>1005.62</v>
          </cell>
          <cell r="G1388">
            <v>0</v>
          </cell>
          <cell r="H1388" t="str">
            <v>60/61</v>
          </cell>
        </row>
        <row r="1389">
          <cell r="F1389">
            <v>112.82</v>
          </cell>
          <cell r="G1389">
            <v>0</v>
          </cell>
          <cell r="H1389" t="str">
            <v>60/61</v>
          </cell>
        </row>
        <row r="1390">
          <cell r="F1390">
            <v>41.53</v>
          </cell>
          <cell r="G1390">
            <v>0</v>
          </cell>
          <cell r="H1390" t="str">
            <v>60/61</v>
          </cell>
        </row>
        <row r="1391">
          <cell r="F1391">
            <v>18.850000000000001</v>
          </cell>
          <cell r="G1391">
            <v>0</v>
          </cell>
          <cell r="H1391" t="str">
            <v>60/61</v>
          </cell>
        </row>
        <row r="1392">
          <cell r="F1392">
            <v>125.96</v>
          </cell>
          <cell r="G1392">
            <v>0</v>
          </cell>
          <cell r="H1392" t="str">
            <v>60/61</v>
          </cell>
        </row>
        <row r="1393">
          <cell r="F1393">
            <v>88.82</v>
          </cell>
          <cell r="G1393">
            <v>0</v>
          </cell>
          <cell r="H1393" t="str">
            <v>60/61</v>
          </cell>
        </row>
        <row r="1394">
          <cell r="F1394">
            <v>428.63</v>
          </cell>
          <cell r="G1394">
            <v>0</v>
          </cell>
          <cell r="H1394" t="str">
            <v>60/61</v>
          </cell>
        </row>
        <row r="1395">
          <cell r="F1395">
            <v>200.45000000000002</v>
          </cell>
          <cell r="G1395">
            <v>0</v>
          </cell>
          <cell r="H1395" t="str">
            <v>60/61</v>
          </cell>
        </row>
        <row r="1396">
          <cell r="F1396">
            <v>5.95</v>
          </cell>
          <cell r="G1396">
            <v>0</v>
          </cell>
          <cell r="H1396" t="str">
            <v>60/61</v>
          </cell>
        </row>
        <row r="1397">
          <cell r="F1397">
            <v>5.61</v>
          </cell>
          <cell r="G1397">
            <v>0</v>
          </cell>
          <cell r="H1397" t="str">
            <v>60/61</v>
          </cell>
        </row>
        <row r="1398">
          <cell r="F1398">
            <v>2.92</v>
          </cell>
          <cell r="G1398">
            <v>0</v>
          </cell>
          <cell r="H1398" t="str">
            <v>60/61</v>
          </cell>
        </row>
        <row r="1399">
          <cell r="F1399">
            <v>12.88</v>
          </cell>
          <cell r="G1399">
            <v>0</v>
          </cell>
          <cell r="H1399" t="str">
            <v>60/61</v>
          </cell>
        </row>
        <row r="1400">
          <cell r="F1400">
            <v>6.32</v>
          </cell>
          <cell r="G1400">
            <v>0</v>
          </cell>
          <cell r="H1400" t="str">
            <v>60/61</v>
          </cell>
        </row>
        <row r="1401">
          <cell r="F1401">
            <v>8.41</v>
          </cell>
          <cell r="G1401">
            <v>0</v>
          </cell>
          <cell r="H1401" t="str">
            <v>60/61</v>
          </cell>
        </row>
        <row r="1402">
          <cell r="F1402">
            <v>118.16</v>
          </cell>
          <cell r="G1402">
            <v>0</v>
          </cell>
          <cell r="H1402" t="str">
            <v>60/61</v>
          </cell>
        </row>
        <row r="1403">
          <cell r="F1403">
            <v>852.33</v>
          </cell>
          <cell r="G1403">
            <v>0</v>
          </cell>
          <cell r="H1403" t="str">
            <v>60/61</v>
          </cell>
        </row>
        <row r="1404">
          <cell r="F1404">
            <v>120.18</v>
          </cell>
          <cell r="G1404">
            <v>0</v>
          </cell>
          <cell r="H1404" t="str">
            <v>60/61</v>
          </cell>
        </row>
        <row r="1405">
          <cell r="F1405">
            <v>153.16</v>
          </cell>
          <cell r="G1405">
            <v>0</v>
          </cell>
          <cell r="H1405" t="str">
            <v>60/61</v>
          </cell>
        </row>
        <row r="1406">
          <cell r="F1406">
            <v>57.52</v>
          </cell>
          <cell r="G1406">
            <v>0</v>
          </cell>
          <cell r="H1406" t="str">
            <v>60/61</v>
          </cell>
        </row>
        <row r="1407">
          <cell r="F1407">
            <v>828.23</v>
          </cell>
          <cell r="G1407">
            <v>0</v>
          </cell>
          <cell r="H1407" t="str">
            <v>60/61</v>
          </cell>
        </row>
        <row r="1408">
          <cell r="F1408">
            <v>43.09</v>
          </cell>
          <cell r="G1408">
            <v>0</v>
          </cell>
          <cell r="H1408" t="str">
            <v>60/61</v>
          </cell>
        </row>
        <row r="1409">
          <cell r="F1409">
            <v>24</v>
          </cell>
          <cell r="G1409">
            <v>0</v>
          </cell>
          <cell r="H1409" t="str">
            <v>60/61</v>
          </cell>
        </row>
        <row r="1410">
          <cell r="F1410">
            <v>39.18</v>
          </cell>
          <cell r="G1410">
            <v>0</v>
          </cell>
          <cell r="H1410" t="str">
            <v>60/61</v>
          </cell>
        </row>
        <row r="1411">
          <cell r="F1411">
            <v>72.73</v>
          </cell>
          <cell r="G1411">
            <v>0</v>
          </cell>
          <cell r="H1411" t="str">
            <v>60/61</v>
          </cell>
        </row>
        <row r="1412">
          <cell r="F1412">
            <v>4.79</v>
          </cell>
          <cell r="G1412">
            <v>0</v>
          </cell>
          <cell r="H1412" t="str">
            <v>60/61</v>
          </cell>
        </row>
        <row r="1413">
          <cell r="F1413">
            <v>12.47</v>
          </cell>
          <cell r="G1413">
            <v>0</v>
          </cell>
          <cell r="H1413" t="str">
            <v>60/61</v>
          </cell>
        </row>
        <row r="1414">
          <cell r="F1414">
            <v>7.02</v>
          </cell>
          <cell r="G1414">
            <v>0</v>
          </cell>
          <cell r="H1414" t="str">
            <v>60/61</v>
          </cell>
        </row>
        <row r="1415">
          <cell r="F1415">
            <v>1244.71</v>
          </cell>
          <cell r="G1415">
            <v>0</v>
          </cell>
          <cell r="H1415" t="str">
            <v>60/61</v>
          </cell>
        </row>
        <row r="1416">
          <cell r="F1416">
            <v>38.130000000000003</v>
          </cell>
          <cell r="G1416">
            <v>0</v>
          </cell>
          <cell r="H1416" t="str">
            <v>60/61</v>
          </cell>
        </row>
        <row r="1417">
          <cell r="F1417">
            <v>39.18</v>
          </cell>
          <cell r="G1417">
            <v>0</v>
          </cell>
          <cell r="H1417" t="str">
            <v>60/61</v>
          </cell>
        </row>
        <row r="1418">
          <cell r="F1418">
            <v>11.21</v>
          </cell>
          <cell r="G1418">
            <v>0</v>
          </cell>
          <cell r="H1418" t="str">
            <v>60/61</v>
          </cell>
        </row>
        <row r="1419">
          <cell r="F1419">
            <v>39.18</v>
          </cell>
          <cell r="G1419">
            <v>0</v>
          </cell>
          <cell r="H1419" t="str">
            <v>60/61</v>
          </cell>
        </row>
        <row r="1420">
          <cell r="F1420">
            <v>2.64</v>
          </cell>
          <cell r="G1420">
            <v>0</v>
          </cell>
          <cell r="H1420" t="str">
            <v>60/61</v>
          </cell>
        </row>
        <row r="1421">
          <cell r="F1421">
            <v>221.79</v>
          </cell>
          <cell r="G1421">
            <v>0</v>
          </cell>
          <cell r="H1421" t="str">
            <v>60/61</v>
          </cell>
        </row>
        <row r="1422">
          <cell r="F1422">
            <v>14.74</v>
          </cell>
          <cell r="G1422">
            <v>0</v>
          </cell>
          <cell r="H1422" t="str">
            <v>60/61</v>
          </cell>
        </row>
        <row r="1423">
          <cell r="F1423">
            <v>280.83</v>
          </cell>
          <cell r="G1423">
            <v>0</v>
          </cell>
          <cell r="H1423" t="str">
            <v>60/61</v>
          </cell>
        </row>
        <row r="1424">
          <cell r="F1424">
            <v>857.28</v>
          </cell>
          <cell r="G1424">
            <v>0</v>
          </cell>
          <cell r="H1424" t="str">
            <v>60/61</v>
          </cell>
        </row>
        <row r="1425">
          <cell r="F1425">
            <v>233.01</v>
          </cell>
          <cell r="G1425">
            <v>0</v>
          </cell>
          <cell r="H1425" t="str">
            <v>60/61</v>
          </cell>
        </row>
        <row r="1426">
          <cell r="F1426">
            <v>8.34</v>
          </cell>
          <cell r="G1426">
            <v>0</v>
          </cell>
          <cell r="H1426" t="str">
            <v>60/61</v>
          </cell>
        </row>
        <row r="1427">
          <cell r="F1427">
            <v>3.52</v>
          </cell>
          <cell r="G1427">
            <v>0</v>
          </cell>
          <cell r="H1427" t="str">
            <v>60/61</v>
          </cell>
        </row>
        <row r="1428">
          <cell r="F1428">
            <v>11.68</v>
          </cell>
          <cell r="G1428">
            <v>0</v>
          </cell>
          <cell r="H1428" t="str">
            <v>60/61</v>
          </cell>
        </row>
        <row r="1429">
          <cell r="F1429">
            <v>328.27</v>
          </cell>
          <cell r="G1429">
            <v>0</v>
          </cell>
          <cell r="H1429" t="str">
            <v>60/61</v>
          </cell>
        </row>
        <row r="1430">
          <cell r="F1430">
            <v>894.63</v>
          </cell>
          <cell r="G1430">
            <v>0</v>
          </cell>
          <cell r="H1430" t="str">
            <v>60/61</v>
          </cell>
        </row>
        <row r="1431">
          <cell r="F1431">
            <v>35.700000000000003</v>
          </cell>
          <cell r="G1431">
            <v>0</v>
          </cell>
          <cell r="H1431" t="str">
            <v>60/61</v>
          </cell>
        </row>
        <row r="1432">
          <cell r="F1432">
            <v>149.4</v>
          </cell>
          <cell r="G1432">
            <v>0</v>
          </cell>
          <cell r="H1432" t="str">
            <v>60/61</v>
          </cell>
        </row>
        <row r="1433">
          <cell r="F1433">
            <v>42</v>
          </cell>
          <cell r="G1433">
            <v>0</v>
          </cell>
          <cell r="H1433" t="str">
            <v>60/61</v>
          </cell>
        </row>
        <row r="1434">
          <cell r="F1434">
            <v>35.700000000000003</v>
          </cell>
          <cell r="G1434">
            <v>0</v>
          </cell>
          <cell r="H1434" t="str">
            <v>60/61</v>
          </cell>
        </row>
        <row r="1435">
          <cell r="F1435">
            <v>244.59</v>
          </cell>
          <cell r="G1435">
            <v>0</v>
          </cell>
          <cell r="H1435" t="str">
            <v>60/61</v>
          </cell>
        </row>
        <row r="1436">
          <cell r="F1436">
            <v>0</v>
          </cell>
          <cell r="G1436">
            <v>0</v>
          </cell>
          <cell r="H1436" t="str">
            <v>60/61</v>
          </cell>
        </row>
        <row r="1437">
          <cell r="F1437">
            <v>69.77</v>
          </cell>
          <cell r="G1437">
            <v>0</v>
          </cell>
          <cell r="H1437" t="str">
            <v>60/61</v>
          </cell>
        </row>
        <row r="1438">
          <cell r="F1438">
            <v>350.71</v>
          </cell>
          <cell r="G1438">
            <v>0</v>
          </cell>
          <cell r="H1438" t="str">
            <v>60/61</v>
          </cell>
        </row>
        <row r="1439">
          <cell r="F1439">
            <v>106.3</v>
          </cell>
          <cell r="G1439">
            <v>0</v>
          </cell>
          <cell r="H1439" t="str">
            <v>60/61</v>
          </cell>
        </row>
        <row r="1440">
          <cell r="F1440">
            <v>351.75</v>
          </cell>
          <cell r="G1440">
            <v>0</v>
          </cell>
          <cell r="H1440" t="str">
            <v>60/61</v>
          </cell>
        </row>
        <row r="1441">
          <cell r="F1441">
            <v>11.700000000000001</v>
          </cell>
          <cell r="G1441">
            <v>0</v>
          </cell>
          <cell r="H1441" t="str">
            <v>60/61</v>
          </cell>
        </row>
        <row r="1442">
          <cell r="F1442">
            <v>65.19</v>
          </cell>
          <cell r="G1442">
            <v>0</v>
          </cell>
          <cell r="H1442" t="str">
            <v>60/61</v>
          </cell>
        </row>
        <row r="1443">
          <cell r="F1443">
            <v>1997.53</v>
          </cell>
          <cell r="G1443">
            <v>0</v>
          </cell>
          <cell r="H1443" t="str">
            <v>60/61</v>
          </cell>
        </row>
        <row r="1444">
          <cell r="F1444">
            <v>61</v>
          </cell>
          <cell r="G1444">
            <v>0</v>
          </cell>
          <cell r="H1444" t="str">
            <v>60/61</v>
          </cell>
        </row>
        <row r="1445">
          <cell r="F1445">
            <v>36.89</v>
          </cell>
          <cell r="G1445">
            <v>0</v>
          </cell>
          <cell r="H1445" t="str">
            <v>60/61</v>
          </cell>
        </row>
        <row r="1446">
          <cell r="F1446">
            <v>57.64</v>
          </cell>
          <cell r="G1446">
            <v>0</v>
          </cell>
          <cell r="H1446" t="str">
            <v>60/61</v>
          </cell>
        </row>
        <row r="1447">
          <cell r="F1447">
            <v>65.19</v>
          </cell>
          <cell r="G1447">
            <v>0</v>
          </cell>
          <cell r="H1447" t="str">
            <v>60/61</v>
          </cell>
        </row>
        <row r="1448">
          <cell r="F1448">
            <v>500.27</v>
          </cell>
          <cell r="G1448">
            <v>0</v>
          </cell>
          <cell r="H1448" t="str">
            <v>60/61</v>
          </cell>
        </row>
        <row r="1449">
          <cell r="F1449">
            <v>65.19</v>
          </cell>
          <cell r="G1449">
            <v>0</v>
          </cell>
          <cell r="H1449" t="str">
            <v>60/61</v>
          </cell>
        </row>
        <row r="1450">
          <cell r="F1450">
            <v>91.26</v>
          </cell>
          <cell r="G1450">
            <v>0</v>
          </cell>
          <cell r="H1450" t="str">
            <v>60/61</v>
          </cell>
        </row>
        <row r="1451">
          <cell r="F1451">
            <v>132.63999999999999</v>
          </cell>
          <cell r="G1451">
            <v>0</v>
          </cell>
          <cell r="H1451" t="str">
            <v>60/61</v>
          </cell>
        </row>
        <row r="1452">
          <cell r="F1452">
            <v>15186.88</v>
          </cell>
          <cell r="G1452">
            <v>0</v>
          </cell>
          <cell r="H1452" t="str">
            <v>60/61</v>
          </cell>
        </row>
        <row r="1453">
          <cell r="F1453">
            <v>48.51</v>
          </cell>
          <cell r="G1453">
            <v>0</v>
          </cell>
          <cell r="H1453" t="str">
            <v>60/61</v>
          </cell>
        </row>
        <row r="1454">
          <cell r="F1454">
            <v>1166.4099999999999</v>
          </cell>
          <cell r="G1454">
            <v>0</v>
          </cell>
          <cell r="H1454" t="str">
            <v>60/61</v>
          </cell>
        </row>
        <row r="1455">
          <cell r="F1455">
            <v>0</v>
          </cell>
          <cell r="G1455">
            <v>0</v>
          </cell>
          <cell r="H1455" t="str">
            <v>60/61</v>
          </cell>
        </row>
        <row r="1456">
          <cell r="F1456">
            <v>55.07</v>
          </cell>
          <cell r="G1456">
            <v>0</v>
          </cell>
          <cell r="H1456" t="str">
            <v>60/61</v>
          </cell>
        </row>
        <row r="1457">
          <cell r="F1457">
            <v>3874.54</v>
          </cell>
          <cell r="G1457">
            <v>0</v>
          </cell>
          <cell r="H1457" t="str">
            <v>60/61</v>
          </cell>
        </row>
        <row r="1458">
          <cell r="F1458">
            <v>9600</v>
          </cell>
          <cell r="G1458">
            <v>0</v>
          </cell>
          <cell r="H1458" t="str">
            <v>60/61</v>
          </cell>
        </row>
        <row r="1459">
          <cell r="F1459">
            <v>0</v>
          </cell>
          <cell r="G1459">
            <v>0</v>
          </cell>
          <cell r="H1459" t="str">
            <v>60/61</v>
          </cell>
        </row>
        <row r="1460">
          <cell r="F1460">
            <v>2001.62</v>
          </cell>
          <cell r="G1460">
            <v>0</v>
          </cell>
          <cell r="H1460" t="str">
            <v>60/61</v>
          </cell>
        </row>
        <row r="1461">
          <cell r="F1461">
            <v>300</v>
          </cell>
          <cell r="G1461">
            <v>0</v>
          </cell>
          <cell r="H1461" t="str">
            <v>60/61</v>
          </cell>
        </row>
        <row r="1462">
          <cell r="F1462">
            <v>213.12</v>
          </cell>
          <cell r="G1462">
            <v>0</v>
          </cell>
          <cell r="H1462" t="str">
            <v>60/61</v>
          </cell>
        </row>
        <row r="1463">
          <cell r="F1463">
            <v>240</v>
          </cell>
          <cell r="G1463">
            <v>0</v>
          </cell>
          <cell r="H1463" t="str">
            <v>60/61</v>
          </cell>
        </row>
        <row r="1464">
          <cell r="F1464">
            <v>1260</v>
          </cell>
          <cell r="G1464">
            <v>0</v>
          </cell>
          <cell r="H1464" t="str">
            <v>60/61</v>
          </cell>
        </row>
        <row r="1465">
          <cell r="F1465">
            <v>43.5</v>
          </cell>
          <cell r="G1465">
            <v>0</v>
          </cell>
          <cell r="H1465" t="str">
            <v>60/61</v>
          </cell>
        </row>
        <row r="1466">
          <cell r="F1466">
            <v>25</v>
          </cell>
          <cell r="G1466">
            <v>0</v>
          </cell>
          <cell r="H1466" t="str">
            <v>60/61</v>
          </cell>
        </row>
        <row r="1467">
          <cell r="F1467">
            <v>420</v>
          </cell>
          <cell r="G1467">
            <v>0</v>
          </cell>
          <cell r="H1467" t="str">
            <v>60/61</v>
          </cell>
        </row>
        <row r="1468">
          <cell r="F1468">
            <v>89.28</v>
          </cell>
          <cell r="G1468">
            <v>0</v>
          </cell>
          <cell r="H1468" t="str">
            <v>60/61</v>
          </cell>
        </row>
        <row r="1469">
          <cell r="F1469">
            <v>138.16000000000008</v>
          </cell>
          <cell r="G1469">
            <v>0</v>
          </cell>
          <cell r="H1469" t="str">
            <v>60/61</v>
          </cell>
        </row>
        <row r="1470">
          <cell r="F1470">
            <v>0</v>
          </cell>
          <cell r="G1470">
            <v>0</v>
          </cell>
          <cell r="H1470" t="str">
            <v>60/61</v>
          </cell>
        </row>
        <row r="1471">
          <cell r="F1471">
            <v>0</v>
          </cell>
          <cell r="G1471">
            <v>0</v>
          </cell>
          <cell r="H1471" t="str">
            <v>60/61</v>
          </cell>
        </row>
        <row r="1472">
          <cell r="F1472">
            <v>207.83999999999992</v>
          </cell>
          <cell r="G1472">
            <v>0</v>
          </cell>
          <cell r="H1472" t="str">
            <v>60/61</v>
          </cell>
        </row>
        <row r="1473">
          <cell r="F1473">
            <v>68.02</v>
          </cell>
          <cell r="G1473">
            <v>0</v>
          </cell>
          <cell r="H1473" t="str">
            <v>60/61</v>
          </cell>
        </row>
        <row r="1474">
          <cell r="F1474">
            <v>4474.96</v>
          </cell>
          <cell r="G1474">
            <v>0</v>
          </cell>
          <cell r="H1474" t="str">
            <v>60/61</v>
          </cell>
        </row>
        <row r="1475">
          <cell r="F1475">
            <v>4800</v>
          </cell>
          <cell r="G1475">
            <v>0</v>
          </cell>
          <cell r="H1475" t="str">
            <v>60/61</v>
          </cell>
        </row>
        <row r="1476">
          <cell r="F1476">
            <v>1200</v>
          </cell>
          <cell r="G1476">
            <v>0</v>
          </cell>
          <cell r="H1476" t="str">
            <v>60/61</v>
          </cell>
        </row>
        <row r="1477">
          <cell r="F1477">
            <v>342.72999999999996</v>
          </cell>
          <cell r="G1477">
            <v>0</v>
          </cell>
          <cell r="H1477" t="str">
            <v>60/61</v>
          </cell>
        </row>
        <row r="1478">
          <cell r="F1478">
            <v>20.68</v>
          </cell>
          <cell r="G1478">
            <v>0</v>
          </cell>
          <cell r="H1478" t="str">
            <v>60/61</v>
          </cell>
        </row>
        <row r="1479">
          <cell r="F1479">
            <v>699.77</v>
          </cell>
          <cell r="G1479">
            <v>0</v>
          </cell>
          <cell r="H1479" t="str">
            <v>60/61</v>
          </cell>
        </row>
        <row r="1480">
          <cell r="F1480">
            <v>2231.84</v>
          </cell>
          <cell r="G1480">
            <v>0</v>
          </cell>
          <cell r="H1480" t="str">
            <v>60/61</v>
          </cell>
        </row>
        <row r="1481">
          <cell r="F1481">
            <v>414</v>
          </cell>
          <cell r="G1481">
            <v>0</v>
          </cell>
          <cell r="H1481" t="str">
            <v>60/61</v>
          </cell>
        </row>
        <row r="1482">
          <cell r="F1482">
            <v>348</v>
          </cell>
          <cell r="G1482">
            <v>0</v>
          </cell>
          <cell r="H1482" t="str">
            <v>60/61</v>
          </cell>
        </row>
        <row r="1483">
          <cell r="F1483">
            <v>210</v>
          </cell>
          <cell r="G1483">
            <v>0</v>
          </cell>
          <cell r="H1483" t="str">
            <v>60/61</v>
          </cell>
        </row>
        <row r="1484">
          <cell r="F1484">
            <v>3389.35</v>
          </cell>
          <cell r="G1484">
            <v>0</v>
          </cell>
          <cell r="H1484" t="str">
            <v>60/61</v>
          </cell>
        </row>
        <row r="1485">
          <cell r="F1485">
            <v>1687.8</v>
          </cell>
          <cell r="G1485">
            <v>0</v>
          </cell>
          <cell r="H1485" t="str">
            <v>60/61</v>
          </cell>
        </row>
        <row r="1486">
          <cell r="F1486">
            <v>423.27</v>
          </cell>
          <cell r="G1486">
            <v>0</v>
          </cell>
          <cell r="H1486" t="str">
            <v>60/61</v>
          </cell>
        </row>
        <row r="1487">
          <cell r="F1487">
            <v>342.22</v>
          </cell>
          <cell r="G1487">
            <v>0</v>
          </cell>
          <cell r="H1487" t="str">
            <v>60/61</v>
          </cell>
        </row>
        <row r="1488">
          <cell r="F1488">
            <v>1184.44</v>
          </cell>
          <cell r="G1488">
            <v>0</v>
          </cell>
          <cell r="H1488" t="str">
            <v>60/61</v>
          </cell>
        </row>
        <row r="1489">
          <cell r="F1489">
            <v>346.89</v>
          </cell>
          <cell r="G1489">
            <v>0</v>
          </cell>
          <cell r="H1489" t="str">
            <v>60/61</v>
          </cell>
        </row>
        <row r="1490">
          <cell r="F1490">
            <v>1117.01</v>
          </cell>
          <cell r="G1490">
            <v>0</v>
          </cell>
          <cell r="H1490" t="str">
            <v>60/61</v>
          </cell>
        </row>
        <row r="1491">
          <cell r="F1491">
            <v>6.15</v>
          </cell>
          <cell r="G1491">
            <v>0</v>
          </cell>
          <cell r="H1491" t="str">
            <v>60/61</v>
          </cell>
        </row>
        <row r="1492">
          <cell r="F1492">
            <v>863.93</v>
          </cell>
          <cell r="G1492">
            <v>0</v>
          </cell>
          <cell r="H1492" t="str">
            <v>60/61</v>
          </cell>
        </row>
        <row r="1493">
          <cell r="F1493">
            <v>205.3599999999999</v>
          </cell>
          <cell r="G1493">
            <v>0</v>
          </cell>
          <cell r="H1493" t="str">
            <v>60/61</v>
          </cell>
        </row>
        <row r="1494">
          <cell r="F1494">
            <v>182.5</v>
          </cell>
          <cell r="G1494">
            <v>0</v>
          </cell>
          <cell r="H1494" t="str">
            <v>60/61</v>
          </cell>
        </row>
        <row r="1495">
          <cell r="F1495">
            <v>454.84999999999991</v>
          </cell>
          <cell r="G1495">
            <v>0</v>
          </cell>
          <cell r="H1495" t="str">
            <v>60/61</v>
          </cell>
        </row>
        <row r="1496">
          <cell r="F1496">
            <v>5324.2899999999991</v>
          </cell>
          <cell r="G1496">
            <v>0</v>
          </cell>
          <cell r="H1496" t="str">
            <v>60/61</v>
          </cell>
        </row>
        <row r="1497">
          <cell r="F1497">
            <v>110.84</v>
          </cell>
          <cell r="G1497">
            <v>0</v>
          </cell>
          <cell r="H1497" t="str">
            <v>60/61</v>
          </cell>
        </row>
        <row r="1498">
          <cell r="F1498">
            <v>998.04000000000008</v>
          </cell>
          <cell r="G1498">
            <v>0</v>
          </cell>
          <cell r="H1498" t="str">
            <v>60/61</v>
          </cell>
        </row>
        <row r="1499">
          <cell r="F1499">
            <v>1534.37</v>
          </cell>
          <cell r="G1499">
            <v>0</v>
          </cell>
          <cell r="H1499" t="str">
            <v>60/61</v>
          </cell>
        </row>
        <row r="1500">
          <cell r="F1500">
            <v>3527.05</v>
          </cell>
          <cell r="G1500">
            <v>0</v>
          </cell>
          <cell r="H1500" t="str">
            <v>60/61</v>
          </cell>
        </row>
        <row r="1501">
          <cell r="F1501">
            <v>1872.36</v>
          </cell>
          <cell r="G1501">
            <v>0</v>
          </cell>
          <cell r="H1501" t="str">
            <v>60/61</v>
          </cell>
        </row>
        <row r="1502">
          <cell r="F1502">
            <v>4263.93</v>
          </cell>
          <cell r="G1502">
            <v>0</v>
          </cell>
          <cell r="H1502" t="str">
            <v>60/61</v>
          </cell>
        </row>
        <row r="1503">
          <cell r="F1503">
            <v>823.31</v>
          </cell>
          <cell r="G1503">
            <v>0</v>
          </cell>
          <cell r="H1503" t="str">
            <v>60/61</v>
          </cell>
        </row>
        <row r="1504">
          <cell r="F1504">
            <v>11288.12</v>
          </cell>
          <cell r="G1504">
            <v>0</v>
          </cell>
          <cell r="H1504" t="str">
            <v>60/61</v>
          </cell>
        </row>
        <row r="1505">
          <cell r="F1505">
            <v>269.3</v>
          </cell>
          <cell r="G1505">
            <v>0</v>
          </cell>
          <cell r="H1505" t="str">
            <v>60/61</v>
          </cell>
        </row>
        <row r="1506">
          <cell r="F1506">
            <v>350</v>
          </cell>
          <cell r="G1506">
            <v>0</v>
          </cell>
          <cell r="H1506" t="str">
            <v>60/61</v>
          </cell>
        </row>
        <row r="1507">
          <cell r="F1507">
            <v>149.38999999999999</v>
          </cell>
          <cell r="G1507">
            <v>0</v>
          </cell>
          <cell r="H1507" t="str">
            <v>60/61</v>
          </cell>
        </row>
        <row r="1508">
          <cell r="F1508">
            <v>1487.02</v>
          </cell>
          <cell r="G1508">
            <v>0</v>
          </cell>
          <cell r="H1508" t="str">
            <v>60/61</v>
          </cell>
        </row>
        <row r="1509">
          <cell r="F1509">
            <v>1983.3999999999996</v>
          </cell>
          <cell r="G1509">
            <v>0</v>
          </cell>
          <cell r="H1509" t="str">
            <v>60/61</v>
          </cell>
        </row>
        <row r="1510">
          <cell r="F1510">
            <v>3450.6200000000003</v>
          </cell>
          <cell r="G1510">
            <v>0</v>
          </cell>
          <cell r="H1510" t="str">
            <v>60/61</v>
          </cell>
        </row>
        <row r="1511">
          <cell r="F1511">
            <v>150.16</v>
          </cell>
          <cell r="G1511">
            <v>0</v>
          </cell>
          <cell r="H1511" t="str">
            <v>60/61</v>
          </cell>
        </row>
        <row r="1512">
          <cell r="F1512">
            <v>884.43000000000006</v>
          </cell>
          <cell r="G1512">
            <v>0</v>
          </cell>
          <cell r="H1512" t="str">
            <v>60/61</v>
          </cell>
        </row>
        <row r="1513">
          <cell r="F1513">
            <v>274.39</v>
          </cell>
          <cell r="G1513">
            <v>0</v>
          </cell>
          <cell r="H1513" t="str">
            <v>60/61</v>
          </cell>
        </row>
        <row r="1514">
          <cell r="F1514">
            <v>272.37</v>
          </cell>
          <cell r="G1514">
            <v>0</v>
          </cell>
          <cell r="H1514" t="str">
            <v>60/61</v>
          </cell>
        </row>
        <row r="1515">
          <cell r="F1515">
            <v>2075.52</v>
          </cell>
          <cell r="G1515">
            <v>0</v>
          </cell>
          <cell r="H1515" t="str">
            <v>60/61</v>
          </cell>
        </row>
        <row r="1516">
          <cell r="F1516">
            <v>143.25</v>
          </cell>
          <cell r="G1516">
            <v>0</v>
          </cell>
          <cell r="H1516" t="str">
            <v>60/61</v>
          </cell>
        </row>
        <row r="1517">
          <cell r="F1517">
            <v>1265.31</v>
          </cell>
          <cell r="G1517">
            <v>0</v>
          </cell>
          <cell r="H1517" t="str">
            <v>60/61</v>
          </cell>
        </row>
        <row r="1518">
          <cell r="F1518">
            <v>2301.66</v>
          </cell>
          <cell r="G1518">
            <v>0</v>
          </cell>
          <cell r="H1518" t="str">
            <v>60/61</v>
          </cell>
        </row>
        <row r="1519">
          <cell r="F1519">
            <v>419.12</v>
          </cell>
          <cell r="G1519">
            <v>0</v>
          </cell>
          <cell r="H1519" t="str">
            <v>60/61</v>
          </cell>
        </row>
        <row r="1520">
          <cell r="F1520">
            <v>114.91</v>
          </cell>
          <cell r="G1520">
            <v>0</v>
          </cell>
          <cell r="H1520" t="str">
            <v>60/61</v>
          </cell>
        </row>
        <row r="1521">
          <cell r="F1521">
            <v>1537.65</v>
          </cell>
          <cell r="G1521">
            <v>0</v>
          </cell>
          <cell r="H1521" t="str">
            <v>60/61</v>
          </cell>
        </row>
        <row r="1522">
          <cell r="F1522">
            <v>4188.5</v>
          </cell>
          <cell r="G1522">
            <v>0</v>
          </cell>
          <cell r="H1522" t="str">
            <v>60/61</v>
          </cell>
        </row>
        <row r="1523">
          <cell r="F1523">
            <v>40.94</v>
          </cell>
          <cell r="G1523">
            <v>0</v>
          </cell>
          <cell r="H1523" t="str">
            <v>60/61</v>
          </cell>
        </row>
        <row r="1524">
          <cell r="F1524">
            <v>3666.42</v>
          </cell>
          <cell r="G1524">
            <v>0</v>
          </cell>
          <cell r="H1524" t="str">
            <v>60/61</v>
          </cell>
        </row>
        <row r="1525">
          <cell r="F1525">
            <v>0</v>
          </cell>
          <cell r="G1525">
            <v>0</v>
          </cell>
          <cell r="H1525" t="str">
            <v>60/61</v>
          </cell>
        </row>
        <row r="1526">
          <cell r="F1526">
            <v>483.52</v>
          </cell>
          <cell r="G1526">
            <v>0</v>
          </cell>
          <cell r="H1526" t="str">
            <v>60/61</v>
          </cell>
        </row>
        <row r="1527">
          <cell r="F1527">
            <v>406.33</v>
          </cell>
          <cell r="G1527">
            <v>0</v>
          </cell>
          <cell r="H1527" t="str">
            <v>60/61</v>
          </cell>
        </row>
        <row r="1528">
          <cell r="F1528">
            <v>65.19</v>
          </cell>
          <cell r="G1528">
            <v>0</v>
          </cell>
          <cell r="H1528" t="str">
            <v>60/61</v>
          </cell>
        </row>
        <row r="1529">
          <cell r="F1529">
            <v>1057.06</v>
          </cell>
          <cell r="G1529">
            <v>0</v>
          </cell>
          <cell r="H1529" t="str">
            <v>60/61</v>
          </cell>
        </row>
        <row r="1530">
          <cell r="F1530">
            <v>832.93</v>
          </cell>
          <cell r="G1530">
            <v>0</v>
          </cell>
          <cell r="H1530" t="str">
            <v>60/61</v>
          </cell>
        </row>
        <row r="1531">
          <cell r="F1531">
            <v>2025.0500000000002</v>
          </cell>
          <cell r="G1531">
            <v>0</v>
          </cell>
          <cell r="H1531" t="str">
            <v>60/61</v>
          </cell>
        </row>
        <row r="1532">
          <cell r="F1532">
            <v>220.53999999999996</v>
          </cell>
          <cell r="G1532">
            <v>0</v>
          </cell>
          <cell r="H1532" t="str">
            <v>60/61</v>
          </cell>
        </row>
        <row r="1533">
          <cell r="F1533">
            <v>4432.43</v>
          </cell>
          <cell r="G1533">
            <v>0</v>
          </cell>
          <cell r="H1533" t="str">
            <v>60/61</v>
          </cell>
        </row>
        <row r="1534">
          <cell r="F1534">
            <v>503.65999999999997</v>
          </cell>
          <cell r="G1534">
            <v>0</v>
          </cell>
          <cell r="H1534" t="str">
            <v>60/61</v>
          </cell>
        </row>
        <row r="1535">
          <cell r="F1535">
            <v>16.11</v>
          </cell>
          <cell r="G1535">
            <v>0</v>
          </cell>
          <cell r="H1535" t="str">
            <v>60/61</v>
          </cell>
        </row>
        <row r="1536">
          <cell r="F1536">
            <v>483.52</v>
          </cell>
          <cell r="G1536">
            <v>0</v>
          </cell>
          <cell r="H1536" t="str">
            <v>60/61</v>
          </cell>
        </row>
        <row r="1537">
          <cell r="F1537">
            <v>1373.98</v>
          </cell>
          <cell r="G1537">
            <v>0</v>
          </cell>
          <cell r="H1537" t="str">
            <v>60/61</v>
          </cell>
        </row>
        <row r="1538">
          <cell r="F1538">
            <v>77.64</v>
          </cell>
          <cell r="G1538">
            <v>0</v>
          </cell>
          <cell r="H1538" t="str">
            <v>60/61</v>
          </cell>
        </row>
        <row r="1539">
          <cell r="F1539">
            <v>60.460000000000008</v>
          </cell>
          <cell r="G1539">
            <v>0</v>
          </cell>
          <cell r="H1539" t="str">
            <v>60/61</v>
          </cell>
        </row>
        <row r="1540">
          <cell r="F1540">
            <v>300</v>
          </cell>
          <cell r="G1540">
            <v>0</v>
          </cell>
          <cell r="H1540" t="str">
            <v>60/61</v>
          </cell>
        </row>
        <row r="1541">
          <cell r="F1541">
            <v>15365.5</v>
          </cell>
          <cell r="G1541">
            <v>0</v>
          </cell>
          <cell r="H1541" t="str">
            <v>60/61</v>
          </cell>
        </row>
        <row r="1542">
          <cell r="F1542">
            <v>240.35000000000014</v>
          </cell>
          <cell r="G1542">
            <v>0</v>
          </cell>
          <cell r="H1542" t="str">
            <v>60/61</v>
          </cell>
        </row>
        <row r="1543">
          <cell r="F1543">
            <v>61.34</v>
          </cell>
          <cell r="G1543">
            <v>0</v>
          </cell>
          <cell r="H1543" t="str">
            <v>60/61</v>
          </cell>
        </row>
        <row r="1544">
          <cell r="F1544">
            <v>511.05999999999995</v>
          </cell>
          <cell r="G1544">
            <v>0</v>
          </cell>
          <cell r="H1544" t="str">
            <v>60/61</v>
          </cell>
        </row>
        <row r="1545">
          <cell r="F1545">
            <v>131.4</v>
          </cell>
          <cell r="G1545">
            <v>0</v>
          </cell>
          <cell r="H1545" t="str">
            <v>60/61</v>
          </cell>
        </row>
        <row r="1546">
          <cell r="F1546">
            <v>91.33</v>
          </cell>
          <cell r="G1546">
            <v>0</v>
          </cell>
          <cell r="H1546" t="str">
            <v>60/61</v>
          </cell>
        </row>
        <row r="1547">
          <cell r="F1547">
            <v>278.42</v>
          </cell>
          <cell r="G1547">
            <v>0</v>
          </cell>
          <cell r="H1547" t="str">
            <v>60/61</v>
          </cell>
        </row>
        <row r="1548">
          <cell r="F1548">
            <v>411.77</v>
          </cell>
          <cell r="G1548">
            <v>0</v>
          </cell>
          <cell r="H1548" t="str">
            <v>60/61</v>
          </cell>
        </row>
        <row r="1549">
          <cell r="F1549">
            <v>1150.1300000000001</v>
          </cell>
          <cell r="G1549">
            <v>0</v>
          </cell>
          <cell r="H1549" t="str">
            <v>60/61</v>
          </cell>
        </row>
        <row r="1550">
          <cell r="F1550">
            <v>419.12</v>
          </cell>
          <cell r="G1550">
            <v>0</v>
          </cell>
          <cell r="H1550" t="str">
            <v>60/61</v>
          </cell>
        </row>
        <row r="1551">
          <cell r="F1551">
            <v>2301.73</v>
          </cell>
          <cell r="G1551">
            <v>0</v>
          </cell>
          <cell r="H1551" t="str">
            <v>60/61</v>
          </cell>
        </row>
        <row r="1552">
          <cell r="F1552">
            <v>155.12</v>
          </cell>
          <cell r="G1552">
            <v>0</v>
          </cell>
          <cell r="H1552" t="str">
            <v>60/61</v>
          </cell>
        </row>
        <row r="1553">
          <cell r="F1553">
            <v>242.09999999999997</v>
          </cell>
          <cell r="G1553">
            <v>0</v>
          </cell>
          <cell r="H1553" t="str">
            <v>60/61</v>
          </cell>
        </row>
        <row r="1554">
          <cell r="F1554">
            <v>1788.1399999999999</v>
          </cell>
          <cell r="G1554">
            <v>0</v>
          </cell>
          <cell r="H1554" t="str">
            <v>60/61</v>
          </cell>
        </row>
        <row r="1555">
          <cell r="F1555">
            <v>81.78</v>
          </cell>
          <cell r="G1555">
            <v>0</v>
          </cell>
          <cell r="H1555" t="str">
            <v>60/61</v>
          </cell>
        </row>
        <row r="1556">
          <cell r="F1556">
            <v>782.4</v>
          </cell>
          <cell r="G1556">
            <v>0</v>
          </cell>
          <cell r="H1556" t="str">
            <v>60/61</v>
          </cell>
        </row>
        <row r="1557">
          <cell r="F1557">
            <v>292.38</v>
          </cell>
          <cell r="G1557">
            <v>0</v>
          </cell>
          <cell r="H1557" t="str">
            <v>60/61</v>
          </cell>
        </row>
        <row r="1558">
          <cell r="F1558">
            <v>203.95</v>
          </cell>
          <cell r="G1558">
            <v>0</v>
          </cell>
          <cell r="H1558" t="str">
            <v>60/61</v>
          </cell>
        </row>
        <row r="1559">
          <cell r="F1559">
            <v>767.18</v>
          </cell>
          <cell r="G1559">
            <v>0</v>
          </cell>
          <cell r="H1559" t="str">
            <v>60/61</v>
          </cell>
        </row>
        <row r="1560">
          <cell r="F1560">
            <v>0</v>
          </cell>
          <cell r="G1560">
            <v>0</v>
          </cell>
          <cell r="H1560" t="str">
            <v>60/61</v>
          </cell>
        </row>
        <row r="1561">
          <cell r="F1561">
            <v>153.5</v>
          </cell>
          <cell r="G1561">
            <v>0</v>
          </cell>
          <cell r="H1561" t="str">
            <v>60/61</v>
          </cell>
        </row>
        <row r="1562">
          <cell r="F1562">
            <v>226.38</v>
          </cell>
          <cell r="G1562">
            <v>0</v>
          </cell>
          <cell r="H1562" t="str">
            <v>60/61</v>
          </cell>
        </row>
        <row r="1563">
          <cell r="F1563">
            <v>833.59</v>
          </cell>
          <cell r="G1563">
            <v>0</v>
          </cell>
          <cell r="H1563" t="str">
            <v>60/61</v>
          </cell>
        </row>
        <row r="1564">
          <cell r="F1564">
            <v>170.52</v>
          </cell>
          <cell r="G1564">
            <v>0</v>
          </cell>
          <cell r="H1564" t="str">
            <v>60/61</v>
          </cell>
        </row>
        <row r="1565">
          <cell r="F1565">
            <v>801.22</v>
          </cell>
          <cell r="G1565">
            <v>0</v>
          </cell>
          <cell r="H1565" t="str">
            <v>60/61</v>
          </cell>
        </row>
        <row r="1566">
          <cell r="F1566">
            <v>9441.94</v>
          </cell>
          <cell r="G1566">
            <v>0</v>
          </cell>
          <cell r="H1566" t="str">
            <v>60/61</v>
          </cell>
        </row>
        <row r="1567">
          <cell r="F1567">
            <v>216.41</v>
          </cell>
          <cell r="G1567">
            <v>0</v>
          </cell>
          <cell r="H1567" t="str">
            <v>60/61</v>
          </cell>
        </row>
        <row r="1568">
          <cell r="F1568">
            <v>173.34</v>
          </cell>
          <cell r="G1568">
            <v>0</v>
          </cell>
          <cell r="H1568" t="str">
            <v>60/61</v>
          </cell>
        </row>
        <row r="1569">
          <cell r="F1569">
            <v>133.6</v>
          </cell>
          <cell r="G1569">
            <v>0</v>
          </cell>
          <cell r="H1569" t="str">
            <v>60/61</v>
          </cell>
        </row>
        <row r="1570">
          <cell r="F1570">
            <v>754.82999999999993</v>
          </cell>
          <cell r="G1570">
            <v>0</v>
          </cell>
          <cell r="H1570" t="str">
            <v>60/61</v>
          </cell>
        </row>
        <row r="1571">
          <cell r="F1571">
            <v>196.82</v>
          </cell>
          <cell r="G1571">
            <v>0</v>
          </cell>
          <cell r="H1571" t="str">
            <v>60/61</v>
          </cell>
        </row>
        <row r="1572">
          <cell r="F1572">
            <v>26.539999999999964</v>
          </cell>
          <cell r="G1572">
            <v>0</v>
          </cell>
          <cell r="H1572" t="str">
            <v>60/61</v>
          </cell>
        </row>
        <row r="1573">
          <cell r="F1573">
            <v>2316.42</v>
          </cell>
          <cell r="G1573">
            <v>0</v>
          </cell>
          <cell r="H1573" t="str">
            <v>60/61</v>
          </cell>
        </row>
        <row r="1574">
          <cell r="F1574">
            <v>3143.63</v>
          </cell>
          <cell r="G1574">
            <v>0</v>
          </cell>
          <cell r="H1574" t="str">
            <v>60/61</v>
          </cell>
        </row>
        <row r="1575">
          <cell r="F1575">
            <v>0</v>
          </cell>
          <cell r="G1575">
            <v>0</v>
          </cell>
          <cell r="H1575" t="str">
            <v>60/61</v>
          </cell>
        </row>
        <row r="1576">
          <cell r="F1576">
            <v>-232.31</v>
          </cell>
          <cell r="G1576">
            <v>0</v>
          </cell>
          <cell r="H1576" t="str">
            <v>60/61</v>
          </cell>
        </row>
        <row r="1577">
          <cell r="F1577">
            <v>-32.83</v>
          </cell>
          <cell r="G1577">
            <v>0</v>
          </cell>
          <cell r="H1577" t="str">
            <v>60/61</v>
          </cell>
        </row>
        <row r="1578">
          <cell r="F1578">
            <v>57.580000000000005</v>
          </cell>
          <cell r="G1578">
            <v>0</v>
          </cell>
          <cell r="H1578" t="str">
            <v>60/61</v>
          </cell>
        </row>
        <row r="1579">
          <cell r="F1579">
            <v>281.03000000000003</v>
          </cell>
          <cell r="G1579">
            <v>0</v>
          </cell>
          <cell r="H1579" t="str">
            <v>60/61</v>
          </cell>
        </row>
        <row r="1580">
          <cell r="F1580">
            <v>195.67</v>
          </cell>
          <cell r="G1580">
            <v>0</v>
          </cell>
          <cell r="H1580" t="str">
            <v>60/61</v>
          </cell>
        </row>
        <row r="1581">
          <cell r="F1581">
            <v>766.32</v>
          </cell>
          <cell r="G1581">
            <v>0</v>
          </cell>
          <cell r="H1581" t="str">
            <v>60/61</v>
          </cell>
        </row>
        <row r="1582">
          <cell r="F1582">
            <v>3132.98</v>
          </cell>
          <cell r="G1582">
            <v>0</v>
          </cell>
          <cell r="H1582" t="str">
            <v>60/61</v>
          </cell>
        </row>
        <row r="1583">
          <cell r="F1583">
            <v>1518.33</v>
          </cell>
          <cell r="G1583">
            <v>0</v>
          </cell>
          <cell r="H1583" t="str">
            <v>60/61</v>
          </cell>
        </row>
        <row r="1584">
          <cell r="F1584">
            <v>215.96</v>
          </cell>
          <cell r="G1584">
            <v>0</v>
          </cell>
          <cell r="H1584" t="str">
            <v>60/61</v>
          </cell>
        </row>
        <row r="1585">
          <cell r="F1585">
            <v>-412.65999999999985</v>
          </cell>
          <cell r="G1585">
            <v>0</v>
          </cell>
          <cell r="H1585" t="str">
            <v>60/61</v>
          </cell>
        </row>
        <row r="1586">
          <cell r="F1586">
            <v>1150.71</v>
          </cell>
          <cell r="G1586">
            <v>0</v>
          </cell>
          <cell r="H1586" t="str">
            <v>60/61</v>
          </cell>
        </row>
        <row r="1587">
          <cell r="F1587">
            <v>1510.79</v>
          </cell>
          <cell r="G1587">
            <v>0</v>
          </cell>
          <cell r="H1587" t="str">
            <v>60/61</v>
          </cell>
        </row>
        <row r="1588">
          <cell r="F1588">
            <v>509.44999999999993</v>
          </cell>
          <cell r="G1588">
            <v>0</v>
          </cell>
          <cell r="H1588" t="str">
            <v>60/61</v>
          </cell>
        </row>
        <row r="1589">
          <cell r="F1589">
            <v>8827.8700000000008</v>
          </cell>
          <cell r="G1589">
            <v>0</v>
          </cell>
          <cell r="H1589" t="str">
            <v>60/61</v>
          </cell>
        </row>
        <row r="1590">
          <cell r="F1590">
            <v>149.63999999999999</v>
          </cell>
          <cell r="G1590">
            <v>0</v>
          </cell>
          <cell r="H1590" t="str">
            <v>60/61</v>
          </cell>
        </row>
        <row r="1591">
          <cell r="F1591">
            <v>703.55</v>
          </cell>
          <cell r="G1591">
            <v>0</v>
          </cell>
          <cell r="H1591" t="str">
            <v>60/61</v>
          </cell>
        </row>
        <row r="1592">
          <cell r="F1592">
            <v>379.62</v>
          </cell>
          <cell r="G1592">
            <v>0</v>
          </cell>
          <cell r="H1592" t="str">
            <v>60/61</v>
          </cell>
        </row>
        <row r="1593">
          <cell r="F1593">
            <v>318.73</v>
          </cell>
          <cell r="G1593">
            <v>0</v>
          </cell>
          <cell r="H1593" t="str">
            <v>60/61</v>
          </cell>
        </row>
        <row r="1594">
          <cell r="F1594">
            <v>300</v>
          </cell>
          <cell r="G1594">
            <v>0</v>
          </cell>
          <cell r="H1594" t="str">
            <v>60/61</v>
          </cell>
        </row>
        <row r="1595">
          <cell r="F1595">
            <v>471.28999999999996</v>
          </cell>
          <cell r="G1595">
            <v>0</v>
          </cell>
          <cell r="H1595" t="str">
            <v>60/61</v>
          </cell>
        </row>
        <row r="1596">
          <cell r="F1596">
            <v>208.9</v>
          </cell>
          <cell r="G1596">
            <v>0</v>
          </cell>
          <cell r="H1596" t="str">
            <v>60/61</v>
          </cell>
        </row>
        <row r="1597">
          <cell r="F1597">
            <v>2075.48</v>
          </cell>
          <cell r="G1597">
            <v>0</v>
          </cell>
          <cell r="H1597" t="str">
            <v>60/61</v>
          </cell>
        </row>
        <row r="1598">
          <cell r="F1598">
            <v>2.0500000000000007</v>
          </cell>
          <cell r="G1598">
            <v>0</v>
          </cell>
          <cell r="H1598" t="str">
            <v>60/61</v>
          </cell>
        </row>
        <row r="1599">
          <cell r="F1599">
            <v>1.5500000000000114</v>
          </cell>
          <cell r="G1599">
            <v>0</v>
          </cell>
          <cell r="H1599" t="str">
            <v>60/61</v>
          </cell>
        </row>
        <row r="1600">
          <cell r="F1600">
            <v>10.75</v>
          </cell>
          <cell r="G1600">
            <v>0</v>
          </cell>
          <cell r="H1600" t="str">
            <v>60/61</v>
          </cell>
        </row>
        <row r="1601">
          <cell r="F1601">
            <v>4010.12</v>
          </cell>
          <cell r="G1601">
            <v>0</v>
          </cell>
          <cell r="H1601" t="str">
            <v>60/61</v>
          </cell>
        </row>
        <row r="1602">
          <cell r="F1602">
            <v>1556.5</v>
          </cell>
          <cell r="G1602">
            <v>0</v>
          </cell>
          <cell r="H1602" t="str">
            <v>60/61</v>
          </cell>
        </row>
        <row r="1603">
          <cell r="F1603">
            <v>2368.0700000000002</v>
          </cell>
          <cell r="G1603">
            <v>0</v>
          </cell>
          <cell r="H1603" t="str">
            <v>60/61</v>
          </cell>
        </row>
        <row r="1604">
          <cell r="F1604">
            <v>1.1000000000000005</v>
          </cell>
          <cell r="G1604">
            <v>0</v>
          </cell>
          <cell r="H1604" t="str">
            <v>60/61</v>
          </cell>
        </row>
        <row r="1605">
          <cell r="F1605">
            <v>24871.519999999997</v>
          </cell>
          <cell r="G1605">
            <v>0</v>
          </cell>
          <cell r="H1605" t="str">
            <v>60/61</v>
          </cell>
        </row>
        <row r="1606">
          <cell r="F1606">
            <v>737.87</v>
          </cell>
          <cell r="G1606">
            <v>0</v>
          </cell>
          <cell r="H1606" t="str">
            <v>60/61</v>
          </cell>
        </row>
        <row r="1607">
          <cell r="F1607">
            <v>999.25</v>
          </cell>
          <cell r="G1607">
            <v>0</v>
          </cell>
          <cell r="H1607" t="str">
            <v>60/61</v>
          </cell>
        </row>
        <row r="1608">
          <cell r="F1608">
            <v>1416.48</v>
          </cell>
          <cell r="G1608">
            <v>0</v>
          </cell>
          <cell r="H1608" t="str">
            <v>60/61</v>
          </cell>
        </row>
        <row r="1609">
          <cell r="F1609">
            <v>104.9</v>
          </cell>
          <cell r="G1609">
            <v>0</v>
          </cell>
          <cell r="H1609" t="str">
            <v>60/61</v>
          </cell>
        </row>
        <row r="1610">
          <cell r="F1610">
            <v>12883.76</v>
          </cell>
          <cell r="G1610">
            <v>0</v>
          </cell>
          <cell r="H1610" t="str">
            <v>60/61</v>
          </cell>
        </row>
        <row r="1611">
          <cell r="F1611">
            <v>126.78</v>
          </cell>
          <cell r="G1611">
            <v>0</v>
          </cell>
          <cell r="H1611" t="str">
            <v>60/61</v>
          </cell>
        </row>
        <row r="1612">
          <cell r="F1612">
            <v>23457.35</v>
          </cell>
          <cell r="G1612">
            <v>0</v>
          </cell>
          <cell r="H1612" t="str">
            <v>60/61</v>
          </cell>
        </row>
        <row r="1613">
          <cell r="F1613">
            <v>0.59</v>
          </cell>
          <cell r="G1613">
            <v>0</v>
          </cell>
          <cell r="H1613" t="str">
            <v>60/61</v>
          </cell>
        </row>
        <row r="1614">
          <cell r="F1614">
            <v>379.62</v>
          </cell>
          <cell r="G1614">
            <v>0</v>
          </cell>
          <cell r="H1614" t="str">
            <v>60/61</v>
          </cell>
        </row>
        <row r="1615">
          <cell r="F1615">
            <v>409.56</v>
          </cell>
          <cell r="G1615">
            <v>0</v>
          </cell>
          <cell r="H1615" t="str">
            <v>60/61</v>
          </cell>
        </row>
        <row r="1616">
          <cell r="F1616">
            <v>204.9</v>
          </cell>
          <cell r="G1616">
            <v>0</v>
          </cell>
          <cell r="H1616" t="str">
            <v>60/61</v>
          </cell>
        </row>
        <row r="1617">
          <cell r="F1617">
            <v>3437</v>
          </cell>
          <cell r="G1617">
            <v>0</v>
          </cell>
          <cell r="H1617" t="str">
            <v>60/61</v>
          </cell>
        </row>
        <row r="1618">
          <cell r="F1618">
            <v>182.74</v>
          </cell>
          <cell r="G1618">
            <v>0</v>
          </cell>
          <cell r="H1618" t="str">
            <v>60/61</v>
          </cell>
        </row>
        <row r="1619">
          <cell r="F1619">
            <v>199.4</v>
          </cell>
          <cell r="G1619">
            <v>0</v>
          </cell>
          <cell r="H1619" t="str">
            <v>60/61</v>
          </cell>
        </row>
        <row r="1620">
          <cell r="F1620">
            <v>534.67999999999995</v>
          </cell>
          <cell r="G1620">
            <v>0</v>
          </cell>
          <cell r="H1620" t="str">
            <v>60/61</v>
          </cell>
        </row>
        <row r="1621">
          <cell r="F1621">
            <v>2984.8599999999997</v>
          </cell>
          <cell r="G1621">
            <v>0</v>
          </cell>
          <cell r="H1621" t="str">
            <v>60/61</v>
          </cell>
        </row>
        <row r="1622">
          <cell r="F1622">
            <v>4991.8999999999996</v>
          </cell>
          <cell r="G1622">
            <v>0</v>
          </cell>
          <cell r="H1622" t="str">
            <v>60/61</v>
          </cell>
        </row>
        <row r="1623">
          <cell r="F1623">
            <v>516.86</v>
          </cell>
          <cell r="G1623">
            <v>0</v>
          </cell>
          <cell r="H1623" t="str">
            <v>60/61</v>
          </cell>
        </row>
        <row r="1624">
          <cell r="F1624">
            <v>245.96000000000004</v>
          </cell>
          <cell r="G1624">
            <v>0</v>
          </cell>
          <cell r="H1624" t="str">
            <v>60/61</v>
          </cell>
        </row>
        <row r="1625">
          <cell r="F1625">
            <v>2706.4599999999996</v>
          </cell>
          <cell r="G1625">
            <v>0</v>
          </cell>
          <cell r="H1625" t="str">
            <v>60/61</v>
          </cell>
        </row>
        <row r="1626">
          <cell r="F1626">
            <v>19600.440000000002</v>
          </cell>
          <cell r="G1626">
            <v>0</v>
          </cell>
          <cell r="H1626" t="str">
            <v>60/61</v>
          </cell>
        </row>
        <row r="1627">
          <cell r="F1627">
            <v>393.36</v>
          </cell>
          <cell r="G1627">
            <v>0</v>
          </cell>
          <cell r="H1627" t="str">
            <v>60/61</v>
          </cell>
        </row>
        <row r="1628">
          <cell r="F1628">
            <v>6144.6299999999992</v>
          </cell>
          <cell r="G1628">
            <v>0</v>
          </cell>
          <cell r="H1628" t="str">
            <v>60/61</v>
          </cell>
        </row>
        <row r="1629">
          <cell r="F1629">
            <v>3194.1400000000003</v>
          </cell>
          <cell r="G1629">
            <v>0</v>
          </cell>
          <cell r="H1629" t="str">
            <v>60/61</v>
          </cell>
        </row>
        <row r="1630">
          <cell r="F1630">
            <v>999.43000000000006</v>
          </cell>
          <cell r="G1630">
            <v>0</v>
          </cell>
          <cell r="H1630" t="str">
            <v>60/61</v>
          </cell>
        </row>
        <row r="1631">
          <cell r="F1631">
            <v>252.23</v>
          </cell>
          <cell r="G1631">
            <v>0</v>
          </cell>
          <cell r="H1631" t="str">
            <v>60/61</v>
          </cell>
        </row>
        <row r="1632">
          <cell r="F1632">
            <v>276.04000000000002</v>
          </cell>
          <cell r="G1632">
            <v>0</v>
          </cell>
          <cell r="H1632" t="str">
            <v>60/61</v>
          </cell>
        </row>
        <row r="1633">
          <cell r="F1633">
            <v>578.16999999999996</v>
          </cell>
          <cell r="G1633">
            <v>0</v>
          </cell>
          <cell r="H1633" t="str">
            <v>60/61</v>
          </cell>
        </row>
        <row r="1634">
          <cell r="F1634">
            <v>1213.0999999999999</v>
          </cell>
          <cell r="G1634">
            <v>0</v>
          </cell>
          <cell r="H1634" t="str">
            <v>60/61</v>
          </cell>
        </row>
        <row r="1635">
          <cell r="F1635">
            <v>1773.86</v>
          </cell>
          <cell r="G1635">
            <v>0</v>
          </cell>
          <cell r="H1635" t="str">
            <v>60/61</v>
          </cell>
        </row>
        <row r="1636">
          <cell r="F1636">
            <v>2545.38</v>
          </cell>
          <cell r="G1636">
            <v>0</v>
          </cell>
          <cell r="H1636" t="str">
            <v>60/61</v>
          </cell>
        </row>
        <row r="1637">
          <cell r="F1637">
            <v>610.1099999999999</v>
          </cell>
          <cell r="G1637">
            <v>0</v>
          </cell>
          <cell r="H1637" t="str">
            <v>60/61</v>
          </cell>
        </row>
        <row r="1638">
          <cell r="F1638">
            <v>2547.79</v>
          </cell>
          <cell r="G1638">
            <v>0</v>
          </cell>
          <cell r="H1638" t="str">
            <v>60/61</v>
          </cell>
        </row>
        <row r="1639">
          <cell r="F1639">
            <v>4278.7900000000009</v>
          </cell>
          <cell r="G1639">
            <v>0</v>
          </cell>
          <cell r="H1639" t="str">
            <v>60/61</v>
          </cell>
        </row>
        <row r="1640">
          <cell r="F1640">
            <v>902.41</v>
          </cell>
          <cell r="G1640">
            <v>0</v>
          </cell>
          <cell r="H1640" t="str">
            <v>60/61</v>
          </cell>
        </row>
        <row r="1641">
          <cell r="F1641">
            <v>390.58000000000004</v>
          </cell>
          <cell r="G1641">
            <v>0</v>
          </cell>
          <cell r="H1641" t="str">
            <v>60/61</v>
          </cell>
        </row>
        <row r="1642">
          <cell r="F1642">
            <v>23.72</v>
          </cell>
          <cell r="G1642">
            <v>0</v>
          </cell>
          <cell r="H1642" t="str">
            <v>60/61</v>
          </cell>
        </row>
        <row r="1643">
          <cell r="F1643">
            <v>96.36</v>
          </cell>
          <cell r="G1643">
            <v>0</v>
          </cell>
          <cell r="H1643" t="str">
            <v>60/61</v>
          </cell>
        </row>
        <row r="1644">
          <cell r="F1644">
            <v>2167.1999999999998</v>
          </cell>
          <cell r="G1644">
            <v>0</v>
          </cell>
          <cell r="H1644" t="str">
            <v>60/61</v>
          </cell>
        </row>
        <row r="1645">
          <cell r="F1645">
            <v>770.06000000000006</v>
          </cell>
          <cell r="G1645">
            <v>0</v>
          </cell>
          <cell r="H1645" t="str">
            <v>60/61</v>
          </cell>
        </row>
        <row r="1646">
          <cell r="F1646">
            <v>60.89</v>
          </cell>
          <cell r="G1646">
            <v>0</v>
          </cell>
          <cell r="H1646" t="str">
            <v>60/61</v>
          </cell>
        </row>
        <row r="1647">
          <cell r="F1647">
            <v>350</v>
          </cell>
          <cell r="G1647">
            <v>0</v>
          </cell>
          <cell r="H1647" t="str">
            <v>60/61</v>
          </cell>
        </row>
        <row r="1648">
          <cell r="F1648">
            <v>-75.090000000000146</v>
          </cell>
          <cell r="G1648">
            <v>0</v>
          </cell>
          <cell r="H1648" t="str">
            <v>60/61</v>
          </cell>
        </row>
        <row r="1649">
          <cell r="F1649">
            <v>1871.4</v>
          </cell>
          <cell r="G1649">
            <v>0</v>
          </cell>
          <cell r="H1649" t="str">
            <v>60/61</v>
          </cell>
        </row>
        <row r="1650">
          <cell r="F1650">
            <v>443.17</v>
          </cell>
          <cell r="G1650">
            <v>0</v>
          </cell>
          <cell r="H1650" t="str">
            <v>60/61</v>
          </cell>
        </row>
        <row r="1651">
          <cell r="F1651">
            <v>1666.55</v>
          </cell>
          <cell r="G1651">
            <v>0</v>
          </cell>
          <cell r="H1651" t="str">
            <v>60/61</v>
          </cell>
        </row>
        <row r="1652">
          <cell r="F1652">
            <v>1.5500000000000007</v>
          </cell>
          <cell r="G1652">
            <v>0</v>
          </cell>
          <cell r="H1652" t="str">
            <v>60/61</v>
          </cell>
        </row>
        <row r="1653">
          <cell r="F1653">
            <v>2463.29</v>
          </cell>
          <cell r="G1653">
            <v>0</v>
          </cell>
          <cell r="H1653" t="str">
            <v>60/61</v>
          </cell>
        </row>
        <row r="1654">
          <cell r="F1654">
            <v>345.87</v>
          </cell>
          <cell r="G1654">
            <v>0</v>
          </cell>
          <cell r="H1654" t="str">
            <v>60/61</v>
          </cell>
        </row>
        <row r="1655">
          <cell r="F1655">
            <v>2682.33</v>
          </cell>
          <cell r="G1655">
            <v>0</v>
          </cell>
          <cell r="H1655" t="str">
            <v>60/61</v>
          </cell>
        </row>
        <row r="1656">
          <cell r="F1656">
            <v>300.74</v>
          </cell>
          <cell r="G1656">
            <v>0</v>
          </cell>
          <cell r="H1656" t="str">
            <v>60/61</v>
          </cell>
        </row>
        <row r="1657">
          <cell r="F1657">
            <v>573.01</v>
          </cell>
          <cell r="G1657">
            <v>0</v>
          </cell>
          <cell r="H1657" t="str">
            <v>60/61</v>
          </cell>
        </row>
        <row r="1658">
          <cell r="F1658">
            <v>1109.9000000000001</v>
          </cell>
          <cell r="G1658">
            <v>0</v>
          </cell>
          <cell r="H1658" t="str">
            <v>60/61</v>
          </cell>
        </row>
        <row r="1659">
          <cell r="F1659">
            <v>4527.6000000000004</v>
          </cell>
          <cell r="G1659">
            <v>0</v>
          </cell>
          <cell r="H1659" t="str">
            <v>60/61</v>
          </cell>
        </row>
        <row r="1660">
          <cell r="F1660">
            <v>194.63</v>
          </cell>
          <cell r="G1660">
            <v>0</v>
          </cell>
          <cell r="H1660" t="str">
            <v>60/61</v>
          </cell>
        </row>
        <row r="1661">
          <cell r="F1661">
            <v>534.67999999999995</v>
          </cell>
          <cell r="G1661">
            <v>0</v>
          </cell>
          <cell r="H1661" t="str">
            <v>60/61</v>
          </cell>
        </row>
        <row r="1662">
          <cell r="F1662">
            <v>2052.35</v>
          </cell>
          <cell r="G1662">
            <v>0</v>
          </cell>
          <cell r="H1662" t="str">
            <v>60/61</v>
          </cell>
        </row>
        <row r="1663">
          <cell r="F1663">
            <v>-44.319999999999936</v>
          </cell>
          <cell r="G1663">
            <v>0</v>
          </cell>
          <cell r="H1663" t="str">
            <v>60/61</v>
          </cell>
        </row>
        <row r="1664">
          <cell r="F1664">
            <v>2472.5100000000002</v>
          </cell>
          <cell r="G1664">
            <v>0</v>
          </cell>
          <cell r="H1664" t="str">
            <v>60/61</v>
          </cell>
        </row>
        <row r="1665">
          <cell r="F1665">
            <v>3868.2</v>
          </cell>
          <cell r="G1665">
            <v>0</v>
          </cell>
          <cell r="H1665" t="str">
            <v>60/61</v>
          </cell>
        </row>
        <row r="1666">
          <cell r="F1666">
            <v>436.30999999999995</v>
          </cell>
          <cell r="G1666">
            <v>0</v>
          </cell>
          <cell r="H1666" t="str">
            <v>60/61</v>
          </cell>
        </row>
        <row r="1667">
          <cell r="F1667">
            <v>1277.3699999999999</v>
          </cell>
          <cell r="G1667">
            <v>0</v>
          </cell>
          <cell r="H1667" t="str">
            <v>60/61</v>
          </cell>
        </row>
        <row r="1668">
          <cell r="F1668">
            <v>39.75</v>
          </cell>
          <cell r="G1668">
            <v>0</v>
          </cell>
          <cell r="H1668" t="str">
            <v>60/61</v>
          </cell>
        </row>
        <row r="1669">
          <cell r="F1669">
            <v>11777.440000000002</v>
          </cell>
          <cell r="G1669">
            <v>0</v>
          </cell>
          <cell r="H1669" t="str">
            <v>60/61</v>
          </cell>
        </row>
        <row r="1670">
          <cell r="F1670">
            <v>1513.47</v>
          </cell>
          <cell r="G1670">
            <v>0</v>
          </cell>
          <cell r="H1670" t="str">
            <v>60/61</v>
          </cell>
        </row>
        <row r="1671">
          <cell r="F1671">
            <v>1983.61</v>
          </cell>
          <cell r="G1671">
            <v>0</v>
          </cell>
          <cell r="H1671" t="str">
            <v>60/61</v>
          </cell>
        </row>
        <row r="1672">
          <cell r="F1672">
            <v>302.99</v>
          </cell>
          <cell r="G1672">
            <v>0</v>
          </cell>
          <cell r="H1672" t="str">
            <v>60/61</v>
          </cell>
        </row>
        <row r="1673">
          <cell r="F1673">
            <v>-133.98999999999978</v>
          </cell>
          <cell r="G1673">
            <v>0</v>
          </cell>
          <cell r="H1673" t="str">
            <v>60/61</v>
          </cell>
        </row>
        <row r="1674">
          <cell r="F1674">
            <v>0</v>
          </cell>
          <cell r="G1674">
            <v>0</v>
          </cell>
          <cell r="H1674" t="str">
            <v>60/61</v>
          </cell>
        </row>
        <row r="1675">
          <cell r="F1675">
            <v>-515.82000000000005</v>
          </cell>
          <cell r="G1675">
            <v>0</v>
          </cell>
          <cell r="H1675" t="str">
            <v>60/61</v>
          </cell>
        </row>
        <row r="1676">
          <cell r="F1676">
            <v>65.569999999999993</v>
          </cell>
          <cell r="G1676">
            <v>0</v>
          </cell>
          <cell r="H1676" t="str">
            <v>60/61</v>
          </cell>
        </row>
        <row r="1677">
          <cell r="F1677">
            <v>0</v>
          </cell>
          <cell r="G1677">
            <v>0</v>
          </cell>
          <cell r="H1677" t="str">
            <v>60/61</v>
          </cell>
        </row>
        <row r="1678">
          <cell r="F1678">
            <v>4.84</v>
          </cell>
          <cell r="G1678">
            <v>0</v>
          </cell>
          <cell r="H1678" t="str">
            <v>60/61</v>
          </cell>
        </row>
        <row r="1679">
          <cell r="F1679">
            <v>51.89</v>
          </cell>
          <cell r="G1679">
            <v>0</v>
          </cell>
          <cell r="H1679" t="str">
            <v>60/61</v>
          </cell>
        </row>
        <row r="1680">
          <cell r="F1680">
            <v>109.27</v>
          </cell>
          <cell r="G1680">
            <v>0</v>
          </cell>
          <cell r="H1680" t="str">
            <v>60/61</v>
          </cell>
        </row>
        <row r="1681">
          <cell r="F1681">
            <v>42.02</v>
          </cell>
          <cell r="G1681">
            <v>0</v>
          </cell>
          <cell r="H1681" t="str">
            <v>60/61</v>
          </cell>
        </row>
        <row r="1682">
          <cell r="F1682">
            <v>464.40000000000009</v>
          </cell>
          <cell r="G1682">
            <v>0</v>
          </cell>
          <cell r="H1682" t="str">
            <v>60/61</v>
          </cell>
        </row>
        <row r="1683">
          <cell r="F1683">
            <v>3958.53</v>
          </cell>
          <cell r="G1683">
            <v>0</v>
          </cell>
          <cell r="H1683" t="str">
            <v>60/61</v>
          </cell>
        </row>
        <row r="1684">
          <cell r="F1684">
            <v>267.98</v>
          </cell>
          <cell r="G1684">
            <v>0</v>
          </cell>
          <cell r="H1684" t="str">
            <v>60/61</v>
          </cell>
        </row>
        <row r="1685">
          <cell r="F1685">
            <v>156.15</v>
          </cell>
          <cell r="G1685">
            <v>0</v>
          </cell>
          <cell r="H1685" t="str">
            <v>60/61</v>
          </cell>
        </row>
        <row r="1686">
          <cell r="F1686">
            <v>1496.28</v>
          </cell>
          <cell r="G1686">
            <v>0</v>
          </cell>
          <cell r="H1686" t="str">
            <v>60/61</v>
          </cell>
        </row>
        <row r="1687">
          <cell r="F1687">
            <v>94.81</v>
          </cell>
          <cell r="G1687">
            <v>0</v>
          </cell>
          <cell r="H1687" t="str">
            <v>60/61</v>
          </cell>
        </row>
        <row r="1688">
          <cell r="F1688">
            <v>189.7</v>
          </cell>
          <cell r="G1688">
            <v>0</v>
          </cell>
          <cell r="H1688" t="str">
            <v>60/61</v>
          </cell>
        </row>
        <row r="1689">
          <cell r="F1689">
            <v>2182.63</v>
          </cell>
          <cell r="G1689">
            <v>0</v>
          </cell>
          <cell r="H1689" t="str">
            <v>60/61</v>
          </cell>
        </row>
        <row r="1690">
          <cell r="F1690">
            <v>1661.6200000000001</v>
          </cell>
          <cell r="G1690">
            <v>0</v>
          </cell>
          <cell r="H1690" t="str">
            <v>60/61</v>
          </cell>
        </row>
        <row r="1691">
          <cell r="F1691">
            <v>192.09</v>
          </cell>
          <cell r="G1691">
            <v>0</v>
          </cell>
          <cell r="H1691" t="str">
            <v>60/61</v>
          </cell>
        </row>
        <row r="1692">
          <cell r="F1692">
            <v>53.06</v>
          </cell>
          <cell r="G1692">
            <v>0</v>
          </cell>
          <cell r="H1692" t="str">
            <v>60/61</v>
          </cell>
        </row>
        <row r="1693">
          <cell r="F1693">
            <v>1.78</v>
          </cell>
          <cell r="G1693">
            <v>0</v>
          </cell>
          <cell r="H1693" t="str">
            <v>60/61</v>
          </cell>
        </row>
        <row r="1694">
          <cell r="F1694">
            <v>101.29000000000002</v>
          </cell>
          <cell r="G1694">
            <v>0</v>
          </cell>
          <cell r="H1694" t="str">
            <v>60/61</v>
          </cell>
        </row>
        <row r="1695">
          <cell r="F1695">
            <v>0</v>
          </cell>
          <cell r="G1695">
            <v>0</v>
          </cell>
          <cell r="H1695" t="str">
            <v>60/61</v>
          </cell>
        </row>
        <row r="1696">
          <cell r="F1696">
            <v>70.23</v>
          </cell>
          <cell r="G1696">
            <v>0</v>
          </cell>
          <cell r="H1696" t="str">
            <v>60/61</v>
          </cell>
        </row>
        <row r="1697">
          <cell r="F1697">
            <v>116.92</v>
          </cell>
          <cell r="G1697">
            <v>0</v>
          </cell>
          <cell r="H1697" t="str">
            <v>60/61</v>
          </cell>
        </row>
        <row r="1698">
          <cell r="F1698">
            <v>452.45</v>
          </cell>
          <cell r="G1698">
            <v>0</v>
          </cell>
          <cell r="H1698" t="str">
            <v>60/61</v>
          </cell>
        </row>
        <row r="1699">
          <cell r="F1699">
            <v>2389.7600000000002</v>
          </cell>
          <cell r="G1699">
            <v>0</v>
          </cell>
          <cell r="H1699" t="str">
            <v>60/61</v>
          </cell>
        </row>
        <row r="1700">
          <cell r="F1700">
            <v>641.20000000000005</v>
          </cell>
          <cell r="G1700">
            <v>0</v>
          </cell>
          <cell r="H1700" t="str">
            <v>60/61</v>
          </cell>
        </row>
        <row r="1701">
          <cell r="F1701">
            <v>275</v>
          </cell>
          <cell r="G1701">
            <v>0</v>
          </cell>
          <cell r="H1701" t="str">
            <v>60/61</v>
          </cell>
        </row>
        <row r="1702">
          <cell r="F1702">
            <v>374.88</v>
          </cell>
          <cell r="G1702">
            <v>0</v>
          </cell>
          <cell r="H1702" t="str">
            <v>60/61</v>
          </cell>
        </row>
        <row r="1703">
          <cell r="F1703">
            <v>1041.76</v>
          </cell>
          <cell r="G1703">
            <v>0</v>
          </cell>
          <cell r="H1703" t="str">
            <v>60/61</v>
          </cell>
        </row>
        <row r="1704">
          <cell r="F1704">
            <v>160.44</v>
          </cell>
          <cell r="G1704">
            <v>0</v>
          </cell>
          <cell r="H1704" t="str">
            <v>60/61</v>
          </cell>
        </row>
        <row r="1705">
          <cell r="F1705">
            <v>1059.03</v>
          </cell>
          <cell r="G1705">
            <v>0</v>
          </cell>
          <cell r="H1705" t="str">
            <v>60/61</v>
          </cell>
        </row>
        <row r="1706">
          <cell r="F1706">
            <v>24.01</v>
          </cell>
          <cell r="G1706">
            <v>0</v>
          </cell>
          <cell r="H1706" t="str">
            <v>60/61</v>
          </cell>
        </row>
        <row r="1707">
          <cell r="F1707">
            <v>59.93</v>
          </cell>
          <cell r="G1707">
            <v>0</v>
          </cell>
          <cell r="H1707" t="str">
            <v>60/61</v>
          </cell>
        </row>
        <row r="1708">
          <cell r="F1708">
            <v>3425.43</v>
          </cell>
          <cell r="G1708">
            <v>0</v>
          </cell>
          <cell r="H1708" t="str">
            <v>60/61</v>
          </cell>
        </row>
        <row r="1709">
          <cell r="F1709">
            <v>1067.3400000000001</v>
          </cell>
          <cell r="G1709">
            <v>0</v>
          </cell>
          <cell r="H1709" t="str">
            <v>60/61</v>
          </cell>
        </row>
        <row r="1710">
          <cell r="F1710">
            <v>10175.41</v>
          </cell>
          <cell r="G1710">
            <v>0</v>
          </cell>
          <cell r="H1710" t="str">
            <v>60/61</v>
          </cell>
        </row>
        <row r="1711">
          <cell r="F1711">
            <v>90.95</v>
          </cell>
          <cell r="G1711">
            <v>0</v>
          </cell>
          <cell r="H1711" t="str">
            <v>60/61</v>
          </cell>
        </row>
        <row r="1712">
          <cell r="F1712">
            <v>9612.2899999999991</v>
          </cell>
          <cell r="G1712">
            <v>0</v>
          </cell>
          <cell r="H1712" t="str">
            <v>60/61</v>
          </cell>
        </row>
        <row r="1713">
          <cell r="F1713">
            <v>74.400000000000006</v>
          </cell>
          <cell r="G1713">
            <v>0</v>
          </cell>
          <cell r="H1713" t="str">
            <v>60/61</v>
          </cell>
        </row>
        <row r="1714">
          <cell r="F1714">
            <v>109.31</v>
          </cell>
          <cell r="G1714">
            <v>0</v>
          </cell>
          <cell r="H1714" t="str">
            <v>60/61</v>
          </cell>
        </row>
        <row r="1715">
          <cell r="F1715">
            <v>363.16</v>
          </cell>
          <cell r="G1715">
            <v>0</v>
          </cell>
          <cell r="H1715" t="str">
            <v>60/61</v>
          </cell>
        </row>
        <row r="1716">
          <cell r="F1716">
            <v>67.94</v>
          </cell>
          <cell r="G1716">
            <v>0</v>
          </cell>
          <cell r="H1716" t="str">
            <v>60/61</v>
          </cell>
        </row>
        <row r="1717">
          <cell r="F1717">
            <v>3.18</v>
          </cell>
          <cell r="G1717">
            <v>0</v>
          </cell>
          <cell r="H1717" t="str">
            <v>60/61</v>
          </cell>
        </row>
        <row r="1718">
          <cell r="F1718">
            <v>5.3</v>
          </cell>
          <cell r="G1718">
            <v>0</v>
          </cell>
          <cell r="H1718" t="str">
            <v>60/61</v>
          </cell>
        </row>
        <row r="1719">
          <cell r="F1719">
            <v>970.19999999999982</v>
          </cell>
          <cell r="G1719">
            <v>0</v>
          </cell>
          <cell r="H1719" t="str">
            <v>60/61</v>
          </cell>
        </row>
        <row r="1720">
          <cell r="F1720">
            <v>53.02</v>
          </cell>
          <cell r="G1720">
            <v>0</v>
          </cell>
          <cell r="H1720" t="str">
            <v>60/61</v>
          </cell>
        </row>
        <row r="1721">
          <cell r="F1721">
            <v>6285.49</v>
          </cell>
          <cell r="G1721">
            <v>0</v>
          </cell>
          <cell r="H1721" t="str">
            <v>60/61</v>
          </cell>
        </row>
        <row r="1722">
          <cell r="F1722">
            <v>13.26</v>
          </cell>
          <cell r="G1722">
            <v>0</v>
          </cell>
          <cell r="H1722" t="str">
            <v>60/61</v>
          </cell>
        </row>
        <row r="1723">
          <cell r="F1723">
            <v>11.07</v>
          </cell>
          <cell r="G1723">
            <v>0</v>
          </cell>
          <cell r="H1723" t="str">
            <v>60/61</v>
          </cell>
        </row>
        <row r="1724">
          <cell r="F1724">
            <v>97.66</v>
          </cell>
          <cell r="G1724">
            <v>0</v>
          </cell>
          <cell r="H1724" t="str">
            <v>60/61</v>
          </cell>
        </row>
        <row r="1725">
          <cell r="F1725">
            <v>2000</v>
          </cell>
          <cell r="G1725">
            <v>0</v>
          </cell>
          <cell r="H1725" t="str">
            <v>60/61</v>
          </cell>
        </row>
        <row r="1726">
          <cell r="F1726">
            <v>138.06</v>
          </cell>
          <cell r="G1726">
            <v>0</v>
          </cell>
          <cell r="H1726" t="str">
            <v>60/61</v>
          </cell>
        </row>
        <row r="1727">
          <cell r="F1727">
            <v>127.53</v>
          </cell>
          <cell r="G1727">
            <v>0</v>
          </cell>
          <cell r="H1727" t="str">
            <v>60/61</v>
          </cell>
        </row>
        <row r="1728">
          <cell r="F1728">
            <v>29.17</v>
          </cell>
          <cell r="G1728">
            <v>0</v>
          </cell>
          <cell r="H1728" t="str">
            <v>60/61</v>
          </cell>
        </row>
        <row r="1729">
          <cell r="F1729">
            <v>276.45999999999998</v>
          </cell>
          <cell r="G1729">
            <v>0</v>
          </cell>
          <cell r="H1729" t="str">
            <v>60/61</v>
          </cell>
        </row>
        <row r="1730">
          <cell r="F1730">
            <v>701.47</v>
          </cell>
          <cell r="G1730">
            <v>0</v>
          </cell>
          <cell r="H1730" t="str">
            <v>60/61</v>
          </cell>
        </row>
        <row r="1731">
          <cell r="F1731">
            <v>8056.93</v>
          </cell>
          <cell r="G1731">
            <v>0</v>
          </cell>
          <cell r="H1731" t="str">
            <v>60/61</v>
          </cell>
        </row>
        <row r="1732">
          <cell r="F1732">
            <v>748.21</v>
          </cell>
          <cell r="G1732">
            <v>0</v>
          </cell>
          <cell r="H1732" t="str">
            <v>60/61</v>
          </cell>
        </row>
        <row r="1733">
          <cell r="F1733">
            <v>2042.19</v>
          </cell>
          <cell r="G1733">
            <v>0</v>
          </cell>
          <cell r="H1733" t="str">
            <v>60/61</v>
          </cell>
        </row>
        <row r="1734">
          <cell r="F1734">
            <v>1163.92</v>
          </cell>
          <cell r="G1734">
            <v>0</v>
          </cell>
          <cell r="H1734" t="str">
            <v>60/61</v>
          </cell>
        </row>
        <row r="1735">
          <cell r="F1735">
            <v>262.22000000000003</v>
          </cell>
          <cell r="G1735">
            <v>0</v>
          </cell>
          <cell r="H1735" t="str">
            <v>60/61</v>
          </cell>
        </row>
        <row r="1736">
          <cell r="F1736">
            <v>24.63</v>
          </cell>
          <cell r="G1736">
            <v>0</v>
          </cell>
          <cell r="H1736" t="str">
            <v>60/61</v>
          </cell>
        </row>
        <row r="1737">
          <cell r="F1737">
            <v>143.07</v>
          </cell>
          <cell r="G1737">
            <v>0</v>
          </cell>
          <cell r="H1737" t="str">
            <v>60/61</v>
          </cell>
        </row>
        <row r="1738">
          <cell r="F1738">
            <v>89.62</v>
          </cell>
          <cell r="G1738">
            <v>0</v>
          </cell>
          <cell r="H1738" t="str">
            <v>60/61</v>
          </cell>
        </row>
        <row r="1739">
          <cell r="F1739">
            <v>768.44</v>
          </cell>
          <cell r="G1739">
            <v>0</v>
          </cell>
          <cell r="H1739" t="str">
            <v>60/61</v>
          </cell>
        </row>
        <row r="1740">
          <cell r="F1740">
            <v>250</v>
          </cell>
          <cell r="G1740">
            <v>0</v>
          </cell>
          <cell r="H1740" t="str">
            <v>60/61</v>
          </cell>
        </row>
        <row r="1741">
          <cell r="F1741">
            <v>962.58999999999992</v>
          </cell>
          <cell r="G1741">
            <v>0</v>
          </cell>
          <cell r="H1741" t="str">
            <v>60/61</v>
          </cell>
        </row>
        <row r="1742">
          <cell r="F1742">
            <v>540.03</v>
          </cell>
          <cell r="G1742">
            <v>0</v>
          </cell>
          <cell r="H1742" t="str">
            <v>60/61</v>
          </cell>
        </row>
        <row r="1743">
          <cell r="F1743">
            <v>1625.15</v>
          </cell>
          <cell r="G1743">
            <v>0</v>
          </cell>
          <cell r="H1743" t="str">
            <v>60/61</v>
          </cell>
        </row>
        <row r="1744">
          <cell r="F1744">
            <v>1234.07</v>
          </cell>
          <cell r="G1744">
            <v>0</v>
          </cell>
          <cell r="H1744" t="str">
            <v>60/61</v>
          </cell>
        </row>
        <row r="1745">
          <cell r="F1745">
            <v>1607.0400000000002</v>
          </cell>
          <cell r="G1745">
            <v>0</v>
          </cell>
          <cell r="H1745" t="str">
            <v>60/61</v>
          </cell>
        </row>
        <row r="1746">
          <cell r="F1746">
            <v>1240.48</v>
          </cell>
          <cell r="G1746">
            <v>0</v>
          </cell>
          <cell r="H1746" t="str">
            <v>60/61</v>
          </cell>
        </row>
        <row r="1747">
          <cell r="F1747">
            <v>402.01</v>
          </cell>
          <cell r="G1747">
            <v>0</v>
          </cell>
          <cell r="H1747" t="str">
            <v>60/61</v>
          </cell>
        </row>
        <row r="1748">
          <cell r="F1748">
            <v>109.28</v>
          </cell>
          <cell r="G1748">
            <v>0</v>
          </cell>
          <cell r="H1748" t="str">
            <v>60/61</v>
          </cell>
        </row>
        <row r="1749">
          <cell r="F1749">
            <v>2076.98</v>
          </cell>
          <cell r="G1749">
            <v>0</v>
          </cell>
          <cell r="H1749" t="str">
            <v>60/61</v>
          </cell>
        </row>
        <row r="1750">
          <cell r="F1750">
            <v>144.45000000000002</v>
          </cell>
          <cell r="G1750">
            <v>0</v>
          </cell>
          <cell r="H1750" t="str">
            <v>60/61</v>
          </cell>
        </row>
        <row r="1751">
          <cell r="F1751">
            <v>736.5200000000001</v>
          </cell>
          <cell r="G1751">
            <v>0</v>
          </cell>
          <cell r="H1751" t="str">
            <v>60/61</v>
          </cell>
        </row>
        <row r="1752">
          <cell r="F1752">
            <v>97.12</v>
          </cell>
          <cell r="G1752">
            <v>0</v>
          </cell>
          <cell r="H1752" t="str">
            <v>60/61</v>
          </cell>
        </row>
        <row r="1753">
          <cell r="F1753">
            <v>35.81</v>
          </cell>
          <cell r="G1753">
            <v>0</v>
          </cell>
          <cell r="H1753" t="str">
            <v>60/61</v>
          </cell>
        </row>
        <row r="1754">
          <cell r="F1754">
            <v>125.2</v>
          </cell>
          <cell r="G1754">
            <v>0</v>
          </cell>
          <cell r="H1754" t="str">
            <v>60/61</v>
          </cell>
        </row>
        <row r="1755">
          <cell r="F1755">
            <v>100</v>
          </cell>
          <cell r="G1755">
            <v>0</v>
          </cell>
          <cell r="H1755" t="str">
            <v>60/61</v>
          </cell>
        </row>
        <row r="1756">
          <cell r="F1756">
            <v>256.13</v>
          </cell>
          <cell r="G1756">
            <v>0</v>
          </cell>
          <cell r="H1756" t="str">
            <v>60/61</v>
          </cell>
        </row>
        <row r="1757">
          <cell r="F1757">
            <v>819.97</v>
          </cell>
          <cell r="G1757">
            <v>0</v>
          </cell>
          <cell r="H1757" t="str">
            <v>60/61</v>
          </cell>
        </row>
        <row r="1758">
          <cell r="F1758">
            <v>2090.11</v>
          </cell>
          <cell r="G1758">
            <v>0</v>
          </cell>
          <cell r="H1758" t="str">
            <v>60/61</v>
          </cell>
        </row>
        <row r="1759">
          <cell r="F1759">
            <v>4649.05</v>
          </cell>
          <cell r="G1759">
            <v>0</v>
          </cell>
          <cell r="H1759" t="str">
            <v>60/61</v>
          </cell>
        </row>
        <row r="1760">
          <cell r="F1760">
            <v>1942.39</v>
          </cell>
          <cell r="G1760">
            <v>0</v>
          </cell>
          <cell r="H1760" t="str">
            <v>60/61</v>
          </cell>
        </row>
        <row r="1761">
          <cell r="F1761">
            <v>1966.61</v>
          </cell>
          <cell r="G1761">
            <v>0</v>
          </cell>
          <cell r="H1761" t="str">
            <v>60/61</v>
          </cell>
        </row>
        <row r="1762">
          <cell r="F1762">
            <v>262.22000000000003</v>
          </cell>
          <cell r="G1762">
            <v>0</v>
          </cell>
          <cell r="H1762" t="str">
            <v>60/61</v>
          </cell>
        </row>
        <row r="1763">
          <cell r="F1763">
            <v>828.88000000000011</v>
          </cell>
          <cell r="G1763">
            <v>0</v>
          </cell>
          <cell r="H1763" t="str">
            <v>60/61</v>
          </cell>
        </row>
        <row r="1764">
          <cell r="F1764">
            <v>61.26</v>
          </cell>
          <cell r="G1764">
            <v>0</v>
          </cell>
          <cell r="H1764" t="str">
            <v>60/61</v>
          </cell>
        </row>
        <row r="1765">
          <cell r="F1765">
            <v>154.31</v>
          </cell>
          <cell r="G1765">
            <v>0</v>
          </cell>
          <cell r="H1765" t="str">
            <v>60/61</v>
          </cell>
        </row>
        <row r="1766">
          <cell r="F1766">
            <v>396.56</v>
          </cell>
          <cell r="G1766">
            <v>0</v>
          </cell>
          <cell r="H1766" t="str">
            <v>60/61</v>
          </cell>
        </row>
        <row r="1767">
          <cell r="F1767">
            <v>6702.76</v>
          </cell>
          <cell r="G1767">
            <v>0</v>
          </cell>
          <cell r="H1767" t="str">
            <v>60/61</v>
          </cell>
        </row>
        <row r="1768">
          <cell r="F1768">
            <v>904.99</v>
          </cell>
          <cell r="G1768">
            <v>0</v>
          </cell>
          <cell r="H1768" t="str">
            <v>60/61</v>
          </cell>
        </row>
        <row r="1769">
          <cell r="F1769">
            <v>405.73</v>
          </cell>
          <cell r="G1769">
            <v>0</v>
          </cell>
          <cell r="H1769" t="str">
            <v>60/61</v>
          </cell>
        </row>
        <row r="1770">
          <cell r="F1770">
            <v>22.14</v>
          </cell>
          <cell r="G1770">
            <v>0</v>
          </cell>
          <cell r="H1770" t="str">
            <v>60/61</v>
          </cell>
        </row>
        <row r="1771">
          <cell r="F1771">
            <v>16.619999999999997</v>
          </cell>
          <cell r="G1771">
            <v>0</v>
          </cell>
          <cell r="H1771" t="str">
            <v>60/61</v>
          </cell>
        </row>
        <row r="1772">
          <cell r="F1772">
            <v>689.5</v>
          </cell>
          <cell r="G1772">
            <v>0</v>
          </cell>
          <cell r="H1772" t="str">
            <v>60/61</v>
          </cell>
        </row>
        <row r="1773">
          <cell r="F1773">
            <v>1012.3</v>
          </cell>
          <cell r="G1773">
            <v>0</v>
          </cell>
          <cell r="H1773" t="str">
            <v>60/61</v>
          </cell>
        </row>
        <row r="1774">
          <cell r="F1774">
            <v>463.6</v>
          </cell>
          <cell r="G1774">
            <v>0</v>
          </cell>
          <cell r="H1774" t="str">
            <v>60/61</v>
          </cell>
        </row>
        <row r="1775">
          <cell r="F1775">
            <v>0</v>
          </cell>
          <cell r="G1775">
            <v>0</v>
          </cell>
          <cell r="H1775" t="str">
            <v>60/61</v>
          </cell>
        </row>
        <row r="1776">
          <cell r="F1776">
            <v>58.02</v>
          </cell>
          <cell r="G1776">
            <v>0</v>
          </cell>
          <cell r="H1776" t="str">
            <v>60/61</v>
          </cell>
        </row>
        <row r="1777">
          <cell r="F1777">
            <v>44.85</v>
          </cell>
          <cell r="G1777">
            <v>0</v>
          </cell>
          <cell r="H1777" t="str">
            <v>60/61</v>
          </cell>
        </row>
        <row r="1778">
          <cell r="F1778">
            <v>22.04</v>
          </cell>
          <cell r="G1778">
            <v>0</v>
          </cell>
          <cell r="H1778" t="str">
            <v>60/61</v>
          </cell>
        </row>
        <row r="1779">
          <cell r="F1779">
            <v>672.66</v>
          </cell>
          <cell r="G1779">
            <v>0</v>
          </cell>
          <cell r="H1779" t="str">
            <v>60/61</v>
          </cell>
        </row>
        <row r="1780">
          <cell r="F1780">
            <v>1662.29</v>
          </cell>
          <cell r="G1780">
            <v>0</v>
          </cell>
          <cell r="H1780" t="str">
            <v>60/61</v>
          </cell>
        </row>
        <row r="1781">
          <cell r="F1781">
            <v>2063.7399999999998</v>
          </cell>
          <cell r="G1781">
            <v>0</v>
          </cell>
          <cell r="H1781" t="str">
            <v>60/61</v>
          </cell>
        </row>
        <row r="1782">
          <cell r="F1782">
            <v>14.53</v>
          </cell>
          <cell r="G1782">
            <v>0</v>
          </cell>
          <cell r="H1782" t="str">
            <v>60/61</v>
          </cell>
        </row>
        <row r="1783">
          <cell r="F1783">
            <v>26.25</v>
          </cell>
          <cell r="G1783">
            <v>0</v>
          </cell>
          <cell r="H1783" t="str">
            <v>60/61</v>
          </cell>
        </row>
        <row r="1784">
          <cell r="F1784">
            <v>13.58</v>
          </cell>
          <cell r="G1784">
            <v>0</v>
          </cell>
          <cell r="H1784" t="str">
            <v>60/61</v>
          </cell>
        </row>
        <row r="1785">
          <cell r="F1785">
            <v>0</v>
          </cell>
          <cell r="G1785">
            <v>0</v>
          </cell>
          <cell r="H1785" t="str">
            <v>60/61</v>
          </cell>
        </row>
        <row r="1786">
          <cell r="F1786">
            <v>303.66000000000003</v>
          </cell>
          <cell r="G1786">
            <v>0</v>
          </cell>
          <cell r="H1786" t="str">
            <v>60/61</v>
          </cell>
        </row>
        <row r="1787">
          <cell r="F1787">
            <v>64.94</v>
          </cell>
          <cell r="G1787">
            <v>0</v>
          </cell>
          <cell r="H1787" t="str">
            <v>60/61</v>
          </cell>
        </row>
        <row r="1788">
          <cell r="F1788">
            <v>29.81</v>
          </cell>
          <cell r="G1788">
            <v>0</v>
          </cell>
          <cell r="H1788" t="str">
            <v>60/61</v>
          </cell>
        </row>
        <row r="1789">
          <cell r="F1789">
            <v>361.33</v>
          </cell>
          <cell r="G1789">
            <v>0</v>
          </cell>
          <cell r="H1789" t="str">
            <v>60/61</v>
          </cell>
        </row>
        <row r="1790">
          <cell r="F1790">
            <v>150.34</v>
          </cell>
          <cell r="G1790">
            <v>0</v>
          </cell>
          <cell r="H1790" t="str">
            <v>60/61</v>
          </cell>
        </row>
        <row r="1791">
          <cell r="F1791">
            <v>24.010000000000019</v>
          </cell>
          <cell r="G1791">
            <v>0</v>
          </cell>
          <cell r="H1791" t="str">
            <v>60/61</v>
          </cell>
        </row>
        <row r="1792">
          <cell r="F1792">
            <v>281.98</v>
          </cell>
          <cell r="G1792">
            <v>0</v>
          </cell>
          <cell r="H1792" t="str">
            <v>60/61</v>
          </cell>
        </row>
        <row r="1793">
          <cell r="F1793">
            <v>200.25</v>
          </cell>
          <cell r="G1793">
            <v>0</v>
          </cell>
          <cell r="H1793" t="str">
            <v>60/61</v>
          </cell>
        </row>
        <row r="1794">
          <cell r="F1794">
            <v>287.2</v>
          </cell>
          <cell r="G1794">
            <v>0</v>
          </cell>
          <cell r="H1794" t="str">
            <v>60/61</v>
          </cell>
        </row>
        <row r="1795">
          <cell r="F1795">
            <v>199.39</v>
          </cell>
          <cell r="G1795">
            <v>0</v>
          </cell>
          <cell r="H1795" t="str">
            <v>60/61</v>
          </cell>
        </row>
        <row r="1796">
          <cell r="F1796">
            <v>21.37</v>
          </cell>
          <cell r="G1796">
            <v>0</v>
          </cell>
          <cell r="H1796" t="str">
            <v>60/61</v>
          </cell>
        </row>
        <row r="1797">
          <cell r="F1797">
            <v>55.76</v>
          </cell>
          <cell r="G1797">
            <v>0</v>
          </cell>
          <cell r="H1797" t="str">
            <v>60/61</v>
          </cell>
        </row>
        <row r="1798">
          <cell r="F1798">
            <v>162.53</v>
          </cell>
          <cell r="G1798">
            <v>0</v>
          </cell>
          <cell r="H1798" t="str">
            <v>60/61</v>
          </cell>
        </row>
        <row r="1799">
          <cell r="F1799">
            <v>76.44</v>
          </cell>
          <cell r="G1799">
            <v>0</v>
          </cell>
          <cell r="H1799" t="str">
            <v>60/61</v>
          </cell>
        </row>
        <row r="1800">
          <cell r="F1800">
            <v>455.97999999999956</v>
          </cell>
          <cell r="G1800">
            <v>0</v>
          </cell>
          <cell r="H1800" t="str">
            <v>60/61</v>
          </cell>
        </row>
        <row r="1801">
          <cell r="F1801">
            <v>19.620000000000005</v>
          </cell>
          <cell r="G1801">
            <v>0</v>
          </cell>
          <cell r="H1801" t="str">
            <v>60/61</v>
          </cell>
        </row>
        <row r="1802">
          <cell r="F1802">
            <v>1410.9</v>
          </cell>
          <cell r="G1802">
            <v>0</v>
          </cell>
          <cell r="H1802" t="str">
            <v>60/61</v>
          </cell>
        </row>
        <row r="1803">
          <cell r="F1803">
            <v>123.26000000000002</v>
          </cell>
          <cell r="G1803">
            <v>0</v>
          </cell>
          <cell r="H1803" t="str">
            <v>60/61</v>
          </cell>
        </row>
        <row r="1804">
          <cell r="F1804">
            <v>641</v>
          </cell>
          <cell r="G1804">
            <v>0</v>
          </cell>
          <cell r="H1804" t="str">
            <v>60/61</v>
          </cell>
        </row>
        <row r="1805">
          <cell r="F1805">
            <v>109.59</v>
          </cell>
          <cell r="G1805">
            <v>0</v>
          </cell>
          <cell r="H1805" t="str">
            <v>60/61</v>
          </cell>
        </row>
        <row r="1806">
          <cell r="F1806">
            <v>52.25</v>
          </cell>
          <cell r="G1806">
            <v>0</v>
          </cell>
          <cell r="H1806" t="str">
            <v>60/61</v>
          </cell>
        </row>
        <row r="1807">
          <cell r="F1807">
            <v>776.79</v>
          </cell>
          <cell r="G1807">
            <v>0</v>
          </cell>
          <cell r="H1807" t="str">
            <v>60/61</v>
          </cell>
        </row>
        <row r="1808">
          <cell r="F1808">
            <v>680.99</v>
          </cell>
          <cell r="G1808">
            <v>0</v>
          </cell>
          <cell r="H1808" t="str">
            <v>60/61</v>
          </cell>
        </row>
        <row r="1809">
          <cell r="F1809">
            <v>10.879999999999995</v>
          </cell>
          <cell r="G1809">
            <v>0</v>
          </cell>
          <cell r="H1809" t="str">
            <v>60/61</v>
          </cell>
        </row>
        <row r="1810">
          <cell r="F1810">
            <v>187.27999999999997</v>
          </cell>
          <cell r="G1810">
            <v>0</v>
          </cell>
          <cell r="H1810" t="str">
            <v>60/61</v>
          </cell>
        </row>
        <row r="1811">
          <cell r="F1811">
            <v>189.81</v>
          </cell>
          <cell r="G1811">
            <v>0</v>
          </cell>
          <cell r="H1811" t="str">
            <v>60/61</v>
          </cell>
        </row>
        <row r="1812">
          <cell r="F1812">
            <v>124.57</v>
          </cell>
          <cell r="G1812">
            <v>0</v>
          </cell>
          <cell r="H1812" t="str">
            <v>60/61</v>
          </cell>
        </row>
        <row r="1813">
          <cell r="F1813">
            <v>245.12</v>
          </cell>
          <cell r="G1813">
            <v>0</v>
          </cell>
          <cell r="H1813" t="str">
            <v>60/61</v>
          </cell>
        </row>
        <row r="1814">
          <cell r="F1814">
            <v>14.04</v>
          </cell>
          <cell r="G1814">
            <v>0</v>
          </cell>
          <cell r="H1814" t="str">
            <v>60/61</v>
          </cell>
        </row>
        <row r="1815">
          <cell r="F1815">
            <v>12.39</v>
          </cell>
          <cell r="G1815">
            <v>0</v>
          </cell>
          <cell r="H1815" t="str">
            <v>60/61</v>
          </cell>
        </row>
        <row r="1816">
          <cell r="F1816">
            <v>56.62</v>
          </cell>
          <cell r="G1816">
            <v>0</v>
          </cell>
          <cell r="H1816" t="str">
            <v>60/61</v>
          </cell>
        </row>
        <row r="1817">
          <cell r="F1817">
            <v>431.07</v>
          </cell>
          <cell r="G1817">
            <v>0</v>
          </cell>
          <cell r="H1817" t="str">
            <v>60/61</v>
          </cell>
        </row>
        <row r="1818">
          <cell r="F1818">
            <v>291.33999999999997</v>
          </cell>
          <cell r="G1818">
            <v>0</v>
          </cell>
          <cell r="H1818" t="str">
            <v>60/61</v>
          </cell>
        </row>
        <row r="1819">
          <cell r="F1819">
            <v>386.81</v>
          </cell>
          <cell r="G1819">
            <v>0</v>
          </cell>
          <cell r="H1819" t="str">
            <v>60/61</v>
          </cell>
        </row>
        <row r="1820">
          <cell r="F1820">
            <v>483.02</v>
          </cell>
          <cell r="G1820">
            <v>0</v>
          </cell>
          <cell r="H1820" t="str">
            <v>60/61</v>
          </cell>
        </row>
        <row r="1821">
          <cell r="F1821">
            <v>585.66</v>
          </cell>
          <cell r="G1821">
            <v>0</v>
          </cell>
          <cell r="H1821" t="str">
            <v>60/61</v>
          </cell>
        </row>
        <row r="1822">
          <cell r="F1822">
            <v>48.73</v>
          </cell>
          <cell r="G1822">
            <v>0</v>
          </cell>
          <cell r="H1822" t="str">
            <v>60/61</v>
          </cell>
        </row>
        <row r="1823">
          <cell r="F1823">
            <v>323.79000000000002</v>
          </cell>
          <cell r="G1823">
            <v>0</v>
          </cell>
          <cell r="H1823" t="str">
            <v>60/61</v>
          </cell>
        </row>
        <row r="1824">
          <cell r="F1824">
            <v>973.83</v>
          </cell>
          <cell r="G1824">
            <v>0</v>
          </cell>
          <cell r="H1824" t="str">
            <v>60/61</v>
          </cell>
        </row>
        <row r="1825">
          <cell r="F1825">
            <v>528.70000000000005</v>
          </cell>
          <cell r="G1825">
            <v>0</v>
          </cell>
          <cell r="H1825" t="str">
            <v>60/61</v>
          </cell>
        </row>
        <row r="1826">
          <cell r="F1826">
            <v>820.54</v>
          </cell>
          <cell r="G1826">
            <v>0</v>
          </cell>
          <cell r="H1826" t="str">
            <v>60/61</v>
          </cell>
        </row>
        <row r="1827">
          <cell r="F1827">
            <v>401.07</v>
          </cell>
          <cell r="G1827">
            <v>0</v>
          </cell>
          <cell r="H1827" t="str">
            <v>60/61</v>
          </cell>
        </row>
        <row r="1828">
          <cell r="F1828">
            <v>45.18</v>
          </cell>
          <cell r="G1828">
            <v>0</v>
          </cell>
          <cell r="H1828" t="str">
            <v>60/61</v>
          </cell>
        </row>
        <row r="1829">
          <cell r="F1829">
            <v>181.44</v>
          </cell>
          <cell r="G1829">
            <v>0</v>
          </cell>
          <cell r="H1829" t="str">
            <v>60/61</v>
          </cell>
        </row>
        <row r="1830">
          <cell r="F1830">
            <v>26.89</v>
          </cell>
          <cell r="G1830">
            <v>0</v>
          </cell>
          <cell r="H1830" t="str">
            <v>60/61</v>
          </cell>
        </row>
        <row r="1831">
          <cell r="F1831">
            <v>334.85</v>
          </cell>
          <cell r="G1831">
            <v>0</v>
          </cell>
          <cell r="H1831" t="str">
            <v>60/61</v>
          </cell>
        </row>
        <row r="1832">
          <cell r="F1832">
            <v>205.58</v>
          </cell>
          <cell r="G1832">
            <v>0</v>
          </cell>
          <cell r="H1832" t="str">
            <v>60/61</v>
          </cell>
        </row>
        <row r="1833">
          <cell r="F1833">
            <v>301.86</v>
          </cell>
          <cell r="G1833">
            <v>0</v>
          </cell>
          <cell r="H1833" t="str">
            <v>60/61</v>
          </cell>
        </row>
        <row r="1834">
          <cell r="F1834">
            <v>373.24</v>
          </cell>
          <cell r="G1834">
            <v>0</v>
          </cell>
          <cell r="H1834" t="str">
            <v>60/61</v>
          </cell>
        </row>
        <row r="1835">
          <cell r="F1835">
            <v>497.02</v>
          </cell>
          <cell r="G1835">
            <v>0</v>
          </cell>
          <cell r="H1835" t="str">
            <v>60/61</v>
          </cell>
        </row>
        <row r="1836">
          <cell r="F1836">
            <v>158.76</v>
          </cell>
          <cell r="G1836">
            <v>0</v>
          </cell>
          <cell r="H1836" t="str">
            <v>60/61</v>
          </cell>
        </row>
        <row r="1837">
          <cell r="F1837">
            <v>570.01</v>
          </cell>
          <cell r="G1837">
            <v>0</v>
          </cell>
          <cell r="H1837" t="str">
            <v>60/61</v>
          </cell>
        </row>
        <row r="1838">
          <cell r="F1838">
            <v>771.49</v>
          </cell>
          <cell r="G1838">
            <v>0</v>
          </cell>
          <cell r="H1838" t="str">
            <v>60/61</v>
          </cell>
        </row>
        <row r="1839">
          <cell r="F1839">
            <v>217.15</v>
          </cell>
          <cell r="G1839">
            <v>0</v>
          </cell>
          <cell r="H1839" t="str">
            <v>60/61</v>
          </cell>
        </row>
        <row r="1840">
          <cell r="F1840">
            <v>359.38</v>
          </cell>
          <cell r="G1840">
            <v>0</v>
          </cell>
          <cell r="H1840" t="str">
            <v>60/61</v>
          </cell>
        </row>
        <row r="1841">
          <cell r="F1841">
            <v>9.34</v>
          </cell>
          <cell r="G1841">
            <v>0</v>
          </cell>
          <cell r="H1841" t="str">
            <v>60/61</v>
          </cell>
        </row>
        <row r="1842">
          <cell r="F1842">
            <v>544.07000000000005</v>
          </cell>
          <cell r="G1842">
            <v>0</v>
          </cell>
          <cell r="H1842" t="str">
            <v>60/61</v>
          </cell>
        </row>
        <row r="1843">
          <cell r="F1843">
            <v>107.92</v>
          </cell>
          <cell r="G1843">
            <v>0</v>
          </cell>
          <cell r="H1843" t="str">
            <v>60/61</v>
          </cell>
        </row>
        <row r="1844">
          <cell r="F1844">
            <v>21.3</v>
          </cell>
          <cell r="G1844">
            <v>0</v>
          </cell>
          <cell r="H1844" t="str">
            <v>60/61</v>
          </cell>
        </row>
        <row r="1845">
          <cell r="F1845">
            <v>236.19</v>
          </cell>
          <cell r="G1845">
            <v>0</v>
          </cell>
          <cell r="H1845" t="str">
            <v>60/61</v>
          </cell>
        </row>
        <row r="1846">
          <cell r="F1846">
            <v>595.1</v>
          </cell>
          <cell r="G1846">
            <v>0</v>
          </cell>
          <cell r="H1846" t="str">
            <v>60/61</v>
          </cell>
        </row>
        <row r="1847">
          <cell r="F1847">
            <v>23.76</v>
          </cell>
          <cell r="G1847">
            <v>0</v>
          </cell>
          <cell r="H1847" t="str">
            <v>60/61</v>
          </cell>
        </row>
        <row r="1848">
          <cell r="F1848">
            <v>33.07</v>
          </cell>
          <cell r="G1848">
            <v>0</v>
          </cell>
          <cell r="H1848" t="str">
            <v>60/61</v>
          </cell>
        </row>
        <row r="1849">
          <cell r="F1849">
            <v>234.59</v>
          </cell>
          <cell r="G1849">
            <v>0</v>
          </cell>
          <cell r="H1849" t="str">
            <v>60/61</v>
          </cell>
        </row>
        <row r="1850">
          <cell r="F1850">
            <v>179.89</v>
          </cell>
          <cell r="G1850">
            <v>0</v>
          </cell>
          <cell r="H1850" t="str">
            <v>60/61</v>
          </cell>
        </row>
        <row r="1851">
          <cell r="F1851">
            <v>777.69</v>
          </cell>
          <cell r="G1851">
            <v>0</v>
          </cell>
          <cell r="H1851" t="str">
            <v>60/61</v>
          </cell>
        </row>
        <row r="1852">
          <cell r="F1852">
            <v>37.1</v>
          </cell>
          <cell r="G1852">
            <v>0</v>
          </cell>
          <cell r="H1852" t="str">
            <v>60/61</v>
          </cell>
        </row>
        <row r="1853">
          <cell r="F1853">
            <v>49.68</v>
          </cell>
          <cell r="G1853">
            <v>0</v>
          </cell>
          <cell r="H1853" t="str">
            <v>60/61</v>
          </cell>
        </row>
        <row r="1854">
          <cell r="F1854">
            <v>98.7</v>
          </cell>
          <cell r="G1854">
            <v>0</v>
          </cell>
          <cell r="H1854" t="str">
            <v>60/61</v>
          </cell>
        </row>
        <row r="1855">
          <cell r="F1855">
            <v>557.70000000000005</v>
          </cell>
          <cell r="G1855">
            <v>0</v>
          </cell>
          <cell r="H1855" t="str">
            <v>60/61</v>
          </cell>
        </row>
        <row r="1856">
          <cell r="F1856">
            <v>297.33999999999997</v>
          </cell>
          <cell r="G1856">
            <v>0</v>
          </cell>
          <cell r="H1856" t="str">
            <v>60/61</v>
          </cell>
        </row>
        <row r="1857">
          <cell r="F1857">
            <v>60.1</v>
          </cell>
          <cell r="G1857">
            <v>0</v>
          </cell>
          <cell r="H1857" t="str">
            <v>60/61</v>
          </cell>
        </row>
        <row r="1858">
          <cell r="F1858">
            <v>699.78</v>
          </cell>
          <cell r="G1858">
            <v>0</v>
          </cell>
          <cell r="H1858" t="str">
            <v>60/61</v>
          </cell>
        </row>
        <row r="1859">
          <cell r="F1859">
            <v>408.74</v>
          </cell>
          <cell r="G1859">
            <v>0</v>
          </cell>
          <cell r="H1859" t="str">
            <v>60/61</v>
          </cell>
        </row>
        <row r="1860">
          <cell r="F1860">
            <v>361.98</v>
          </cell>
          <cell r="G1860">
            <v>0</v>
          </cell>
          <cell r="H1860" t="str">
            <v>60/61</v>
          </cell>
        </row>
        <row r="1861">
          <cell r="F1861">
            <v>117.25</v>
          </cell>
          <cell r="G1861">
            <v>0</v>
          </cell>
          <cell r="H1861" t="str">
            <v>60/61</v>
          </cell>
        </row>
        <row r="1862">
          <cell r="F1862">
            <v>0</v>
          </cell>
          <cell r="G1862">
            <v>0</v>
          </cell>
          <cell r="H1862" t="str">
            <v>60/61</v>
          </cell>
        </row>
        <row r="1863">
          <cell r="F1863">
            <v>335.26</v>
          </cell>
          <cell r="G1863">
            <v>0</v>
          </cell>
          <cell r="H1863" t="str">
            <v>60/61</v>
          </cell>
        </row>
        <row r="1864">
          <cell r="F1864">
            <v>205.42</v>
          </cell>
          <cell r="G1864">
            <v>0</v>
          </cell>
          <cell r="H1864" t="str">
            <v>60/61</v>
          </cell>
        </row>
        <row r="1865">
          <cell r="F1865">
            <v>258.21999999999997</v>
          </cell>
          <cell r="G1865">
            <v>0</v>
          </cell>
          <cell r="H1865" t="str">
            <v>60/61</v>
          </cell>
        </row>
        <row r="1866">
          <cell r="F1866">
            <v>32.76</v>
          </cell>
          <cell r="G1866">
            <v>0</v>
          </cell>
          <cell r="H1866" t="str">
            <v>60/61</v>
          </cell>
        </row>
        <row r="1867">
          <cell r="F1867">
            <v>389.46</v>
          </cell>
          <cell r="G1867">
            <v>0</v>
          </cell>
          <cell r="H1867" t="str">
            <v>60/61</v>
          </cell>
        </row>
        <row r="1868">
          <cell r="F1868">
            <v>172.44</v>
          </cell>
          <cell r="G1868">
            <v>0</v>
          </cell>
          <cell r="H1868" t="str">
            <v>60/61</v>
          </cell>
        </row>
        <row r="1869">
          <cell r="F1869">
            <v>403.76</v>
          </cell>
          <cell r="G1869">
            <v>0</v>
          </cell>
          <cell r="H1869" t="str">
            <v>60/61</v>
          </cell>
        </row>
        <row r="1870">
          <cell r="F1870">
            <v>253.97</v>
          </cell>
          <cell r="G1870">
            <v>0</v>
          </cell>
          <cell r="H1870" t="str">
            <v>60/61</v>
          </cell>
        </row>
        <row r="1871">
          <cell r="F1871">
            <v>174.9</v>
          </cell>
          <cell r="G1871">
            <v>0</v>
          </cell>
          <cell r="H1871" t="str">
            <v>60/61</v>
          </cell>
        </row>
        <row r="1872">
          <cell r="F1872">
            <v>311.79000000000002</v>
          </cell>
          <cell r="G1872">
            <v>0</v>
          </cell>
          <cell r="H1872" t="str">
            <v>60/61</v>
          </cell>
        </row>
        <row r="1873">
          <cell r="F1873">
            <v>679.67000000000007</v>
          </cell>
          <cell r="G1873">
            <v>0</v>
          </cell>
          <cell r="H1873" t="str">
            <v>60/61</v>
          </cell>
        </row>
        <row r="1874">
          <cell r="F1874">
            <v>70.890000000000015</v>
          </cell>
          <cell r="G1874">
            <v>0</v>
          </cell>
          <cell r="H1874" t="str">
            <v>60/61</v>
          </cell>
        </row>
        <row r="1875">
          <cell r="F1875">
            <v>177.16</v>
          </cell>
          <cell r="G1875">
            <v>0</v>
          </cell>
          <cell r="H1875" t="str">
            <v>60/61</v>
          </cell>
        </row>
        <row r="1876">
          <cell r="F1876">
            <v>180.59</v>
          </cell>
          <cell r="G1876">
            <v>0</v>
          </cell>
          <cell r="H1876" t="str">
            <v>60/61</v>
          </cell>
        </row>
        <row r="1877">
          <cell r="F1877">
            <v>508.07999999999993</v>
          </cell>
          <cell r="G1877">
            <v>0</v>
          </cell>
          <cell r="H1877" t="str">
            <v>60/61</v>
          </cell>
        </row>
        <row r="1878">
          <cell r="F1878">
            <v>3135.8500000000004</v>
          </cell>
          <cell r="G1878">
            <v>0</v>
          </cell>
          <cell r="H1878" t="str">
            <v>60/61</v>
          </cell>
        </row>
        <row r="1879">
          <cell r="F1879">
            <v>71.630000000000052</v>
          </cell>
          <cell r="G1879">
            <v>0</v>
          </cell>
          <cell r="H1879" t="str">
            <v>60/61</v>
          </cell>
        </row>
        <row r="1880">
          <cell r="F1880">
            <v>34.56</v>
          </cell>
          <cell r="G1880">
            <v>0</v>
          </cell>
          <cell r="H1880" t="str">
            <v>60/61</v>
          </cell>
        </row>
        <row r="1881">
          <cell r="F1881">
            <v>116.32</v>
          </cell>
          <cell r="G1881">
            <v>0</v>
          </cell>
          <cell r="H1881" t="str">
            <v>60/61</v>
          </cell>
        </row>
        <row r="1882">
          <cell r="F1882">
            <v>113.63</v>
          </cell>
          <cell r="G1882">
            <v>0</v>
          </cell>
          <cell r="H1882" t="str">
            <v>60/61</v>
          </cell>
        </row>
        <row r="1883">
          <cell r="F1883">
            <v>332.11</v>
          </cell>
          <cell r="G1883">
            <v>0</v>
          </cell>
          <cell r="H1883" t="str">
            <v>60/61</v>
          </cell>
        </row>
        <row r="1884">
          <cell r="F1884">
            <v>39.159999999999997</v>
          </cell>
          <cell r="G1884">
            <v>0</v>
          </cell>
          <cell r="H1884" t="str">
            <v>60/61</v>
          </cell>
        </row>
        <row r="1885">
          <cell r="F1885">
            <v>336.45</v>
          </cell>
          <cell r="G1885">
            <v>0</v>
          </cell>
          <cell r="H1885" t="str">
            <v>60/61</v>
          </cell>
        </row>
        <row r="1886">
          <cell r="F1886">
            <v>32.44</v>
          </cell>
          <cell r="G1886">
            <v>0</v>
          </cell>
          <cell r="H1886" t="str">
            <v>60/61</v>
          </cell>
        </row>
        <row r="1887">
          <cell r="F1887">
            <v>128.42000000000002</v>
          </cell>
          <cell r="G1887">
            <v>0</v>
          </cell>
          <cell r="H1887" t="str">
            <v>60/61</v>
          </cell>
        </row>
        <row r="1888">
          <cell r="F1888">
            <v>227.81</v>
          </cell>
          <cell r="G1888">
            <v>0</v>
          </cell>
          <cell r="H1888" t="str">
            <v>60/61</v>
          </cell>
        </row>
        <row r="1889">
          <cell r="F1889">
            <v>18.649999999999999</v>
          </cell>
          <cell r="G1889">
            <v>0</v>
          </cell>
          <cell r="H1889" t="str">
            <v>60/61</v>
          </cell>
        </row>
        <row r="1890">
          <cell r="F1890">
            <v>36.19</v>
          </cell>
          <cell r="G1890">
            <v>0</v>
          </cell>
          <cell r="H1890" t="str">
            <v>60/61</v>
          </cell>
        </row>
        <row r="1891">
          <cell r="F1891">
            <v>21.98</v>
          </cell>
          <cell r="G1891">
            <v>0</v>
          </cell>
          <cell r="H1891" t="str">
            <v>60/61</v>
          </cell>
        </row>
        <row r="1892">
          <cell r="F1892">
            <v>24.509999999999991</v>
          </cell>
          <cell r="G1892">
            <v>0</v>
          </cell>
          <cell r="H1892" t="str">
            <v>60/61</v>
          </cell>
        </row>
        <row r="1893">
          <cell r="F1893">
            <v>217.61</v>
          </cell>
          <cell r="G1893">
            <v>0</v>
          </cell>
          <cell r="H1893" t="str">
            <v>60/61</v>
          </cell>
        </row>
        <row r="1894">
          <cell r="F1894">
            <v>119.69</v>
          </cell>
          <cell r="G1894">
            <v>0</v>
          </cell>
          <cell r="H1894" t="str">
            <v>60/61</v>
          </cell>
        </row>
        <row r="1895">
          <cell r="F1895">
            <v>49.23</v>
          </cell>
          <cell r="G1895">
            <v>0</v>
          </cell>
          <cell r="H1895" t="str">
            <v>60/61</v>
          </cell>
        </row>
        <row r="1896">
          <cell r="F1896">
            <v>320.22000000000003</v>
          </cell>
          <cell r="G1896">
            <v>0</v>
          </cell>
          <cell r="H1896" t="str">
            <v>60/61</v>
          </cell>
        </row>
        <row r="1897">
          <cell r="F1897">
            <v>353.67</v>
          </cell>
          <cell r="G1897">
            <v>0</v>
          </cell>
          <cell r="H1897" t="str">
            <v>60/61</v>
          </cell>
        </row>
        <row r="1898">
          <cell r="F1898">
            <v>15.99</v>
          </cell>
          <cell r="G1898">
            <v>0</v>
          </cell>
          <cell r="H1898" t="str">
            <v>60/61</v>
          </cell>
        </row>
        <row r="1899">
          <cell r="F1899">
            <v>51.1</v>
          </cell>
          <cell r="G1899">
            <v>0</v>
          </cell>
          <cell r="H1899" t="str">
            <v>60/61</v>
          </cell>
        </row>
        <row r="1900">
          <cell r="F1900">
            <v>223.82</v>
          </cell>
          <cell r="G1900">
            <v>0</v>
          </cell>
          <cell r="H1900" t="str">
            <v>60/61</v>
          </cell>
        </row>
        <row r="1901">
          <cell r="F1901">
            <v>111.6</v>
          </cell>
          <cell r="G1901">
            <v>0</v>
          </cell>
          <cell r="H1901" t="str">
            <v>60/61</v>
          </cell>
        </row>
        <row r="1902">
          <cell r="F1902">
            <v>362</v>
          </cell>
          <cell r="G1902">
            <v>0</v>
          </cell>
          <cell r="H1902" t="str">
            <v>60/61</v>
          </cell>
        </row>
        <row r="1903">
          <cell r="F1903">
            <v>155.04</v>
          </cell>
          <cell r="G1903">
            <v>0</v>
          </cell>
          <cell r="H1903" t="str">
            <v>60/61</v>
          </cell>
        </row>
        <row r="1904">
          <cell r="F1904">
            <v>4</v>
          </cell>
          <cell r="G1904">
            <v>0</v>
          </cell>
          <cell r="H1904" t="str">
            <v>60/61</v>
          </cell>
        </row>
        <row r="1905">
          <cell r="F1905">
            <v>11215.65</v>
          </cell>
          <cell r="G1905">
            <v>0</v>
          </cell>
          <cell r="H1905" t="str">
            <v>60/61</v>
          </cell>
        </row>
        <row r="1906">
          <cell r="F1906">
            <v>1990.0100000000002</v>
          </cell>
          <cell r="G1906">
            <v>0</v>
          </cell>
          <cell r="H1906" t="str">
            <v>60/61</v>
          </cell>
        </row>
        <row r="1907">
          <cell r="F1907">
            <v>20.87</v>
          </cell>
          <cell r="G1907">
            <v>0</v>
          </cell>
          <cell r="H1907" t="str">
            <v>60/61</v>
          </cell>
        </row>
        <row r="1908">
          <cell r="F1908">
            <v>19.11</v>
          </cell>
          <cell r="G1908">
            <v>0</v>
          </cell>
          <cell r="H1908" t="str">
            <v>60/61</v>
          </cell>
        </row>
        <row r="1909">
          <cell r="F1909">
            <v>1065.19</v>
          </cell>
          <cell r="G1909">
            <v>0</v>
          </cell>
          <cell r="H1909" t="str">
            <v>60/61</v>
          </cell>
        </row>
        <row r="1910">
          <cell r="F1910">
            <v>3.7799999999999994</v>
          </cell>
          <cell r="G1910">
            <v>0</v>
          </cell>
          <cell r="H1910" t="str">
            <v>60/61</v>
          </cell>
        </row>
        <row r="1911">
          <cell r="F1911">
            <v>4.7800000000000011</v>
          </cell>
          <cell r="G1911">
            <v>0</v>
          </cell>
          <cell r="H1911" t="str">
            <v>60/61</v>
          </cell>
        </row>
        <row r="1912">
          <cell r="F1912">
            <v>6.14</v>
          </cell>
          <cell r="G1912">
            <v>0</v>
          </cell>
          <cell r="H1912" t="str">
            <v>60/61</v>
          </cell>
        </row>
        <row r="1913">
          <cell r="F1913">
            <v>371.08</v>
          </cell>
          <cell r="G1913">
            <v>0</v>
          </cell>
          <cell r="H1913" t="str">
            <v>60/61</v>
          </cell>
        </row>
        <row r="1914">
          <cell r="F1914">
            <v>108.54</v>
          </cell>
          <cell r="G1914">
            <v>0</v>
          </cell>
          <cell r="H1914" t="str">
            <v>60/61</v>
          </cell>
        </row>
        <row r="1915">
          <cell r="F1915">
            <v>0</v>
          </cell>
          <cell r="G1915">
            <v>0</v>
          </cell>
          <cell r="H1915" t="str">
            <v>60/61</v>
          </cell>
        </row>
        <row r="1916">
          <cell r="F1916">
            <v>499</v>
          </cell>
          <cell r="G1916">
            <v>0</v>
          </cell>
          <cell r="H1916" t="str">
            <v>60/61</v>
          </cell>
        </row>
        <row r="1917">
          <cell r="F1917">
            <v>205.35</v>
          </cell>
          <cell r="G1917">
            <v>0</v>
          </cell>
          <cell r="H1917" t="str">
            <v>60/61</v>
          </cell>
        </row>
        <row r="1918">
          <cell r="F1918">
            <v>287.06</v>
          </cell>
          <cell r="G1918">
            <v>0</v>
          </cell>
          <cell r="H1918" t="str">
            <v>60/61</v>
          </cell>
        </row>
        <row r="1919">
          <cell r="F1919">
            <v>31.46</v>
          </cell>
          <cell r="G1919">
            <v>0</v>
          </cell>
          <cell r="H1919" t="str">
            <v>60/61</v>
          </cell>
        </row>
        <row r="1920">
          <cell r="F1920">
            <v>6.96</v>
          </cell>
          <cell r="G1920">
            <v>0</v>
          </cell>
          <cell r="H1920" t="str">
            <v>60/61</v>
          </cell>
        </row>
        <row r="1921">
          <cell r="F1921">
            <v>79.5</v>
          </cell>
          <cell r="G1921">
            <v>0</v>
          </cell>
          <cell r="H1921" t="str">
            <v>60/61</v>
          </cell>
        </row>
        <row r="1922">
          <cell r="F1922">
            <v>5.78</v>
          </cell>
          <cell r="G1922">
            <v>0</v>
          </cell>
          <cell r="H1922" t="str">
            <v>60/61</v>
          </cell>
        </row>
        <row r="1923">
          <cell r="F1923">
            <v>4.9800000000000022</v>
          </cell>
          <cell r="G1923">
            <v>0</v>
          </cell>
          <cell r="H1923" t="str">
            <v>60/61</v>
          </cell>
        </row>
        <row r="1924">
          <cell r="F1924">
            <v>155.82</v>
          </cell>
          <cell r="G1924">
            <v>0</v>
          </cell>
          <cell r="H1924" t="str">
            <v>60/61</v>
          </cell>
        </row>
        <row r="1925">
          <cell r="F1925">
            <v>1681.84</v>
          </cell>
          <cell r="G1925">
            <v>0</v>
          </cell>
          <cell r="H1925" t="str">
            <v>60/61</v>
          </cell>
        </row>
        <row r="1926">
          <cell r="F1926">
            <v>137.94</v>
          </cell>
          <cell r="G1926">
            <v>0</v>
          </cell>
          <cell r="H1926" t="str">
            <v>60/61</v>
          </cell>
        </row>
        <row r="1927">
          <cell r="F1927">
            <v>25</v>
          </cell>
          <cell r="G1927">
            <v>0</v>
          </cell>
          <cell r="H1927" t="str">
            <v>60/61</v>
          </cell>
        </row>
        <row r="1928">
          <cell r="F1928">
            <v>333.57</v>
          </cell>
          <cell r="G1928">
            <v>0</v>
          </cell>
          <cell r="H1928" t="str">
            <v>60/61</v>
          </cell>
        </row>
        <row r="1929">
          <cell r="F1929">
            <v>3.72</v>
          </cell>
          <cell r="G1929">
            <v>0</v>
          </cell>
          <cell r="H1929" t="str">
            <v>60/61</v>
          </cell>
        </row>
        <row r="1930">
          <cell r="F1930">
            <v>164.64</v>
          </cell>
          <cell r="G1930">
            <v>0</v>
          </cell>
          <cell r="H1930" t="str">
            <v>60/61</v>
          </cell>
        </row>
        <row r="1931">
          <cell r="F1931">
            <v>9.1999999999999993</v>
          </cell>
          <cell r="G1931">
            <v>0</v>
          </cell>
          <cell r="H1931" t="str">
            <v>60/61</v>
          </cell>
        </row>
        <row r="1932">
          <cell r="F1932">
            <v>1</v>
          </cell>
          <cell r="G1932">
            <v>0</v>
          </cell>
          <cell r="H1932" t="str">
            <v>60/61</v>
          </cell>
        </row>
        <row r="1933">
          <cell r="F1933">
            <v>2.7300000000000004</v>
          </cell>
          <cell r="G1933">
            <v>0</v>
          </cell>
          <cell r="H1933" t="str">
            <v>60/61</v>
          </cell>
        </row>
        <row r="1934">
          <cell r="F1934">
            <v>155.72999999999999</v>
          </cell>
          <cell r="G1934">
            <v>0</v>
          </cell>
          <cell r="H1934" t="str">
            <v>60/61</v>
          </cell>
        </row>
        <row r="1935">
          <cell r="F1935">
            <v>110.06</v>
          </cell>
          <cell r="G1935">
            <v>0</v>
          </cell>
          <cell r="H1935" t="str">
            <v>60/61</v>
          </cell>
        </row>
        <row r="1936">
          <cell r="F1936">
            <v>3.74</v>
          </cell>
          <cell r="G1936">
            <v>0</v>
          </cell>
          <cell r="H1936" t="str">
            <v>60/61</v>
          </cell>
        </row>
        <row r="1937">
          <cell r="F1937">
            <v>77.599999999999994</v>
          </cell>
          <cell r="G1937">
            <v>0</v>
          </cell>
          <cell r="H1937" t="str">
            <v>60/61</v>
          </cell>
        </row>
        <row r="1938">
          <cell r="F1938">
            <v>5.12</v>
          </cell>
          <cell r="G1938">
            <v>0</v>
          </cell>
          <cell r="H1938" t="str">
            <v>60/61</v>
          </cell>
        </row>
        <row r="1939">
          <cell r="F1939">
            <v>98.99</v>
          </cell>
          <cell r="G1939">
            <v>0</v>
          </cell>
          <cell r="H1939" t="str">
            <v>60/61</v>
          </cell>
        </row>
        <row r="1940">
          <cell r="F1940">
            <v>94.38</v>
          </cell>
          <cell r="G1940">
            <v>0</v>
          </cell>
          <cell r="H1940" t="str">
            <v>60/61</v>
          </cell>
        </row>
        <row r="1941">
          <cell r="F1941">
            <v>144.55000000000001</v>
          </cell>
          <cell r="G1941">
            <v>0</v>
          </cell>
          <cell r="H1941" t="str">
            <v>60/61</v>
          </cell>
        </row>
        <row r="1942">
          <cell r="F1942">
            <v>83.89</v>
          </cell>
          <cell r="G1942">
            <v>0</v>
          </cell>
          <cell r="H1942" t="str">
            <v>60/61</v>
          </cell>
        </row>
        <row r="1943">
          <cell r="F1943">
            <v>67.040000000000006</v>
          </cell>
          <cell r="G1943">
            <v>0</v>
          </cell>
          <cell r="H1943" t="str">
            <v>60/61</v>
          </cell>
        </row>
        <row r="1944">
          <cell r="F1944">
            <v>190.89</v>
          </cell>
          <cell r="G1944">
            <v>0</v>
          </cell>
          <cell r="H1944" t="str">
            <v>60/61</v>
          </cell>
        </row>
        <row r="1945">
          <cell r="F1945">
            <v>100.43</v>
          </cell>
          <cell r="G1945">
            <v>0</v>
          </cell>
          <cell r="H1945" t="str">
            <v>60/61</v>
          </cell>
        </row>
        <row r="1946">
          <cell r="F1946">
            <v>115.26</v>
          </cell>
          <cell r="G1946">
            <v>0</v>
          </cell>
          <cell r="H1946" t="str">
            <v>60/61</v>
          </cell>
        </row>
        <row r="1947">
          <cell r="F1947">
            <v>942.67</v>
          </cell>
          <cell r="G1947">
            <v>0</v>
          </cell>
          <cell r="H1947" t="str">
            <v>60/61</v>
          </cell>
        </row>
        <row r="1948">
          <cell r="F1948">
            <v>147.24</v>
          </cell>
          <cell r="G1948">
            <v>0</v>
          </cell>
          <cell r="H1948" t="str">
            <v>60/61</v>
          </cell>
        </row>
        <row r="1949">
          <cell r="F1949">
            <v>101.76</v>
          </cell>
          <cell r="G1949">
            <v>0</v>
          </cell>
          <cell r="H1949" t="str">
            <v>60/61</v>
          </cell>
        </row>
        <row r="1950">
          <cell r="F1950">
            <v>106.71000000000004</v>
          </cell>
          <cell r="G1950">
            <v>0</v>
          </cell>
          <cell r="H1950" t="str">
            <v>60/61</v>
          </cell>
        </row>
        <row r="1951">
          <cell r="F1951">
            <v>25</v>
          </cell>
          <cell r="G1951">
            <v>0</v>
          </cell>
          <cell r="H1951" t="str">
            <v>60/61</v>
          </cell>
        </row>
        <row r="1952">
          <cell r="F1952">
            <v>5074.21</v>
          </cell>
          <cell r="G1952">
            <v>0</v>
          </cell>
          <cell r="H1952" t="str">
            <v>60/61</v>
          </cell>
        </row>
        <row r="1953">
          <cell r="F1953">
            <v>5122.1499999999996</v>
          </cell>
          <cell r="G1953">
            <v>0</v>
          </cell>
          <cell r="H1953" t="str">
            <v>60/61</v>
          </cell>
        </row>
        <row r="1954">
          <cell r="F1954">
            <v>27.87</v>
          </cell>
          <cell r="G1954">
            <v>0</v>
          </cell>
          <cell r="H1954" t="str">
            <v>60/61</v>
          </cell>
        </row>
        <row r="1955">
          <cell r="F1955">
            <v>210.48</v>
          </cell>
          <cell r="G1955">
            <v>0</v>
          </cell>
          <cell r="H1955" t="str">
            <v>60/61</v>
          </cell>
        </row>
        <row r="1956">
          <cell r="F1956">
            <v>7.62</v>
          </cell>
          <cell r="G1956">
            <v>0</v>
          </cell>
          <cell r="H1956" t="str">
            <v>60/61</v>
          </cell>
        </row>
        <row r="1957">
          <cell r="F1957">
            <v>24.16</v>
          </cell>
          <cell r="G1957">
            <v>0</v>
          </cell>
          <cell r="H1957" t="str">
            <v>60/61</v>
          </cell>
        </row>
        <row r="1958">
          <cell r="F1958">
            <v>992.95</v>
          </cell>
          <cell r="G1958">
            <v>0</v>
          </cell>
          <cell r="H1958" t="str">
            <v>60/61</v>
          </cell>
        </row>
        <row r="1959">
          <cell r="F1959">
            <v>354.04</v>
          </cell>
          <cell r="G1959">
            <v>0</v>
          </cell>
          <cell r="H1959" t="str">
            <v>60/61</v>
          </cell>
        </row>
        <row r="1960">
          <cell r="F1960">
            <v>159</v>
          </cell>
          <cell r="G1960">
            <v>0</v>
          </cell>
          <cell r="H1960" t="str">
            <v>60/61</v>
          </cell>
        </row>
        <row r="1961">
          <cell r="F1961">
            <v>21.71</v>
          </cell>
          <cell r="G1961">
            <v>0</v>
          </cell>
          <cell r="H1961" t="str">
            <v>60/61</v>
          </cell>
        </row>
        <row r="1962">
          <cell r="F1962">
            <v>19.77</v>
          </cell>
          <cell r="G1962">
            <v>0</v>
          </cell>
          <cell r="H1962" t="str">
            <v>60/61</v>
          </cell>
        </row>
        <row r="1963">
          <cell r="F1963">
            <v>1206.21</v>
          </cell>
          <cell r="G1963">
            <v>0</v>
          </cell>
          <cell r="H1963" t="str">
            <v>60/61</v>
          </cell>
        </row>
        <row r="1964">
          <cell r="F1964">
            <v>5</v>
          </cell>
          <cell r="G1964">
            <v>0</v>
          </cell>
          <cell r="H1964" t="str">
            <v>60/61</v>
          </cell>
        </row>
        <row r="1965">
          <cell r="F1965">
            <v>238.61</v>
          </cell>
          <cell r="G1965">
            <v>0</v>
          </cell>
          <cell r="H1965" t="str">
            <v>60/61</v>
          </cell>
        </row>
        <row r="1966">
          <cell r="F1966">
            <v>138.91999999999999</v>
          </cell>
          <cell r="G1966">
            <v>0</v>
          </cell>
          <cell r="H1966" t="str">
            <v>60/61</v>
          </cell>
        </row>
        <row r="1967">
          <cell r="F1967">
            <v>704.87</v>
          </cell>
          <cell r="G1967">
            <v>0</v>
          </cell>
          <cell r="H1967" t="str">
            <v>60/61</v>
          </cell>
        </row>
        <row r="1968">
          <cell r="F1968">
            <v>1747.29</v>
          </cell>
          <cell r="G1968">
            <v>0</v>
          </cell>
          <cell r="H1968" t="str">
            <v>60/61</v>
          </cell>
        </row>
        <row r="1969">
          <cell r="F1969">
            <v>69.94</v>
          </cell>
          <cell r="G1969">
            <v>0</v>
          </cell>
          <cell r="H1969" t="str">
            <v>60/61</v>
          </cell>
        </row>
        <row r="1970">
          <cell r="F1970">
            <v>113.77</v>
          </cell>
          <cell r="G1970">
            <v>0</v>
          </cell>
          <cell r="H1970" t="str">
            <v>60/61</v>
          </cell>
        </row>
        <row r="1971">
          <cell r="F1971">
            <v>33.549999999999997</v>
          </cell>
          <cell r="G1971">
            <v>0</v>
          </cell>
          <cell r="H1971" t="str">
            <v>60/61</v>
          </cell>
        </row>
        <row r="1972">
          <cell r="F1972">
            <v>12.48</v>
          </cell>
          <cell r="G1972">
            <v>0</v>
          </cell>
          <cell r="H1972" t="str">
            <v>60/61</v>
          </cell>
        </row>
        <row r="1973">
          <cell r="F1973">
            <v>22.2</v>
          </cell>
          <cell r="G1973">
            <v>0</v>
          </cell>
          <cell r="H1973" t="str">
            <v>60/61</v>
          </cell>
        </row>
        <row r="1974">
          <cell r="F1974">
            <v>86.61</v>
          </cell>
          <cell r="G1974">
            <v>0</v>
          </cell>
          <cell r="H1974" t="str">
            <v>60/61</v>
          </cell>
        </row>
        <row r="1975">
          <cell r="F1975">
            <v>16.8</v>
          </cell>
          <cell r="G1975">
            <v>0</v>
          </cell>
          <cell r="H1975" t="str">
            <v>60/61</v>
          </cell>
        </row>
        <row r="1976">
          <cell r="F1976">
            <v>4.3499999999999996</v>
          </cell>
          <cell r="G1976">
            <v>0</v>
          </cell>
          <cell r="H1976" t="str">
            <v>60/61</v>
          </cell>
        </row>
        <row r="1977">
          <cell r="F1977">
            <v>49.34</v>
          </cell>
          <cell r="G1977">
            <v>0</v>
          </cell>
          <cell r="H1977" t="str">
            <v>60/61</v>
          </cell>
        </row>
        <row r="1978">
          <cell r="F1978">
            <v>194.94</v>
          </cell>
          <cell r="G1978">
            <v>0</v>
          </cell>
          <cell r="H1978" t="str">
            <v>60/61</v>
          </cell>
        </row>
        <row r="1979">
          <cell r="F1979">
            <v>27.36</v>
          </cell>
          <cell r="G1979">
            <v>0</v>
          </cell>
          <cell r="H1979" t="str">
            <v>60/61</v>
          </cell>
        </row>
        <row r="1980">
          <cell r="F1980">
            <v>2.61</v>
          </cell>
          <cell r="G1980">
            <v>0</v>
          </cell>
          <cell r="H1980" t="str">
            <v>60/61</v>
          </cell>
        </row>
        <row r="1981">
          <cell r="F1981">
            <v>41.03</v>
          </cell>
          <cell r="G1981">
            <v>0</v>
          </cell>
          <cell r="H1981" t="str">
            <v>60/61</v>
          </cell>
        </row>
        <row r="1982">
          <cell r="F1982">
            <v>35.01</v>
          </cell>
          <cell r="G1982">
            <v>0</v>
          </cell>
          <cell r="H1982" t="str">
            <v>60/61</v>
          </cell>
        </row>
        <row r="1983">
          <cell r="F1983">
            <v>12.46</v>
          </cell>
          <cell r="G1983">
            <v>0</v>
          </cell>
          <cell r="H1983" t="str">
            <v>60/61</v>
          </cell>
        </row>
        <row r="1984">
          <cell r="F1984">
            <v>14.06</v>
          </cell>
          <cell r="G1984">
            <v>0</v>
          </cell>
          <cell r="H1984" t="str">
            <v>60/61</v>
          </cell>
        </row>
        <row r="1985">
          <cell r="F1985">
            <v>15.34</v>
          </cell>
          <cell r="G1985">
            <v>0</v>
          </cell>
          <cell r="H1985" t="str">
            <v>60/61</v>
          </cell>
        </row>
        <row r="1986">
          <cell r="F1986">
            <v>6.23</v>
          </cell>
          <cell r="G1986">
            <v>0</v>
          </cell>
          <cell r="H1986" t="str">
            <v>60/61</v>
          </cell>
        </row>
        <row r="1987">
          <cell r="F1987">
            <v>130.21</v>
          </cell>
          <cell r="G1987">
            <v>0</v>
          </cell>
          <cell r="H1987" t="str">
            <v>60/61</v>
          </cell>
        </row>
        <row r="1988">
          <cell r="F1988">
            <v>91.1</v>
          </cell>
          <cell r="G1988">
            <v>0</v>
          </cell>
          <cell r="H1988" t="str">
            <v>60/61</v>
          </cell>
        </row>
        <row r="1989">
          <cell r="F1989">
            <v>151.25</v>
          </cell>
          <cell r="G1989">
            <v>0</v>
          </cell>
          <cell r="H1989" t="str">
            <v>60/61</v>
          </cell>
        </row>
        <row r="1990">
          <cell r="F1990">
            <v>0.38</v>
          </cell>
          <cell r="G1990">
            <v>0</v>
          </cell>
          <cell r="H1990" t="str">
            <v>60/61</v>
          </cell>
        </row>
        <row r="1991">
          <cell r="F1991">
            <v>14.1</v>
          </cell>
          <cell r="G1991">
            <v>0</v>
          </cell>
          <cell r="H1991" t="str">
            <v>60/61</v>
          </cell>
        </row>
        <row r="1992">
          <cell r="F1992">
            <v>10.72</v>
          </cell>
          <cell r="G1992">
            <v>0</v>
          </cell>
          <cell r="H1992" t="str">
            <v>60/61</v>
          </cell>
        </row>
        <row r="1993">
          <cell r="F1993">
            <v>13.569999999999993</v>
          </cell>
          <cell r="G1993">
            <v>0</v>
          </cell>
          <cell r="H1993" t="str">
            <v>60/61</v>
          </cell>
        </row>
        <row r="1994">
          <cell r="F1994">
            <v>15.98</v>
          </cell>
          <cell r="G1994">
            <v>0</v>
          </cell>
          <cell r="H1994" t="str">
            <v>60/61</v>
          </cell>
        </row>
        <row r="1995">
          <cell r="F1995">
            <v>181.44</v>
          </cell>
          <cell r="G1995">
            <v>0</v>
          </cell>
          <cell r="H1995" t="str">
            <v>60/61</v>
          </cell>
        </row>
        <row r="1996">
          <cell r="F1996">
            <v>11.91</v>
          </cell>
          <cell r="G1996">
            <v>0</v>
          </cell>
          <cell r="H1996" t="str">
            <v>60/61</v>
          </cell>
        </row>
        <row r="1997">
          <cell r="F1997">
            <v>168</v>
          </cell>
          <cell r="G1997">
            <v>0</v>
          </cell>
          <cell r="H1997" t="str">
            <v>60/61</v>
          </cell>
        </row>
        <row r="1998">
          <cell r="F1998">
            <v>195.79</v>
          </cell>
          <cell r="G1998">
            <v>0</v>
          </cell>
          <cell r="H1998" t="str">
            <v>60/61</v>
          </cell>
        </row>
        <row r="1999">
          <cell r="F1999">
            <v>1.21</v>
          </cell>
          <cell r="G1999">
            <v>0</v>
          </cell>
          <cell r="H1999" t="str">
            <v>60/61</v>
          </cell>
        </row>
        <row r="2000">
          <cell r="F2000">
            <v>219.57</v>
          </cell>
          <cell r="G2000">
            <v>0</v>
          </cell>
          <cell r="H2000" t="str">
            <v>60/61</v>
          </cell>
        </row>
        <row r="2001">
          <cell r="F2001">
            <v>640.39</v>
          </cell>
          <cell r="G2001">
            <v>0</v>
          </cell>
          <cell r="H2001" t="str">
            <v>60/61</v>
          </cell>
        </row>
        <row r="2002">
          <cell r="F2002">
            <v>10.58</v>
          </cell>
          <cell r="G2002">
            <v>0</v>
          </cell>
          <cell r="H2002" t="str">
            <v>60/61</v>
          </cell>
        </row>
        <row r="2003">
          <cell r="F2003">
            <v>4.24</v>
          </cell>
          <cell r="G2003">
            <v>0</v>
          </cell>
          <cell r="H2003" t="str">
            <v>60/61</v>
          </cell>
        </row>
        <row r="2004">
          <cell r="F2004">
            <v>3247.77</v>
          </cell>
          <cell r="G2004">
            <v>0</v>
          </cell>
          <cell r="H2004" t="str">
            <v>60/61</v>
          </cell>
        </row>
        <row r="2005">
          <cell r="F2005">
            <v>90.75</v>
          </cell>
          <cell r="G2005">
            <v>0</v>
          </cell>
          <cell r="H2005" t="str">
            <v>60/61</v>
          </cell>
        </row>
        <row r="2006">
          <cell r="F2006">
            <v>105.44</v>
          </cell>
          <cell r="G2006">
            <v>0</v>
          </cell>
          <cell r="H2006" t="str">
            <v>60/61</v>
          </cell>
        </row>
        <row r="2007">
          <cell r="F2007">
            <v>161.58000000000001</v>
          </cell>
          <cell r="G2007">
            <v>0</v>
          </cell>
          <cell r="H2007" t="str">
            <v>60/61</v>
          </cell>
        </row>
        <row r="2008">
          <cell r="F2008">
            <v>291.17</v>
          </cell>
          <cell r="G2008">
            <v>0</v>
          </cell>
          <cell r="H2008" t="str">
            <v>60/61</v>
          </cell>
        </row>
        <row r="2009">
          <cell r="F2009">
            <v>2125.1</v>
          </cell>
          <cell r="G2009">
            <v>0</v>
          </cell>
          <cell r="H2009" t="str">
            <v>60/61</v>
          </cell>
        </row>
        <row r="2010">
          <cell r="F2010">
            <v>21.45</v>
          </cell>
          <cell r="G2010">
            <v>0</v>
          </cell>
          <cell r="H2010" t="str">
            <v>60/61</v>
          </cell>
        </row>
        <row r="2011">
          <cell r="F2011">
            <v>232</v>
          </cell>
          <cell r="G2011">
            <v>0</v>
          </cell>
          <cell r="H2011" t="str">
            <v>60/61</v>
          </cell>
        </row>
        <row r="2012">
          <cell r="F2012">
            <v>50.460000000000008</v>
          </cell>
          <cell r="G2012">
            <v>0</v>
          </cell>
          <cell r="H2012" t="str">
            <v>60/61</v>
          </cell>
        </row>
        <row r="2013">
          <cell r="F2013">
            <v>12.620000000000005</v>
          </cell>
          <cell r="G2013">
            <v>0</v>
          </cell>
          <cell r="H2013" t="str">
            <v>60/61</v>
          </cell>
        </row>
        <row r="2014">
          <cell r="F2014">
            <v>128.16</v>
          </cell>
          <cell r="G2014">
            <v>0</v>
          </cell>
          <cell r="H2014" t="str">
            <v>60/61</v>
          </cell>
        </row>
        <row r="2015">
          <cell r="F2015">
            <v>26.52</v>
          </cell>
          <cell r="G2015">
            <v>0</v>
          </cell>
          <cell r="H2015" t="str">
            <v>60/61</v>
          </cell>
        </row>
        <row r="2016">
          <cell r="F2016">
            <v>5.19</v>
          </cell>
          <cell r="G2016">
            <v>0</v>
          </cell>
          <cell r="H2016" t="str">
            <v>60/61</v>
          </cell>
        </row>
        <row r="2017">
          <cell r="F2017">
            <v>25.58</v>
          </cell>
          <cell r="G2017">
            <v>0</v>
          </cell>
          <cell r="H2017" t="str">
            <v>60/61</v>
          </cell>
        </row>
        <row r="2018">
          <cell r="F2018">
            <v>33.6</v>
          </cell>
          <cell r="G2018">
            <v>0</v>
          </cell>
          <cell r="H2018" t="str">
            <v>60/61</v>
          </cell>
        </row>
        <row r="2019">
          <cell r="F2019">
            <v>95.31</v>
          </cell>
          <cell r="G2019">
            <v>0</v>
          </cell>
          <cell r="H2019" t="str">
            <v>60/61</v>
          </cell>
        </row>
        <row r="2020">
          <cell r="F2020">
            <v>168</v>
          </cell>
          <cell r="G2020">
            <v>0</v>
          </cell>
          <cell r="H2020" t="str">
            <v>60/61</v>
          </cell>
        </row>
        <row r="2021">
          <cell r="F2021">
            <v>184.46</v>
          </cell>
          <cell r="G2021">
            <v>0</v>
          </cell>
          <cell r="H2021" t="str">
            <v>60/61</v>
          </cell>
        </row>
        <row r="2022">
          <cell r="F2022">
            <v>211.72</v>
          </cell>
          <cell r="G2022">
            <v>0</v>
          </cell>
          <cell r="H2022" t="str">
            <v>60/61</v>
          </cell>
        </row>
        <row r="2023">
          <cell r="F2023">
            <v>20.82</v>
          </cell>
          <cell r="G2023">
            <v>0</v>
          </cell>
          <cell r="H2023" t="str">
            <v>60/61</v>
          </cell>
        </row>
        <row r="2024">
          <cell r="F2024">
            <v>14.86</v>
          </cell>
          <cell r="G2024">
            <v>0</v>
          </cell>
          <cell r="H2024" t="str">
            <v>60/61</v>
          </cell>
        </row>
        <row r="2025">
          <cell r="F2025">
            <v>9.75</v>
          </cell>
          <cell r="G2025">
            <v>0</v>
          </cell>
          <cell r="H2025" t="str">
            <v>60/61</v>
          </cell>
        </row>
        <row r="2026">
          <cell r="F2026">
            <v>104.96</v>
          </cell>
          <cell r="G2026">
            <v>0</v>
          </cell>
          <cell r="H2026" t="str">
            <v>60/61</v>
          </cell>
        </row>
        <row r="2027">
          <cell r="F2027">
            <v>84</v>
          </cell>
          <cell r="G2027">
            <v>0</v>
          </cell>
          <cell r="H2027" t="str">
            <v>60/61</v>
          </cell>
        </row>
        <row r="2028">
          <cell r="F2028">
            <v>8.4</v>
          </cell>
          <cell r="G2028">
            <v>0</v>
          </cell>
          <cell r="H2028" t="str">
            <v>60/61</v>
          </cell>
        </row>
        <row r="2029">
          <cell r="F2029">
            <v>6.1800000000000068</v>
          </cell>
          <cell r="G2029">
            <v>0</v>
          </cell>
          <cell r="H2029" t="str">
            <v>60/61</v>
          </cell>
        </row>
        <row r="2030">
          <cell r="F2030">
            <v>63.15</v>
          </cell>
          <cell r="G2030">
            <v>0</v>
          </cell>
          <cell r="H2030" t="str">
            <v>60/61</v>
          </cell>
        </row>
        <row r="2031">
          <cell r="F2031">
            <v>98.8</v>
          </cell>
          <cell r="G2031">
            <v>0</v>
          </cell>
          <cell r="H2031" t="str">
            <v>60/61</v>
          </cell>
        </row>
        <row r="2032">
          <cell r="F2032">
            <v>89.31</v>
          </cell>
          <cell r="G2032">
            <v>0</v>
          </cell>
          <cell r="H2032" t="str">
            <v>60/61</v>
          </cell>
        </row>
        <row r="2033">
          <cell r="F2033">
            <v>17.07</v>
          </cell>
          <cell r="G2033">
            <v>0</v>
          </cell>
          <cell r="H2033" t="str">
            <v>60/61</v>
          </cell>
        </row>
        <row r="2034">
          <cell r="F2034">
            <v>158</v>
          </cell>
          <cell r="G2034">
            <v>0</v>
          </cell>
          <cell r="H2034" t="str">
            <v>60/61</v>
          </cell>
        </row>
        <row r="2035">
          <cell r="F2035">
            <v>158</v>
          </cell>
          <cell r="G2035">
            <v>0</v>
          </cell>
          <cell r="H2035" t="str">
            <v>60/61</v>
          </cell>
        </row>
        <row r="2036">
          <cell r="F2036">
            <v>385.64</v>
          </cell>
          <cell r="G2036">
            <v>0</v>
          </cell>
          <cell r="H2036" t="str">
            <v>60/61</v>
          </cell>
        </row>
        <row r="2037">
          <cell r="F2037">
            <v>2.1</v>
          </cell>
          <cell r="G2037">
            <v>0</v>
          </cell>
          <cell r="H2037" t="str">
            <v>60/61</v>
          </cell>
        </row>
        <row r="2038">
          <cell r="F2038">
            <v>28.4</v>
          </cell>
          <cell r="G2038">
            <v>0</v>
          </cell>
          <cell r="H2038" t="str">
            <v>60/61</v>
          </cell>
        </row>
        <row r="2039">
          <cell r="F2039">
            <v>24.66</v>
          </cell>
          <cell r="G2039">
            <v>0</v>
          </cell>
          <cell r="H2039" t="str">
            <v>60/61</v>
          </cell>
        </row>
        <row r="2040">
          <cell r="F2040">
            <v>250.99</v>
          </cell>
          <cell r="G2040">
            <v>0</v>
          </cell>
          <cell r="H2040" t="str">
            <v>60/61</v>
          </cell>
        </row>
        <row r="2041">
          <cell r="F2041">
            <v>87.7</v>
          </cell>
          <cell r="G2041">
            <v>0</v>
          </cell>
          <cell r="H2041" t="str">
            <v>60/61</v>
          </cell>
        </row>
        <row r="2042">
          <cell r="F2042">
            <v>98.19</v>
          </cell>
          <cell r="G2042">
            <v>0</v>
          </cell>
          <cell r="H2042" t="str">
            <v>60/61</v>
          </cell>
        </row>
        <row r="2043">
          <cell r="F2043">
            <v>97.8</v>
          </cell>
          <cell r="G2043">
            <v>0</v>
          </cell>
          <cell r="H2043" t="str">
            <v>60/61</v>
          </cell>
        </row>
        <row r="2044">
          <cell r="F2044">
            <v>73.03</v>
          </cell>
          <cell r="G2044">
            <v>0</v>
          </cell>
          <cell r="H2044" t="str">
            <v>60/61</v>
          </cell>
        </row>
        <row r="2045">
          <cell r="F2045">
            <v>86.25</v>
          </cell>
          <cell r="G2045">
            <v>0</v>
          </cell>
          <cell r="H2045" t="str">
            <v>60/61</v>
          </cell>
        </row>
        <row r="2046">
          <cell r="F2046">
            <v>277.04000000000002</v>
          </cell>
          <cell r="G2046">
            <v>0</v>
          </cell>
          <cell r="H2046" t="str">
            <v>60/61</v>
          </cell>
        </row>
        <row r="2047">
          <cell r="F2047">
            <v>347.3</v>
          </cell>
          <cell r="G2047">
            <v>0</v>
          </cell>
          <cell r="H2047" t="str">
            <v>60/61</v>
          </cell>
        </row>
        <row r="2048">
          <cell r="F2048">
            <v>7.06</v>
          </cell>
          <cell r="G2048">
            <v>0</v>
          </cell>
          <cell r="H2048" t="str">
            <v>60/61</v>
          </cell>
        </row>
        <row r="2049">
          <cell r="F2049">
            <v>420.41</v>
          </cell>
          <cell r="G2049">
            <v>0</v>
          </cell>
          <cell r="H2049" t="str">
            <v>60/61</v>
          </cell>
        </row>
        <row r="2050">
          <cell r="F2050">
            <v>41.06</v>
          </cell>
          <cell r="G2050">
            <v>0</v>
          </cell>
          <cell r="H2050" t="str">
            <v>60/61</v>
          </cell>
        </row>
        <row r="2051">
          <cell r="F2051">
            <v>84</v>
          </cell>
          <cell r="G2051">
            <v>0</v>
          </cell>
          <cell r="H2051" t="str">
            <v>60/61</v>
          </cell>
        </row>
        <row r="2052">
          <cell r="F2052">
            <v>151.54</v>
          </cell>
          <cell r="G2052">
            <v>0</v>
          </cell>
          <cell r="H2052" t="str">
            <v>60/61</v>
          </cell>
        </row>
        <row r="2053">
          <cell r="F2053">
            <v>7.72</v>
          </cell>
          <cell r="G2053">
            <v>0</v>
          </cell>
          <cell r="H2053" t="str">
            <v>60/61</v>
          </cell>
        </row>
        <row r="2054">
          <cell r="F2054">
            <v>955</v>
          </cell>
          <cell r="G2054">
            <v>0</v>
          </cell>
          <cell r="H2054" t="str">
            <v>60/61</v>
          </cell>
        </row>
        <row r="2055">
          <cell r="F2055">
            <v>70.2</v>
          </cell>
          <cell r="G2055">
            <v>0</v>
          </cell>
          <cell r="H2055" t="str">
            <v>60/61</v>
          </cell>
        </row>
        <row r="2056">
          <cell r="F2056">
            <v>356.76</v>
          </cell>
          <cell r="G2056">
            <v>0</v>
          </cell>
          <cell r="H2056" t="str">
            <v>60/61</v>
          </cell>
        </row>
        <row r="2057">
          <cell r="F2057">
            <v>750</v>
          </cell>
          <cell r="G2057">
            <v>0</v>
          </cell>
          <cell r="H2057" t="str">
            <v>60/61</v>
          </cell>
        </row>
        <row r="2058">
          <cell r="F2058">
            <v>237.24</v>
          </cell>
          <cell r="G2058">
            <v>0</v>
          </cell>
          <cell r="H2058" t="str">
            <v>60/61</v>
          </cell>
        </row>
        <row r="2059">
          <cell r="F2059">
            <v>199</v>
          </cell>
          <cell r="G2059">
            <v>0</v>
          </cell>
          <cell r="H2059" t="str">
            <v>60/61</v>
          </cell>
        </row>
        <row r="2060">
          <cell r="F2060">
            <v>50</v>
          </cell>
          <cell r="G2060">
            <v>0</v>
          </cell>
          <cell r="H2060" t="str">
            <v>60/61</v>
          </cell>
        </row>
        <row r="2061">
          <cell r="F2061">
            <v>188.12</v>
          </cell>
          <cell r="G2061">
            <v>0</v>
          </cell>
          <cell r="H2061" t="str">
            <v>60/61</v>
          </cell>
        </row>
        <row r="2062">
          <cell r="F2062">
            <v>1873.05</v>
          </cell>
          <cell r="G2062">
            <v>0</v>
          </cell>
          <cell r="H2062" t="str">
            <v>60/61</v>
          </cell>
        </row>
        <row r="2063">
          <cell r="F2063">
            <v>1942.44</v>
          </cell>
          <cell r="G2063">
            <v>0</v>
          </cell>
          <cell r="H2063" t="str">
            <v>60/61</v>
          </cell>
        </row>
        <row r="2064">
          <cell r="F2064">
            <v>43.56</v>
          </cell>
          <cell r="G2064">
            <v>0</v>
          </cell>
          <cell r="H2064" t="str">
            <v>60/61</v>
          </cell>
        </row>
        <row r="2065">
          <cell r="F2065">
            <v>1954.99</v>
          </cell>
          <cell r="G2065">
            <v>0</v>
          </cell>
          <cell r="H2065" t="str">
            <v>60/61</v>
          </cell>
        </row>
        <row r="2066">
          <cell r="F2066">
            <v>226.67</v>
          </cell>
          <cell r="G2066">
            <v>0</v>
          </cell>
          <cell r="H2066" t="str">
            <v>60/61</v>
          </cell>
        </row>
        <row r="2067">
          <cell r="F2067">
            <v>17.690000000000001</v>
          </cell>
          <cell r="G2067">
            <v>0</v>
          </cell>
          <cell r="H2067" t="str">
            <v>60/61</v>
          </cell>
        </row>
        <row r="2068">
          <cell r="F2068">
            <v>936.71</v>
          </cell>
          <cell r="G2068">
            <v>0</v>
          </cell>
          <cell r="H2068" t="str">
            <v>60/61</v>
          </cell>
        </row>
        <row r="2069">
          <cell r="F2069">
            <v>331.6</v>
          </cell>
          <cell r="G2069">
            <v>0</v>
          </cell>
          <cell r="H2069" t="str">
            <v>60/61</v>
          </cell>
        </row>
        <row r="2070">
          <cell r="F2070">
            <v>259.38</v>
          </cell>
          <cell r="G2070">
            <v>0</v>
          </cell>
          <cell r="H2070" t="str">
            <v>60/61</v>
          </cell>
        </row>
        <row r="2071">
          <cell r="F2071">
            <v>493.03</v>
          </cell>
          <cell r="G2071">
            <v>0</v>
          </cell>
          <cell r="H2071" t="str">
            <v>60/61</v>
          </cell>
        </row>
        <row r="2072">
          <cell r="F2072">
            <v>195.57</v>
          </cell>
          <cell r="G2072">
            <v>0</v>
          </cell>
          <cell r="H2072" t="str">
            <v>60/61</v>
          </cell>
        </row>
        <row r="2073">
          <cell r="F2073">
            <v>189.82</v>
          </cell>
          <cell r="G2073">
            <v>0</v>
          </cell>
          <cell r="H2073" t="str">
            <v>60/61</v>
          </cell>
        </row>
        <row r="2074">
          <cell r="F2074">
            <v>65.990000000000009</v>
          </cell>
          <cell r="G2074">
            <v>0</v>
          </cell>
          <cell r="H2074" t="str">
            <v>60/61</v>
          </cell>
        </row>
        <row r="2075">
          <cell r="F2075">
            <v>165.71</v>
          </cell>
          <cell r="G2075">
            <v>0</v>
          </cell>
          <cell r="H2075" t="str">
            <v>60/61</v>
          </cell>
        </row>
        <row r="2076">
          <cell r="F2076">
            <v>801.96</v>
          </cell>
          <cell r="G2076">
            <v>0</v>
          </cell>
          <cell r="H2076" t="str">
            <v>60/61</v>
          </cell>
        </row>
        <row r="2077">
          <cell r="F2077">
            <v>71.650000000000006</v>
          </cell>
          <cell r="G2077">
            <v>0</v>
          </cell>
          <cell r="H2077" t="str">
            <v>60/61</v>
          </cell>
        </row>
        <row r="2078">
          <cell r="F2078">
            <v>31.34</v>
          </cell>
          <cell r="G2078">
            <v>0</v>
          </cell>
          <cell r="H2078" t="str">
            <v>60/61</v>
          </cell>
        </row>
        <row r="2079">
          <cell r="F2079">
            <v>216.25</v>
          </cell>
          <cell r="G2079">
            <v>0</v>
          </cell>
          <cell r="H2079" t="str">
            <v>60/61</v>
          </cell>
        </row>
        <row r="2080">
          <cell r="F2080">
            <v>0</v>
          </cell>
          <cell r="G2080">
            <v>0</v>
          </cell>
          <cell r="H2080" t="str">
            <v>60/61</v>
          </cell>
        </row>
        <row r="2081">
          <cell r="F2081">
            <v>0</v>
          </cell>
          <cell r="G2081">
            <v>0</v>
          </cell>
          <cell r="H2081" t="str">
            <v>60/61</v>
          </cell>
        </row>
        <row r="2082">
          <cell r="F2082">
            <v>1422.5</v>
          </cell>
          <cell r="G2082">
            <v>0</v>
          </cell>
          <cell r="H2082" t="str">
            <v>60/61</v>
          </cell>
        </row>
        <row r="2083">
          <cell r="F2083">
            <v>467.52</v>
          </cell>
          <cell r="G2083">
            <v>0</v>
          </cell>
          <cell r="H2083" t="str">
            <v>60/61</v>
          </cell>
        </row>
        <row r="2084">
          <cell r="F2084">
            <v>168.09000000000003</v>
          </cell>
          <cell r="G2084">
            <v>0</v>
          </cell>
          <cell r="H2084" t="str">
            <v>60/61</v>
          </cell>
        </row>
        <row r="2085">
          <cell r="F2085">
            <v>99.8</v>
          </cell>
          <cell r="G2085">
            <v>0</v>
          </cell>
          <cell r="H2085" t="str">
            <v>60/61</v>
          </cell>
        </row>
        <row r="2086">
          <cell r="F2086">
            <v>206.11</v>
          </cell>
          <cell r="G2086">
            <v>0</v>
          </cell>
          <cell r="H2086" t="str">
            <v>60/61</v>
          </cell>
        </row>
        <row r="2087">
          <cell r="F2087">
            <v>294</v>
          </cell>
          <cell r="G2087">
            <v>0</v>
          </cell>
          <cell r="H2087" t="str">
            <v>60/61</v>
          </cell>
        </row>
        <row r="2088">
          <cell r="F2088">
            <v>385.83</v>
          </cell>
          <cell r="G2088">
            <v>0</v>
          </cell>
          <cell r="H2088" t="str">
            <v>60/61</v>
          </cell>
        </row>
        <row r="2089">
          <cell r="F2089">
            <v>45.73</v>
          </cell>
          <cell r="G2089">
            <v>0</v>
          </cell>
          <cell r="H2089" t="str">
            <v>60/61</v>
          </cell>
        </row>
        <row r="2090">
          <cell r="F2090">
            <v>72.77</v>
          </cell>
          <cell r="G2090">
            <v>0</v>
          </cell>
          <cell r="H2090" t="str">
            <v>60/61</v>
          </cell>
        </row>
        <row r="2091">
          <cell r="F2091">
            <v>100.87</v>
          </cell>
          <cell r="G2091">
            <v>0</v>
          </cell>
          <cell r="H2091" t="str">
            <v>60/61</v>
          </cell>
        </row>
        <row r="2092">
          <cell r="F2092">
            <v>146.97999999999999</v>
          </cell>
          <cell r="G2092">
            <v>0</v>
          </cell>
          <cell r="H2092" t="str">
            <v>60/61</v>
          </cell>
        </row>
        <row r="2093">
          <cell r="F2093">
            <v>0.39</v>
          </cell>
          <cell r="G2093">
            <v>0</v>
          </cell>
          <cell r="H2093" t="str">
            <v>60/61</v>
          </cell>
        </row>
        <row r="2094">
          <cell r="F2094">
            <v>24.1</v>
          </cell>
          <cell r="G2094">
            <v>0</v>
          </cell>
          <cell r="H2094" t="str">
            <v>60/61</v>
          </cell>
        </row>
        <row r="2095">
          <cell r="F2095">
            <v>258.45999999999998</v>
          </cell>
          <cell r="G2095">
            <v>0</v>
          </cell>
          <cell r="H2095" t="str">
            <v>60/61</v>
          </cell>
        </row>
        <row r="2096">
          <cell r="F2096">
            <v>543.87</v>
          </cell>
          <cell r="G2096">
            <v>0</v>
          </cell>
          <cell r="H2096" t="str">
            <v>60/61</v>
          </cell>
        </row>
        <row r="2097">
          <cell r="F2097">
            <v>636.19000000000005</v>
          </cell>
          <cell r="G2097">
            <v>0</v>
          </cell>
          <cell r="H2097" t="str">
            <v>60/61</v>
          </cell>
        </row>
        <row r="2098">
          <cell r="F2098">
            <v>61.94</v>
          </cell>
          <cell r="G2098">
            <v>0</v>
          </cell>
          <cell r="H2098" t="str">
            <v>60/61</v>
          </cell>
        </row>
        <row r="2099">
          <cell r="F2099">
            <v>2263.34</v>
          </cell>
          <cell r="G2099">
            <v>0</v>
          </cell>
          <cell r="H2099" t="str">
            <v>60/61</v>
          </cell>
        </row>
        <row r="2100">
          <cell r="F2100">
            <v>292.64</v>
          </cell>
          <cell r="G2100">
            <v>0</v>
          </cell>
          <cell r="H2100" t="str">
            <v>60/61</v>
          </cell>
        </row>
        <row r="2101">
          <cell r="F2101">
            <v>27.13</v>
          </cell>
          <cell r="G2101">
            <v>0</v>
          </cell>
          <cell r="H2101" t="str">
            <v>60/61</v>
          </cell>
        </row>
        <row r="2102">
          <cell r="F2102">
            <v>1245.1300000000001</v>
          </cell>
          <cell r="G2102">
            <v>0</v>
          </cell>
          <cell r="H2102" t="str">
            <v>60/61</v>
          </cell>
        </row>
        <row r="2103">
          <cell r="F2103">
            <v>142.86000000000001</v>
          </cell>
          <cell r="G2103">
            <v>0</v>
          </cell>
          <cell r="H2103" t="str">
            <v>60/61</v>
          </cell>
        </row>
        <row r="2104">
          <cell r="F2104">
            <v>1890.52</v>
          </cell>
          <cell r="G2104">
            <v>0</v>
          </cell>
          <cell r="H2104" t="str">
            <v>60/61</v>
          </cell>
        </row>
        <row r="2105">
          <cell r="F2105">
            <v>26</v>
          </cell>
          <cell r="G2105">
            <v>0</v>
          </cell>
          <cell r="H2105" t="str">
            <v>60/61</v>
          </cell>
        </row>
        <row r="2106">
          <cell r="F2106">
            <v>47.76</v>
          </cell>
          <cell r="G2106">
            <v>0</v>
          </cell>
          <cell r="H2106" t="str">
            <v>60/61</v>
          </cell>
        </row>
        <row r="2107">
          <cell r="F2107">
            <v>487.48</v>
          </cell>
          <cell r="G2107">
            <v>0</v>
          </cell>
          <cell r="H2107" t="str">
            <v>60/61</v>
          </cell>
        </row>
        <row r="2108">
          <cell r="F2108">
            <v>1231.44</v>
          </cell>
          <cell r="G2108">
            <v>0</v>
          </cell>
          <cell r="H2108" t="str">
            <v>60/61</v>
          </cell>
        </row>
        <row r="2109">
          <cell r="F2109">
            <v>933.69</v>
          </cell>
          <cell r="G2109">
            <v>0</v>
          </cell>
          <cell r="H2109" t="str">
            <v>60/61</v>
          </cell>
        </row>
        <row r="2110">
          <cell r="F2110">
            <v>384</v>
          </cell>
          <cell r="G2110">
            <v>0</v>
          </cell>
          <cell r="H2110" t="str">
            <v>60/61</v>
          </cell>
        </row>
        <row r="2111">
          <cell r="F2111">
            <v>1484.11</v>
          </cell>
          <cell r="G2111">
            <v>0</v>
          </cell>
          <cell r="H2111" t="str">
            <v>60/61</v>
          </cell>
        </row>
        <row r="2112">
          <cell r="F2112">
            <v>132.96</v>
          </cell>
          <cell r="G2112">
            <v>0</v>
          </cell>
          <cell r="H2112" t="str">
            <v>60/61</v>
          </cell>
        </row>
        <row r="2113">
          <cell r="F2113">
            <v>44.480000000000018</v>
          </cell>
          <cell r="G2113">
            <v>0</v>
          </cell>
          <cell r="H2113" t="str">
            <v>60/61</v>
          </cell>
        </row>
        <row r="2114">
          <cell r="F2114">
            <v>381.69999999999993</v>
          </cell>
          <cell r="G2114">
            <v>0</v>
          </cell>
          <cell r="H2114" t="str">
            <v>60/61</v>
          </cell>
        </row>
        <row r="2115">
          <cell r="F2115">
            <v>625.52</v>
          </cell>
          <cell r="G2115">
            <v>0</v>
          </cell>
          <cell r="H2115" t="str">
            <v>60/61</v>
          </cell>
        </row>
        <row r="2116">
          <cell r="F2116">
            <v>455.35</v>
          </cell>
          <cell r="G2116">
            <v>0</v>
          </cell>
          <cell r="H2116" t="str">
            <v>60/61</v>
          </cell>
        </row>
        <row r="2117">
          <cell r="F2117">
            <v>504.59</v>
          </cell>
          <cell r="G2117">
            <v>0</v>
          </cell>
          <cell r="H2117" t="str">
            <v>60/61</v>
          </cell>
        </row>
        <row r="2118">
          <cell r="F2118">
            <v>66.289999999999992</v>
          </cell>
          <cell r="G2118">
            <v>0</v>
          </cell>
          <cell r="H2118" t="str">
            <v>60/61</v>
          </cell>
        </row>
        <row r="2119">
          <cell r="F2119">
            <v>253.05</v>
          </cell>
          <cell r="G2119">
            <v>0</v>
          </cell>
          <cell r="H2119" t="str">
            <v>60/61</v>
          </cell>
        </row>
        <row r="2120">
          <cell r="F2120">
            <v>305.92</v>
          </cell>
          <cell r="G2120">
            <v>0</v>
          </cell>
          <cell r="H2120" t="str">
            <v>60/61</v>
          </cell>
        </row>
        <row r="2121">
          <cell r="F2121">
            <v>221.98</v>
          </cell>
          <cell r="G2121">
            <v>0</v>
          </cell>
          <cell r="H2121" t="str">
            <v>60/61</v>
          </cell>
        </row>
        <row r="2122">
          <cell r="F2122">
            <v>960.49</v>
          </cell>
          <cell r="G2122">
            <v>0</v>
          </cell>
          <cell r="H2122" t="str">
            <v>60/61</v>
          </cell>
        </row>
        <row r="2123">
          <cell r="F2123">
            <v>6.14</v>
          </cell>
          <cell r="G2123">
            <v>0</v>
          </cell>
          <cell r="H2123" t="str">
            <v>60/61</v>
          </cell>
        </row>
        <row r="2124">
          <cell r="F2124">
            <v>861.43</v>
          </cell>
          <cell r="G2124">
            <v>0</v>
          </cell>
          <cell r="H2124" t="str">
            <v>60/61</v>
          </cell>
        </row>
        <row r="2125">
          <cell r="F2125">
            <v>1670.22</v>
          </cell>
          <cell r="G2125">
            <v>0</v>
          </cell>
          <cell r="H2125" t="str">
            <v>60/61</v>
          </cell>
        </row>
        <row r="2126">
          <cell r="F2126">
            <v>454.48</v>
          </cell>
          <cell r="G2126">
            <v>0</v>
          </cell>
          <cell r="H2126" t="str">
            <v>60/61</v>
          </cell>
        </row>
        <row r="2127">
          <cell r="F2127">
            <v>1062.8699999999999</v>
          </cell>
          <cell r="G2127">
            <v>0</v>
          </cell>
          <cell r="H2127" t="str">
            <v>60/61</v>
          </cell>
        </row>
        <row r="2128">
          <cell r="F2128">
            <v>333.95</v>
          </cell>
          <cell r="G2128">
            <v>0</v>
          </cell>
          <cell r="H2128" t="str">
            <v>60/61</v>
          </cell>
        </row>
        <row r="2129">
          <cell r="F2129">
            <v>2005.72</v>
          </cell>
          <cell r="G2129">
            <v>0</v>
          </cell>
          <cell r="H2129" t="str">
            <v>60/61</v>
          </cell>
        </row>
        <row r="2130">
          <cell r="F2130">
            <v>801.54</v>
          </cell>
          <cell r="G2130">
            <v>0</v>
          </cell>
          <cell r="H2130" t="str">
            <v>60/61</v>
          </cell>
        </row>
        <row r="2131">
          <cell r="F2131">
            <v>85.679999999999836</v>
          </cell>
          <cell r="G2131">
            <v>0</v>
          </cell>
          <cell r="H2131" t="str">
            <v>60/61</v>
          </cell>
        </row>
        <row r="2132">
          <cell r="F2132">
            <v>653.23</v>
          </cell>
          <cell r="G2132">
            <v>0</v>
          </cell>
          <cell r="H2132" t="str">
            <v>60/61</v>
          </cell>
        </row>
        <row r="2133">
          <cell r="F2133">
            <v>267.61</v>
          </cell>
          <cell r="G2133">
            <v>0</v>
          </cell>
          <cell r="H2133" t="str">
            <v>60/61</v>
          </cell>
        </row>
        <row r="2134">
          <cell r="F2134">
            <v>128.61000000000001</v>
          </cell>
          <cell r="G2134">
            <v>0</v>
          </cell>
          <cell r="H2134" t="str">
            <v>60/61</v>
          </cell>
        </row>
        <row r="2135">
          <cell r="F2135">
            <v>19.28</v>
          </cell>
          <cell r="G2135">
            <v>0</v>
          </cell>
          <cell r="H2135" t="str">
            <v>60/61</v>
          </cell>
        </row>
        <row r="2136">
          <cell r="F2136">
            <v>0</v>
          </cell>
          <cell r="G2136">
            <v>0</v>
          </cell>
          <cell r="H2136" t="str">
            <v>60/61</v>
          </cell>
        </row>
        <row r="2137">
          <cell r="F2137">
            <v>42.06</v>
          </cell>
          <cell r="G2137">
            <v>0</v>
          </cell>
          <cell r="H2137" t="str">
            <v>60/61</v>
          </cell>
        </row>
        <row r="2138">
          <cell r="F2138">
            <v>258.63</v>
          </cell>
          <cell r="G2138">
            <v>0</v>
          </cell>
          <cell r="H2138" t="str">
            <v>60/61</v>
          </cell>
        </row>
        <row r="2139">
          <cell r="F2139">
            <v>457.21</v>
          </cell>
          <cell r="G2139">
            <v>0</v>
          </cell>
          <cell r="H2139" t="str">
            <v>60/61</v>
          </cell>
        </row>
        <row r="2140">
          <cell r="F2140">
            <v>-2.8700000000000045</v>
          </cell>
          <cell r="G2140">
            <v>0</v>
          </cell>
          <cell r="H2140" t="str">
            <v>60/61</v>
          </cell>
        </row>
        <row r="2141">
          <cell r="F2141">
            <v>95.43</v>
          </cell>
          <cell r="G2141">
            <v>0</v>
          </cell>
          <cell r="H2141" t="str">
            <v>60/61</v>
          </cell>
        </row>
        <row r="2142">
          <cell r="F2142">
            <v>111.11</v>
          </cell>
          <cell r="G2142">
            <v>0</v>
          </cell>
          <cell r="H2142" t="str">
            <v>60/61</v>
          </cell>
        </row>
        <row r="2143">
          <cell r="F2143">
            <v>351.12</v>
          </cell>
          <cell r="G2143">
            <v>0</v>
          </cell>
          <cell r="H2143" t="str">
            <v>60/61</v>
          </cell>
        </row>
        <row r="2144">
          <cell r="F2144">
            <v>253.78</v>
          </cell>
          <cell r="G2144">
            <v>0</v>
          </cell>
          <cell r="H2144" t="str">
            <v>60/61</v>
          </cell>
        </row>
        <row r="2145">
          <cell r="F2145">
            <v>543.24</v>
          </cell>
          <cell r="G2145">
            <v>0</v>
          </cell>
          <cell r="H2145" t="str">
            <v>60/61</v>
          </cell>
        </row>
        <row r="2146">
          <cell r="F2146">
            <v>209.29</v>
          </cell>
          <cell r="G2146">
            <v>0</v>
          </cell>
          <cell r="H2146" t="str">
            <v>60/61</v>
          </cell>
        </row>
        <row r="2147">
          <cell r="F2147">
            <v>740.51</v>
          </cell>
          <cell r="G2147">
            <v>0</v>
          </cell>
          <cell r="H2147" t="str">
            <v>60/61</v>
          </cell>
        </row>
        <row r="2148">
          <cell r="F2148">
            <v>0.16</v>
          </cell>
          <cell r="G2148">
            <v>0</v>
          </cell>
          <cell r="H2148" t="str">
            <v>60/61</v>
          </cell>
        </row>
        <row r="2149">
          <cell r="F2149">
            <v>0.31</v>
          </cell>
          <cell r="G2149">
            <v>0</v>
          </cell>
          <cell r="H2149" t="str">
            <v>60/61</v>
          </cell>
        </row>
        <row r="2150">
          <cell r="F2150">
            <v>105.08</v>
          </cell>
          <cell r="G2150">
            <v>0</v>
          </cell>
          <cell r="H2150" t="str">
            <v>60/61</v>
          </cell>
        </row>
        <row r="2151">
          <cell r="F2151">
            <v>10.54</v>
          </cell>
          <cell r="G2151">
            <v>0</v>
          </cell>
          <cell r="H2151" t="str">
            <v>60/61</v>
          </cell>
        </row>
        <row r="2152">
          <cell r="F2152">
            <v>19.59</v>
          </cell>
          <cell r="G2152">
            <v>0</v>
          </cell>
          <cell r="H2152" t="str">
            <v>60/61</v>
          </cell>
        </row>
        <row r="2153">
          <cell r="F2153">
            <v>3677.89</v>
          </cell>
          <cell r="G2153">
            <v>0</v>
          </cell>
          <cell r="H2153" t="str">
            <v>60/61</v>
          </cell>
        </row>
        <row r="2154">
          <cell r="F2154">
            <v>6.1</v>
          </cell>
          <cell r="G2154">
            <v>0</v>
          </cell>
          <cell r="H2154" t="str">
            <v>60/61</v>
          </cell>
        </row>
        <row r="2155">
          <cell r="F2155">
            <v>62.94</v>
          </cell>
          <cell r="G2155">
            <v>0</v>
          </cell>
          <cell r="H2155" t="str">
            <v>60/61</v>
          </cell>
        </row>
        <row r="2156">
          <cell r="F2156">
            <v>774.66</v>
          </cell>
          <cell r="G2156">
            <v>0</v>
          </cell>
          <cell r="H2156" t="str">
            <v>60/61</v>
          </cell>
        </row>
        <row r="2157">
          <cell r="F2157">
            <v>181.65</v>
          </cell>
          <cell r="G2157">
            <v>0</v>
          </cell>
          <cell r="H2157" t="str">
            <v>60/61</v>
          </cell>
        </row>
        <row r="2158">
          <cell r="F2158">
            <v>38.72</v>
          </cell>
          <cell r="G2158">
            <v>0</v>
          </cell>
          <cell r="H2158" t="str">
            <v>60/61</v>
          </cell>
        </row>
        <row r="2159">
          <cell r="F2159">
            <v>123.93</v>
          </cell>
          <cell r="G2159">
            <v>0</v>
          </cell>
          <cell r="H2159" t="str">
            <v>60/61</v>
          </cell>
        </row>
        <row r="2160">
          <cell r="F2160">
            <v>0</v>
          </cell>
          <cell r="G2160">
            <v>0</v>
          </cell>
          <cell r="H2160" t="str">
            <v>60/61</v>
          </cell>
        </row>
        <row r="2161">
          <cell r="F2161">
            <v>20.27</v>
          </cell>
          <cell r="G2161">
            <v>0</v>
          </cell>
          <cell r="H2161" t="str">
            <v>60/61</v>
          </cell>
        </row>
        <row r="2162">
          <cell r="F2162">
            <v>28.17</v>
          </cell>
          <cell r="G2162">
            <v>0</v>
          </cell>
          <cell r="H2162" t="str">
            <v>60/61</v>
          </cell>
        </row>
        <row r="2163">
          <cell r="F2163">
            <v>99.54</v>
          </cell>
          <cell r="G2163">
            <v>0</v>
          </cell>
          <cell r="H2163" t="str">
            <v>60/61</v>
          </cell>
        </row>
        <row r="2164">
          <cell r="F2164">
            <v>360.87</v>
          </cell>
          <cell r="G2164">
            <v>0</v>
          </cell>
          <cell r="H2164" t="str">
            <v>60/61</v>
          </cell>
        </row>
        <row r="2165">
          <cell r="F2165">
            <v>132.5</v>
          </cell>
          <cell r="G2165">
            <v>0</v>
          </cell>
          <cell r="H2165" t="str">
            <v>60/61</v>
          </cell>
        </row>
        <row r="2166">
          <cell r="F2166">
            <v>267.13</v>
          </cell>
          <cell r="G2166">
            <v>0</v>
          </cell>
          <cell r="H2166" t="str">
            <v>60/61</v>
          </cell>
        </row>
        <row r="2167">
          <cell r="F2167">
            <v>680.21</v>
          </cell>
          <cell r="G2167">
            <v>0</v>
          </cell>
          <cell r="H2167" t="str">
            <v>60/61</v>
          </cell>
        </row>
        <row r="2168">
          <cell r="F2168">
            <v>96.06</v>
          </cell>
          <cell r="G2168">
            <v>0</v>
          </cell>
          <cell r="H2168" t="str">
            <v>60/61</v>
          </cell>
        </row>
        <row r="2169">
          <cell r="F2169">
            <v>7.92</v>
          </cell>
          <cell r="G2169">
            <v>0</v>
          </cell>
          <cell r="H2169" t="str">
            <v>60/61</v>
          </cell>
        </row>
        <row r="2170">
          <cell r="F2170">
            <v>245.24</v>
          </cell>
          <cell r="G2170">
            <v>0</v>
          </cell>
          <cell r="H2170" t="str">
            <v>60/61</v>
          </cell>
        </row>
        <row r="2171">
          <cell r="F2171">
            <v>24.86</v>
          </cell>
          <cell r="G2171">
            <v>0</v>
          </cell>
          <cell r="H2171" t="str">
            <v>60/61</v>
          </cell>
        </row>
        <row r="2172">
          <cell r="F2172">
            <v>60.25</v>
          </cell>
          <cell r="G2172">
            <v>0</v>
          </cell>
          <cell r="H2172" t="str">
            <v>60/61</v>
          </cell>
        </row>
        <row r="2173">
          <cell r="F2173">
            <v>3.66</v>
          </cell>
          <cell r="G2173">
            <v>0</v>
          </cell>
          <cell r="H2173" t="str">
            <v>60/61</v>
          </cell>
        </row>
        <row r="2174">
          <cell r="F2174">
            <v>12.840000000000003</v>
          </cell>
          <cell r="G2174">
            <v>0</v>
          </cell>
          <cell r="H2174" t="str">
            <v>60/61</v>
          </cell>
        </row>
        <row r="2175">
          <cell r="F2175">
            <v>94.36</v>
          </cell>
          <cell r="G2175">
            <v>0</v>
          </cell>
          <cell r="H2175" t="str">
            <v>60/61</v>
          </cell>
        </row>
        <row r="2176">
          <cell r="F2176">
            <v>123.12</v>
          </cell>
          <cell r="G2176">
            <v>0</v>
          </cell>
          <cell r="H2176" t="str">
            <v>60/61</v>
          </cell>
        </row>
        <row r="2177">
          <cell r="F2177">
            <v>542.5</v>
          </cell>
          <cell r="G2177">
            <v>0</v>
          </cell>
          <cell r="H2177" t="str">
            <v>60/61</v>
          </cell>
        </row>
        <row r="2178">
          <cell r="F2178">
            <v>3173.32</v>
          </cell>
          <cell r="G2178">
            <v>0</v>
          </cell>
          <cell r="H2178" t="str">
            <v>60/61</v>
          </cell>
        </row>
        <row r="2179">
          <cell r="F2179">
            <v>27.2</v>
          </cell>
          <cell r="G2179">
            <v>0</v>
          </cell>
          <cell r="H2179" t="str">
            <v>60/61</v>
          </cell>
        </row>
        <row r="2180">
          <cell r="F2180">
            <v>0.67</v>
          </cell>
          <cell r="G2180">
            <v>0</v>
          </cell>
          <cell r="H2180" t="str">
            <v>60/61</v>
          </cell>
        </row>
        <row r="2181">
          <cell r="F2181">
            <v>5.27</v>
          </cell>
          <cell r="G2181">
            <v>0</v>
          </cell>
          <cell r="H2181" t="str">
            <v>60/61</v>
          </cell>
        </row>
        <row r="2182">
          <cell r="F2182">
            <v>18.989999999999998</v>
          </cell>
          <cell r="G2182">
            <v>0</v>
          </cell>
          <cell r="H2182" t="str">
            <v>60/61</v>
          </cell>
        </row>
        <row r="2183">
          <cell r="F2183">
            <v>37.54</v>
          </cell>
          <cell r="G2183">
            <v>0</v>
          </cell>
          <cell r="H2183" t="str">
            <v>60/61</v>
          </cell>
        </row>
        <row r="2184">
          <cell r="F2184">
            <v>255.17</v>
          </cell>
          <cell r="G2184">
            <v>0</v>
          </cell>
          <cell r="H2184" t="str">
            <v>60/61</v>
          </cell>
        </row>
        <row r="2185">
          <cell r="F2185">
            <v>575.5</v>
          </cell>
          <cell r="G2185">
            <v>0</v>
          </cell>
          <cell r="H2185" t="str">
            <v>60/61</v>
          </cell>
        </row>
        <row r="2186">
          <cell r="F2186">
            <v>83.5</v>
          </cell>
          <cell r="G2186">
            <v>0</v>
          </cell>
          <cell r="H2186" t="str">
            <v>60/61</v>
          </cell>
        </row>
        <row r="2187">
          <cell r="F2187">
            <v>6.84</v>
          </cell>
          <cell r="G2187">
            <v>0</v>
          </cell>
          <cell r="H2187" t="str">
            <v>60/61</v>
          </cell>
        </row>
        <row r="2188">
          <cell r="F2188">
            <v>1.69</v>
          </cell>
          <cell r="G2188">
            <v>0</v>
          </cell>
          <cell r="H2188" t="str">
            <v>60/61</v>
          </cell>
        </row>
        <row r="2189">
          <cell r="F2189">
            <v>0</v>
          </cell>
          <cell r="G2189">
            <v>0</v>
          </cell>
          <cell r="H2189" t="str">
            <v>60/61</v>
          </cell>
        </row>
        <row r="2190">
          <cell r="F2190">
            <v>0.34</v>
          </cell>
          <cell r="G2190">
            <v>0</v>
          </cell>
          <cell r="H2190" t="str">
            <v>60/61</v>
          </cell>
        </row>
        <row r="2191">
          <cell r="F2191">
            <v>251.39</v>
          </cell>
          <cell r="G2191">
            <v>0</v>
          </cell>
          <cell r="H2191" t="str">
            <v>60/61</v>
          </cell>
        </row>
        <row r="2192">
          <cell r="F2192">
            <v>0</v>
          </cell>
          <cell r="G2192">
            <v>0</v>
          </cell>
          <cell r="H2192" t="str">
            <v>60/61</v>
          </cell>
        </row>
        <row r="2193">
          <cell r="F2193">
            <v>0.08</v>
          </cell>
          <cell r="G2193">
            <v>0</v>
          </cell>
          <cell r="H2193" t="str">
            <v>60/61</v>
          </cell>
        </row>
        <row r="2194">
          <cell r="F2194">
            <v>482.9</v>
          </cell>
          <cell r="G2194">
            <v>0</v>
          </cell>
          <cell r="H2194" t="str">
            <v>60/61</v>
          </cell>
        </row>
        <row r="2195">
          <cell r="F2195">
            <v>49.01</v>
          </cell>
          <cell r="G2195">
            <v>0</v>
          </cell>
          <cell r="H2195" t="str">
            <v>60/61</v>
          </cell>
        </row>
        <row r="2196">
          <cell r="F2196">
            <v>13.22</v>
          </cell>
          <cell r="G2196">
            <v>0</v>
          </cell>
          <cell r="H2196" t="str">
            <v>60/61</v>
          </cell>
        </row>
        <row r="2197">
          <cell r="F2197">
            <v>439.14</v>
          </cell>
          <cell r="G2197">
            <v>0</v>
          </cell>
          <cell r="H2197" t="str">
            <v>60/61</v>
          </cell>
        </row>
        <row r="2198">
          <cell r="F2198">
            <v>331.11</v>
          </cell>
          <cell r="G2198">
            <v>0</v>
          </cell>
          <cell r="H2198" t="str">
            <v>60/61</v>
          </cell>
        </row>
        <row r="2199">
          <cell r="F2199">
            <v>572.54</v>
          </cell>
          <cell r="G2199">
            <v>0</v>
          </cell>
          <cell r="H2199" t="str">
            <v>60/61</v>
          </cell>
        </row>
        <row r="2200">
          <cell r="F2200">
            <v>13.4</v>
          </cell>
          <cell r="G2200">
            <v>0</v>
          </cell>
          <cell r="H2200" t="str">
            <v>60/61</v>
          </cell>
        </row>
        <row r="2201">
          <cell r="F2201">
            <v>12.699999999999989</v>
          </cell>
          <cell r="G2201">
            <v>0</v>
          </cell>
          <cell r="H2201" t="str">
            <v>60/61</v>
          </cell>
        </row>
        <row r="2202">
          <cell r="F2202">
            <v>1324.23</v>
          </cell>
          <cell r="G2202">
            <v>0</v>
          </cell>
          <cell r="H2202" t="str">
            <v>60/61</v>
          </cell>
        </row>
        <row r="2203">
          <cell r="F2203">
            <v>1549.95</v>
          </cell>
          <cell r="G2203">
            <v>0</v>
          </cell>
          <cell r="H2203" t="str">
            <v>60/61</v>
          </cell>
        </row>
        <row r="2204">
          <cell r="F2204">
            <v>191.58</v>
          </cell>
          <cell r="G2204">
            <v>0</v>
          </cell>
          <cell r="H2204" t="str">
            <v>60/61</v>
          </cell>
        </row>
        <row r="2205">
          <cell r="F2205">
            <v>2319.39</v>
          </cell>
          <cell r="G2205">
            <v>0</v>
          </cell>
          <cell r="H2205" t="str">
            <v>60/61</v>
          </cell>
        </row>
        <row r="2206">
          <cell r="F2206">
            <v>170.34</v>
          </cell>
          <cell r="G2206">
            <v>0</v>
          </cell>
          <cell r="H2206" t="str">
            <v>60/61</v>
          </cell>
        </row>
        <row r="2207">
          <cell r="F2207">
            <v>26.18</v>
          </cell>
          <cell r="G2207">
            <v>0</v>
          </cell>
          <cell r="H2207" t="str">
            <v>60/61</v>
          </cell>
        </row>
        <row r="2208">
          <cell r="F2208">
            <v>38.31</v>
          </cell>
          <cell r="G2208">
            <v>0</v>
          </cell>
          <cell r="H2208" t="str">
            <v>60/61</v>
          </cell>
        </row>
        <row r="2209">
          <cell r="F2209">
            <v>21.81</v>
          </cell>
          <cell r="G2209">
            <v>0</v>
          </cell>
          <cell r="H2209" t="str">
            <v>60/61</v>
          </cell>
        </row>
        <row r="2210">
          <cell r="F2210">
            <v>163.36000000000001</v>
          </cell>
          <cell r="G2210">
            <v>0</v>
          </cell>
          <cell r="H2210" t="str">
            <v>60/61</v>
          </cell>
        </row>
        <row r="2211">
          <cell r="F2211">
            <v>482.89</v>
          </cell>
          <cell r="G2211">
            <v>0</v>
          </cell>
          <cell r="H2211" t="str">
            <v>60/61</v>
          </cell>
        </row>
        <row r="2212">
          <cell r="F2212">
            <v>116.84</v>
          </cell>
          <cell r="G2212">
            <v>0</v>
          </cell>
          <cell r="H2212" t="str">
            <v>60/61</v>
          </cell>
        </row>
        <row r="2213">
          <cell r="F2213">
            <v>225.67</v>
          </cell>
          <cell r="G2213">
            <v>0</v>
          </cell>
          <cell r="H2213" t="str">
            <v>60/61</v>
          </cell>
        </row>
        <row r="2214">
          <cell r="F2214">
            <v>139.16999999999999</v>
          </cell>
          <cell r="G2214">
            <v>0</v>
          </cell>
          <cell r="H2214" t="str">
            <v>60/61</v>
          </cell>
        </row>
        <row r="2215">
          <cell r="F2215">
            <v>28.14</v>
          </cell>
          <cell r="G2215">
            <v>0</v>
          </cell>
          <cell r="H2215" t="str">
            <v>60/61</v>
          </cell>
        </row>
        <row r="2216">
          <cell r="F2216">
            <v>85.19</v>
          </cell>
          <cell r="G2216">
            <v>0</v>
          </cell>
          <cell r="H2216" t="str">
            <v>60/61</v>
          </cell>
        </row>
        <row r="2217">
          <cell r="F2217">
            <v>9.02</v>
          </cell>
          <cell r="G2217">
            <v>0</v>
          </cell>
          <cell r="H2217" t="str">
            <v>60/61</v>
          </cell>
        </row>
        <row r="2218">
          <cell r="F2218">
            <v>72.489999999999995</v>
          </cell>
          <cell r="G2218">
            <v>0</v>
          </cell>
          <cell r="H2218" t="str">
            <v>60/61</v>
          </cell>
        </row>
        <row r="2219">
          <cell r="F2219">
            <v>541.9</v>
          </cell>
          <cell r="G2219">
            <v>0</v>
          </cell>
          <cell r="H2219" t="str">
            <v>60/61</v>
          </cell>
        </row>
        <row r="2220">
          <cell r="F2220">
            <v>25.88</v>
          </cell>
          <cell r="G2220">
            <v>0</v>
          </cell>
          <cell r="H2220" t="str">
            <v>60/61</v>
          </cell>
        </row>
        <row r="2221">
          <cell r="F2221">
            <v>51.55</v>
          </cell>
          <cell r="G2221">
            <v>0</v>
          </cell>
          <cell r="H2221" t="str">
            <v>60/61</v>
          </cell>
        </row>
        <row r="2222">
          <cell r="F2222">
            <v>1176.67</v>
          </cell>
          <cell r="G2222">
            <v>0</v>
          </cell>
          <cell r="H2222" t="str">
            <v>60/61</v>
          </cell>
        </row>
        <row r="2223">
          <cell r="F2223">
            <v>210.25</v>
          </cell>
          <cell r="G2223">
            <v>0</v>
          </cell>
          <cell r="H2223" t="str">
            <v>60/61</v>
          </cell>
        </row>
        <row r="2224">
          <cell r="F2224">
            <v>-0.54999999999999716</v>
          </cell>
          <cell r="G2224">
            <v>0</v>
          </cell>
          <cell r="H2224" t="str">
            <v>60/61</v>
          </cell>
        </row>
        <row r="2225">
          <cell r="F2225">
            <v>23.03000000000003</v>
          </cell>
          <cell r="G2225">
            <v>0</v>
          </cell>
          <cell r="H2225" t="str">
            <v>60/61</v>
          </cell>
        </row>
        <row r="2226">
          <cell r="F2226">
            <v>41.129999999999995</v>
          </cell>
          <cell r="G2226">
            <v>0</v>
          </cell>
          <cell r="H2226" t="str">
            <v>60/61</v>
          </cell>
        </row>
        <row r="2227">
          <cell r="F2227">
            <v>154.38999999999999</v>
          </cell>
          <cell r="G2227">
            <v>0</v>
          </cell>
          <cell r="H2227" t="str">
            <v>60/61</v>
          </cell>
        </row>
        <row r="2228">
          <cell r="F2228">
            <v>13.79</v>
          </cell>
          <cell r="G2228">
            <v>0</v>
          </cell>
          <cell r="H2228" t="str">
            <v>60/61</v>
          </cell>
        </row>
        <row r="2229">
          <cell r="F2229">
            <v>158.36000000000001</v>
          </cell>
          <cell r="G2229">
            <v>0</v>
          </cell>
          <cell r="H2229" t="str">
            <v>60/61</v>
          </cell>
        </row>
        <row r="2230">
          <cell r="F2230">
            <v>56.17</v>
          </cell>
          <cell r="G2230">
            <v>0</v>
          </cell>
          <cell r="H2230" t="str">
            <v>60/61</v>
          </cell>
        </row>
        <row r="2231">
          <cell r="F2231">
            <v>2.33</v>
          </cell>
          <cell r="G2231">
            <v>0</v>
          </cell>
          <cell r="H2231" t="str">
            <v>60/61</v>
          </cell>
        </row>
        <row r="2232">
          <cell r="F2232">
            <v>0.89</v>
          </cell>
          <cell r="G2232">
            <v>0</v>
          </cell>
          <cell r="H2232" t="str">
            <v>60/61</v>
          </cell>
        </row>
        <row r="2233">
          <cell r="F2233">
            <v>16.96</v>
          </cell>
          <cell r="G2233">
            <v>0</v>
          </cell>
          <cell r="H2233" t="str">
            <v>60/61</v>
          </cell>
        </row>
        <row r="2234">
          <cell r="F2234">
            <v>0.64</v>
          </cell>
          <cell r="G2234">
            <v>0</v>
          </cell>
          <cell r="H2234" t="str">
            <v>60/61</v>
          </cell>
        </row>
        <row r="2235">
          <cell r="F2235">
            <v>0.02</v>
          </cell>
          <cell r="G2235">
            <v>0</v>
          </cell>
          <cell r="H2235" t="str">
            <v>60/61</v>
          </cell>
        </row>
        <row r="2236">
          <cell r="F2236">
            <v>247.18</v>
          </cell>
          <cell r="G2236">
            <v>0</v>
          </cell>
          <cell r="H2236" t="str">
            <v>60/61</v>
          </cell>
        </row>
        <row r="2237">
          <cell r="F2237">
            <v>175.99</v>
          </cell>
          <cell r="G2237">
            <v>0</v>
          </cell>
          <cell r="H2237" t="str">
            <v>60/61</v>
          </cell>
        </row>
        <row r="2238">
          <cell r="F2238">
            <v>864.78</v>
          </cell>
          <cell r="G2238">
            <v>0</v>
          </cell>
          <cell r="H2238" t="str">
            <v>60/61</v>
          </cell>
        </row>
        <row r="2239">
          <cell r="F2239">
            <v>100.71</v>
          </cell>
          <cell r="G2239">
            <v>0</v>
          </cell>
          <cell r="H2239" t="str">
            <v>60/61</v>
          </cell>
        </row>
        <row r="2240">
          <cell r="F2240">
            <v>27.75</v>
          </cell>
          <cell r="G2240">
            <v>0</v>
          </cell>
          <cell r="H2240" t="str">
            <v>60/61</v>
          </cell>
        </row>
        <row r="2241">
          <cell r="F2241">
            <v>269.06</v>
          </cell>
          <cell r="G2241">
            <v>0</v>
          </cell>
          <cell r="H2241" t="str">
            <v>60/61</v>
          </cell>
        </row>
        <row r="2242">
          <cell r="F2242">
            <v>3.32</v>
          </cell>
          <cell r="G2242">
            <v>0</v>
          </cell>
          <cell r="H2242" t="str">
            <v>60/61</v>
          </cell>
        </row>
        <row r="2243">
          <cell r="F2243">
            <v>5.52</v>
          </cell>
          <cell r="G2243">
            <v>0</v>
          </cell>
          <cell r="H2243" t="str">
            <v>60/61</v>
          </cell>
        </row>
        <row r="2244">
          <cell r="F2244">
            <v>30.54</v>
          </cell>
          <cell r="G2244">
            <v>0</v>
          </cell>
          <cell r="H2244" t="str">
            <v>60/61</v>
          </cell>
        </row>
        <row r="2245">
          <cell r="F2245">
            <v>0</v>
          </cell>
          <cell r="G2245">
            <v>0</v>
          </cell>
          <cell r="H2245" t="str">
            <v>60/61</v>
          </cell>
        </row>
        <row r="2246">
          <cell r="F2246">
            <v>195.51</v>
          </cell>
          <cell r="G2246">
            <v>0</v>
          </cell>
          <cell r="H2246" t="str">
            <v>60/61</v>
          </cell>
        </row>
        <row r="2247">
          <cell r="F2247">
            <v>37.78</v>
          </cell>
          <cell r="G2247">
            <v>0</v>
          </cell>
          <cell r="H2247" t="str">
            <v>60/61</v>
          </cell>
        </row>
        <row r="2248">
          <cell r="F2248">
            <v>174.47</v>
          </cell>
          <cell r="G2248">
            <v>0</v>
          </cell>
          <cell r="H2248" t="str">
            <v>60/61</v>
          </cell>
        </row>
        <row r="2249">
          <cell r="F2249">
            <v>1366.01</v>
          </cell>
          <cell r="G2249">
            <v>0</v>
          </cell>
          <cell r="H2249" t="str">
            <v>60/61</v>
          </cell>
        </row>
        <row r="2250">
          <cell r="F2250">
            <v>779.24</v>
          </cell>
          <cell r="G2250">
            <v>0</v>
          </cell>
          <cell r="H2250" t="str">
            <v>60/61</v>
          </cell>
        </row>
        <row r="2251">
          <cell r="F2251">
            <v>91.57</v>
          </cell>
          <cell r="G2251">
            <v>0</v>
          </cell>
          <cell r="H2251" t="str">
            <v>60/61</v>
          </cell>
        </row>
        <row r="2252">
          <cell r="F2252">
            <v>197.42</v>
          </cell>
          <cell r="G2252">
            <v>0</v>
          </cell>
          <cell r="H2252" t="str">
            <v>60/61</v>
          </cell>
        </row>
        <row r="2253">
          <cell r="F2253">
            <v>911.95</v>
          </cell>
          <cell r="G2253">
            <v>0</v>
          </cell>
          <cell r="H2253" t="str">
            <v>60/61</v>
          </cell>
        </row>
        <row r="2254">
          <cell r="F2254">
            <v>1606.26</v>
          </cell>
          <cell r="G2254">
            <v>0</v>
          </cell>
          <cell r="H2254" t="str">
            <v>60/61</v>
          </cell>
        </row>
        <row r="2255">
          <cell r="F2255">
            <v>142.74</v>
          </cell>
          <cell r="G2255">
            <v>0</v>
          </cell>
          <cell r="H2255" t="str">
            <v>60/61</v>
          </cell>
        </row>
        <row r="2256">
          <cell r="F2256">
            <v>406.1</v>
          </cell>
          <cell r="G2256">
            <v>0</v>
          </cell>
          <cell r="H2256" t="str">
            <v>60/61</v>
          </cell>
        </row>
        <row r="2257">
          <cell r="F2257">
            <v>541.82000000000005</v>
          </cell>
          <cell r="G2257">
            <v>0</v>
          </cell>
          <cell r="H2257" t="str">
            <v>60/61</v>
          </cell>
        </row>
        <row r="2258">
          <cell r="F2258">
            <v>2790.61</v>
          </cell>
          <cell r="G2258">
            <v>0</v>
          </cell>
          <cell r="H2258" t="str">
            <v>60/61</v>
          </cell>
        </row>
        <row r="2259">
          <cell r="F2259">
            <v>382.77</v>
          </cell>
          <cell r="G2259">
            <v>0</v>
          </cell>
          <cell r="H2259" t="str">
            <v>60/61</v>
          </cell>
        </row>
        <row r="2260">
          <cell r="F2260">
            <v>192.93</v>
          </cell>
          <cell r="G2260">
            <v>0</v>
          </cell>
          <cell r="H2260" t="str">
            <v>60/61</v>
          </cell>
        </row>
        <row r="2261">
          <cell r="F2261">
            <v>1277.69</v>
          </cell>
          <cell r="G2261">
            <v>0</v>
          </cell>
          <cell r="H2261" t="str">
            <v>60/61</v>
          </cell>
        </row>
        <row r="2262">
          <cell r="F2262">
            <v>6916.52</v>
          </cell>
          <cell r="G2262">
            <v>0</v>
          </cell>
          <cell r="H2262" t="str">
            <v>60/61</v>
          </cell>
        </row>
        <row r="2263">
          <cell r="F2263">
            <v>696.98</v>
          </cell>
          <cell r="G2263">
            <v>0</v>
          </cell>
          <cell r="H2263" t="str">
            <v>60/61</v>
          </cell>
        </row>
        <row r="2264">
          <cell r="F2264">
            <v>2464.75</v>
          </cell>
          <cell r="G2264">
            <v>0</v>
          </cell>
          <cell r="H2264" t="str">
            <v>60/61</v>
          </cell>
        </row>
        <row r="2265">
          <cell r="F2265">
            <v>527.16</v>
          </cell>
          <cell r="G2265">
            <v>0</v>
          </cell>
          <cell r="H2265" t="str">
            <v>60/61</v>
          </cell>
        </row>
        <row r="2266">
          <cell r="F2266">
            <v>1.2200000000000006</v>
          </cell>
          <cell r="G2266">
            <v>0</v>
          </cell>
          <cell r="H2266" t="str">
            <v>60/61</v>
          </cell>
        </row>
        <row r="2267">
          <cell r="F2267">
            <v>96.68</v>
          </cell>
          <cell r="G2267">
            <v>0</v>
          </cell>
          <cell r="H2267" t="str">
            <v>60/61</v>
          </cell>
        </row>
        <row r="2268">
          <cell r="F2268">
            <v>86.77</v>
          </cell>
          <cell r="G2268">
            <v>0</v>
          </cell>
          <cell r="H2268" t="str">
            <v>60/61</v>
          </cell>
        </row>
        <row r="2269">
          <cell r="F2269">
            <v>0.59999999999999964</v>
          </cell>
          <cell r="G2269">
            <v>0</v>
          </cell>
          <cell r="H2269" t="str">
            <v>60/61</v>
          </cell>
        </row>
        <row r="2270">
          <cell r="F2270">
            <v>0</v>
          </cell>
          <cell r="G2270">
            <v>0</v>
          </cell>
          <cell r="H2270" t="str">
            <v>60/61</v>
          </cell>
        </row>
        <row r="2271">
          <cell r="F2271">
            <v>1679.58</v>
          </cell>
          <cell r="G2271">
            <v>0</v>
          </cell>
          <cell r="H2271" t="str">
            <v>60/61</v>
          </cell>
        </row>
        <row r="2272">
          <cell r="F2272">
            <v>1160.6500000000001</v>
          </cell>
          <cell r="G2272">
            <v>0</v>
          </cell>
          <cell r="H2272" t="str">
            <v>60/61</v>
          </cell>
        </row>
        <row r="2273">
          <cell r="F2273">
            <v>0.27999999999999936</v>
          </cell>
          <cell r="G2273">
            <v>0</v>
          </cell>
          <cell r="H2273" t="str">
            <v>60/61</v>
          </cell>
        </row>
        <row r="2274">
          <cell r="F2274">
            <v>1620.8</v>
          </cell>
          <cell r="G2274">
            <v>0</v>
          </cell>
          <cell r="H2274" t="str">
            <v>60/61</v>
          </cell>
        </row>
        <row r="2275">
          <cell r="F2275">
            <v>1203.71</v>
          </cell>
          <cell r="G2275">
            <v>0</v>
          </cell>
          <cell r="H2275" t="str">
            <v>60/61</v>
          </cell>
        </row>
        <row r="2276">
          <cell r="F2276">
            <v>1491.66</v>
          </cell>
          <cell r="G2276">
            <v>0</v>
          </cell>
          <cell r="H2276" t="str">
            <v>60/61</v>
          </cell>
        </row>
        <row r="2277">
          <cell r="F2277">
            <v>304.33</v>
          </cell>
          <cell r="G2277">
            <v>0</v>
          </cell>
          <cell r="H2277" t="str">
            <v>60/61</v>
          </cell>
        </row>
        <row r="2278">
          <cell r="F2278">
            <v>69.78</v>
          </cell>
          <cell r="G2278">
            <v>0</v>
          </cell>
          <cell r="H2278" t="str">
            <v>60/61</v>
          </cell>
        </row>
        <row r="2279">
          <cell r="F2279">
            <v>57.6</v>
          </cell>
          <cell r="G2279">
            <v>0</v>
          </cell>
          <cell r="H2279" t="str">
            <v>60/61</v>
          </cell>
        </row>
        <row r="2280">
          <cell r="F2280">
            <v>0</v>
          </cell>
          <cell r="G2280">
            <v>0</v>
          </cell>
          <cell r="H2280" t="str">
            <v>60/61</v>
          </cell>
        </row>
        <row r="2281">
          <cell r="F2281">
            <v>0</v>
          </cell>
          <cell r="G2281">
            <v>0</v>
          </cell>
          <cell r="H2281" t="str">
            <v>60/61</v>
          </cell>
        </row>
        <row r="2282">
          <cell r="F2282">
            <v>0</v>
          </cell>
          <cell r="G2282">
            <v>0</v>
          </cell>
          <cell r="H2282" t="str">
            <v>60/61</v>
          </cell>
        </row>
        <row r="2283">
          <cell r="F2283">
            <v>0</v>
          </cell>
          <cell r="G2283">
            <v>0</v>
          </cell>
          <cell r="H2283" t="str">
            <v>60/61</v>
          </cell>
        </row>
        <row r="2284">
          <cell r="F2284">
            <v>0</v>
          </cell>
          <cell r="G2284">
            <v>0</v>
          </cell>
          <cell r="H2284" t="str">
            <v>60/61</v>
          </cell>
        </row>
        <row r="2285">
          <cell r="F2285">
            <v>225.6</v>
          </cell>
          <cell r="G2285">
            <v>0</v>
          </cell>
          <cell r="H2285" t="str">
            <v>60/61</v>
          </cell>
        </row>
        <row r="2286">
          <cell r="F2286">
            <v>365.46</v>
          </cell>
          <cell r="G2286">
            <v>0</v>
          </cell>
          <cell r="H2286" t="str">
            <v>60/61</v>
          </cell>
        </row>
        <row r="2287">
          <cell r="F2287">
            <v>1367.91</v>
          </cell>
          <cell r="G2287">
            <v>0</v>
          </cell>
          <cell r="H2287" t="str">
            <v>60/61</v>
          </cell>
        </row>
        <row r="2288">
          <cell r="F2288">
            <v>0</v>
          </cell>
          <cell r="G2288">
            <v>0</v>
          </cell>
          <cell r="H2288" t="str">
            <v>60/61</v>
          </cell>
        </row>
        <row r="2289">
          <cell r="F2289">
            <v>0</v>
          </cell>
          <cell r="G2289">
            <v>0</v>
          </cell>
          <cell r="H2289" t="str">
            <v>60/61</v>
          </cell>
        </row>
        <row r="2290">
          <cell r="F2290">
            <v>0</v>
          </cell>
          <cell r="G2290">
            <v>0</v>
          </cell>
          <cell r="H2290" t="str">
            <v>60/61</v>
          </cell>
        </row>
        <row r="2291">
          <cell r="F2291">
            <v>51.77</v>
          </cell>
          <cell r="G2291">
            <v>0</v>
          </cell>
          <cell r="H2291" t="str">
            <v>60/61</v>
          </cell>
        </row>
        <row r="2292">
          <cell r="F2292">
            <v>152.27000000000001</v>
          </cell>
          <cell r="G2292">
            <v>0</v>
          </cell>
          <cell r="H2292" t="str">
            <v>60/61</v>
          </cell>
        </row>
        <row r="2293">
          <cell r="F2293">
            <v>182.4</v>
          </cell>
          <cell r="G2293">
            <v>0</v>
          </cell>
          <cell r="H2293" t="str">
            <v>60/61</v>
          </cell>
        </row>
        <row r="2294">
          <cell r="F2294">
            <v>416.7</v>
          </cell>
          <cell r="G2294">
            <v>0</v>
          </cell>
          <cell r="H2294" t="str">
            <v>60/61</v>
          </cell>
        </row>
        <row r="2295">
          <cell r="F2295">
            <v>676.68</v>
          </cell>
          <cell r="G2295">
            <v>0</v>
          </cell>
          <cell r="H2295" t="str">
            <v>60/61</v>
          </cell>
        </row>
        <row r="2296">
          <cell r="F2296">
            <v>121.93</v>
          </cell>
          <cell r="G2296">
            <v>0</v>
          </cell>
          <cell r="H2296" t="str">
            <v>60/61</v>
          </cell>
        </row>
        <row r="2297">
          <cell r="F2297">
            <v>895.44</v>
          </cell>
          <cell r="G2297">
            <v>0</v>
          </cell>
          <cell r="H2297" t="str">
            <v>60/61</v>
          </cell>
        </row>
        <row r="2298">
          <cell r="F2298">
            <v>287.25</v>
          </cell>
          <cell r="G2298">
            <v>0</v>
          </cell>
          <cell r="H2298" t="str">
            <v>60/61</v>
          </cell>
        </row>
        <row r="2299">
          <cell r="F2299">
            <v>1003.27</v>
          </cell>
          <cell r="G2299">
            <v>0</v>
          </cell>
          <cell r="H2299" t="str">
            <v>60/61</v>
          </cell>
        </row>
        <row r="2300">
          <cell r="F2300">
            <v>387.73</v>
          </cell>
          <cell r="G2300">
            <v>0</v>
          </cell>
          <cell r="H2300" t="str">
            <v>60/61</v>
          </cell>
        </row>
        <row r="2301">
          <cell r="F2301">
            <v>656.93</v>
          </cell>
          <cell r="G2301">
            <v>0</v>
          </cell>
          <cell r="H2301" t="str">
            <v>60/61</v>
          </cell>
        </row>
        <row r="2302">
          <cell r="F2302">
            <v>432.69</v>
          </cell>
          <cell r="G2302">
            <v>0</v>
          </cell>
          <cell r="H2302" t="str">
            <v>60/61</v>
          </cell>
        </row>
        <row r="2303">
          <cell r="F2303">
            <v>0</v>
          </cell>
          <cell r="G2303">
            <v>0</v>
          </cell>
          <cell r="H2303" t="str">
            <v>60/61</v>
          </cell>
        </row>
        <row r="2304">
          <cell r="F2304">
            <v>2205.29</v>
          </cell>
          <cell r="G2304">
            <v>0</v>
          </cell>
          <cell r="H2304" t="str">
            <v>60/61</v>
          </cell>
        </row>
        <row r="2305">
          <cell r="F2305">
            <v>285.95</v>
          </cell>
          <cell r="G2305">
            <v>0</v>
          </cell>
          <cell r="H2305" t="str">
            <v>60/61</v>
          </cell>
        </row>
        <row r="2306">
          <cell r="F2306">
            <v>50.5</v>
          </cell>
          <cell r="G2306">
            <v>0</v>
          </cell>
          <cell r="H2306" t="str">
            <v>60/61</v>
          </cell>
        </row>
        <row r="2307">
          <cell r="F2307">
            <v>279.06</v>
          </cell>
          <cell r="G2307">
            <v>0</v>
          </cell>
          <cell r="H2307" t="str">
            <v>60/61</v>
          </cell>
        </row>
        <row r="2308">
          <cell r="F2308">
            <v>680.42</v>
          </cell>
          <cell r="G2308">
            <v>0</v>
          </cell>
          <cell r="H2308" t="str">
            <v>60/61</v>
          </cell>
        </row>
        <row r="2309">
          <cell r="F2309">
            <v>199.33</v>
          </cell>
          <cell r="G2309">
            <v>0</v>
          </cell>
          <cell r="H2309" t="str">
            <v>60/61</v>
          </cell>
        </row>
        <row r="2310">
          <cell r="F2310">
            <v>612.23</v>
          </cell>
          <cell r="G2310">
            <v>0</v>
          </cell>
          <cell r="H2310" t="str">
            <v>60/61</v>
          </cell>
        </row>
        <row r="2311">
          <cell r="F2311">
            <v>743.21</v>
          </cell>
          <cell r="G2311">
            <v>0</v>
          </cell>
          <cell r="H2311" t="str">
            <v>60/61</v>
          </cell>
        </row>
        <row r="2312">
          <cell r="F2312">
            <v>240.57</v>
          </cell>
          <cell r="G2312">
            <v>0</v>
          </cell>
          <cell r="H2312" t="str">
            <v>60/61</v>
          </cell>
        </row>
        <row r="2313">
          <cell r="F2313">
            <v>214</v>
          </cell>
          <cell r="G2313">
            <v>0</v>
          </cell>
          <cell r="H2313" t="str">
            <v>60/61</v>
          </cell>
        </row>
        <row r="2314">
          <cell r="F2314">
            <v>544.89</v>
          </cell>
          <cell r="G2314">
            <v>0</v>
          </cell>
          <cell r="H2314" t="str">
            <v>60/61</v>
          </cell>
        </row>
        <row r="2315">
          <cell r="F2315">
            <v>2826.49</v>
          </cell>
          <cell r="G2315">
            <v>0</v>
          </cell>
          <cell r="H2315" t="str">
            <v>60/61</v>
          </cell>
        </row>
        <row r="2316">
          <cell r="F2316">
            <v>0</v>
          </cell>
          <cell r="G2316">
            <v>0</v>
          </cell>
          <cell r="H2316" t="str">
            <v>60/61</v>
          </cell>
        </row>
        <row r="2317">
          <cell r="F2317">
            <v>0</v>
          </cell>
          <cell r="G2317">
            <v>0</v>
          </cell>
          <cell r="H2317" t="str">
            <v>60/61</v>
          </cell>
        </row>
        <row r="2318">
          <cell r="F2318">
            <v>0</v>
          </cell>
          <cell r="G2318">
            <v>0</v>
          </cell>
          <cell r="H2318" t="str">
            <v>60/61</v>
          </cell>
        </row>
        <row r="2319">
          <cell r="F2319">
            <v>0</v>
          </cell>
          <cell r="G2319">
            <v>0</v>
          </cell>
          <cell r="H2319" t="str">
            <v>60/61</v>
          </cell>
        </row>
        <row r="2320">
          <cell r="F2320">
            <v>0</v>
          </cell>
          <cell r="G2320">
            <v>0</v>
          </cell>
          <cell r="H2320" t="str">
            <v>60/61</v>
          </cell>
        </row>
        <row r="2321">
          <cell r="F2321">
            <v>0</v>
          </cell>
          <cell r="G2321">
            <v>0</v>
          </cell>
          <cell r="H2321" t="str">
            <v>60/61</v>
          </cell>
        </row>
        <row r="2322">
          <cell r="F2322">
            <v>0</v>
          </cell>
          <cell r="G2322">
            <v>0</v>
          </cell>
          <cell r="H2322" t="str">
            <v>60/61</v>
          </cell>
        </row>
        <row r="2323">
          <cell r="F2323">
            <v>22.389999999999986</v>
          </cell>
          <cell r="G2323">
            <v>0</v>
          </cell>
          <cell r="H2323" t="str">
            <v>60/61</v>
          </cell>
        </row>
        <row r="2324">
          <cell r="F2324">
            <v>24.78</v>
          </cell>
          <cell r="G2324">
            <v>0</v>
          </cell>
          <cell r="H2324" t="str">
            <v>60/61</v>
          </cell>
        </row>
        <row r="2325">
          <cell r="F2325">
            <v>1214.8499999999999</v>
          </cell>
          <cell r="G2325">
            <v>0</v>
          </cell>
          <cell r="H2325" t="str">
            <v>60/61</v>
          </cell>
        </row>
        <row r="2326">
          <cell r="F2326">
            <v>94.81</v>
          </cell>
          <cell r="G2326">
            <v>0</v>
          </cell>
          <cell r="H2326" t="str">
            <v>60/61</v>
          </cell>
        </row>
        <row r="2327">
          <cell r="F2327">
            <v>1277.3900000000001</v>
          </cell>
          <cell r="G2327">
            <v>0</v>
          </cell>
          <cell r="H2327" t="str">
            <v>60/61</v>
          </cell>
        </row>
        <row r="2328">
          <cell r="F2328">
            <v>976.33</v>
          </cell>
          <cell r="G2328">
            <v>0</v>
          </cell>
          <cell r="H2328" t="str">
            <v>60/61</v>
          </cell>
        </row>
        <row r="2329">
          <cell r="F2329">
            <v>688.06</v>
          </cell>
          <cell r="G2329">
            <v>0</v>
          </cell>
          <cell r="H2329" t="str">
            <v>60/61</v>
          </cell>
        </row>
        <row r="2330">
          <cell r="F2330">
            <v>2526.6999999999998</v>
          </cell>
          <cell r="G2330">
            <v>0</v>
          </cell>
          <cell r="H2330" t="str">
            <v>60/61</v>
          </cell>
        </row>
        <row r="2331">
          <cell r="F2331">
            <v>149.57</v>
          </cell>
          <cell r="G2331">
            <v>0</v>
          </cell>
          <cell r="H2331" t="str">
            <v>60/61</v>
          </cell>
        </row>
        <row r="2332">
          <cell r="F2332">
            <v>120.91</v>
          </cell>
          <cell r="G2332">
            <v>0</v>
          </cell>
          <cell r="H2332" t="str">
            <v>60/61</v>
          </cell>
        </row>
        <row r="2333">
          <cell r="F2333">
            <v>563.54</v>
          </cell>
          <cell r="G2333">
            <v>0</v>
          </cell>
          <cell r="H2333" t="str">
            <v>60/61</v>
          </cell>
        </row>
        <row r="2334">
          <cell r="F2334">
            <v>1127.08</v>
          </cell>
          <cell r="G2334">
            <v>0</v>
          </cell>
          <cell r="H2334" t="str">
            <v>60/61</v>
          </cell>
        </row>
        <row r="2335">
          <cell r="F2335">
            <v>201.19</v>
          </cell>
          <cell r="G2335">
            <v>0</v>
          </cell>
          <cell r="H2335" t="str">
            <v>60/61</v>
          </cell>
        </row>
        <row r="2336">
          <cell r="F2336">
            <v>0</v>
          </cell>
          <cell r="G2336">
            <v>0</v>
          </cell>
          <cell r="H2336" t="str">
            <v>60/61</v>
          </cell>
        </row>
        <row r="2337">
          <cell r="F2337">
            <v>0</v>
          </cell>
          <cell r="G2337">
            <v>0</v>
          </cell>
          <cell r="H2337" t="str">
            <v>60/61</v>
          </cell>
        </row>
        <row r="2338">
          <cell r="F2338">
            <v>18.7</v>
          </cell>
          <cell r="G2338">
            <v>0</v>
          </cell>
          <cell r="H2338" t="str">
            <v>60/61</v>
          </cell>
        </row>
        <row r="2339">
          <cell r="F2339">
            <v>0</v>
          </cell>
          <cell r="G2339">
            <v>0</v>
          </cell>
          <cell r="H2339" t="str">
            <v>60/61</v>
          </cell>
        </row>
        <row r="2340">
          <cell r="F2340">
            <v>0</v>
          </cell>
          <cell r="G2340">
            <v>0</v>
          </cell>
          <cell r="H2340" t="str">
            <v>60/61</v>
          </cell>
        </row>
        <row r="2341">
          <cell r="F2341">
            <v>227.42</v>
          </cell>
          <cell r="G2341">
            <v>0</v>
          </cell>
          <cell r="H2341" t="str">
            <v>60/61</v>
          </cell>
        </row>
        <row r="2342">
          <cell r="F2342">
            <v>306.25</v>
          </cell>
          <cell r="G2342">
            <v>0</v>
          </cell>
          <cell r="H2342" t="str">
            <v>60/61</v>
          </cell>
        </row>
        <row r="2343">
          <cell r="F2343">
            <v>16.34</v>
          </cell>
          <cell r="G2343">
            <v>0</v>
          </cell>
          <cell r="H2343" t="str">
            <v>60/61</v>
          </cell>
        </row>
        <row r="2344">
          <cell r="F2344">
            <v>383.8</v>
          </cell>
          <cell r="G2344">
            <v>0</v>
          </cell>
          <cell r="H2344" t="str">
            <v>60/61</v>
          </cell>
        </row>
        <row r="2345">
          <cell r="F2345">
            <v>443.58</v>
          </cell>
          <cell r="G2345">
            <v>0</v>
          </cell>
          <cell r="H2345" t="str">
            <v>60/61</v>
          </cell>
        </row>
        <row r="2346">
          <cell r="F2346">
            <v>268.04000000000002</v>
          </cell>
          <cell r="G2346">
            <v>0</v>
          </cell>
          <cell r="H2346" t="str">
            <v>60/61</v>
          </cell>
        </row>
        <row r="2347">
          <cell r="F2347">
            <v>588.98</v>
          </cell>
          <cell r="G2347">
            <v>0</v>
          </cell>
          <cell r="H2347" t="str">
            <v>60/61</v>
          </cell>
        </row>
        <row r="2348">
          <cell r="F2348">
            <v>30.98</v>
          </cell>
          <cell r="G2348">
            <v>0</v>
          </cell>
          <cell r="H2348" t="str">
            <v>60/61</v>
          </cell>
        </row>
        <row r="2349">
          <cell r="F2349">
            <v>639.79999999999995</v>
          </cell>
          <cell r="G2349">
            <v>0</v>
          </cell>
          <cell r="H2349" t="str">
            <v>60/61</v>
          </cell>
        </row>
        <row r="2350">
          <cell r="F2350">
            <v>2452.06</v>
          </cell>
          <cell r="G2350">
            <v>0</v>
          </cell>
          <cell r="H2350" t="str">
            <v>60/61</v>
          </cell>
        </row>
        <row r="2351">
          <cell r="F2351">
            <v>0.34999999999999964</v>
          </cell>
          <cell r="G2351">
            <v>0</v>
          </cell>
          <cell r="H2351" t="str">
            <v>60/61</v>
          </cell>
        </row>
        <row r="2352">
          <cell r="F2352">
            <v>0</v>
          </cell>
          <cell r="G2352">
            <v>0</v>
          </cell>
          <cell r="H2352" t="str">
            <v>60/61</v>
          </cell>
        </row>
        <row r="2353">
          <cell r="F2353">
            <v>0</v>
          </cell>
          <cell r="G2353">
            <v>0</v>
          </cell>
          <cell r="H2353" t="str">
            <v>60/61</v>
          </cell>
        </row>
        <row r="2354">
          <cell r="F2354">
            <v>0</v>
          </cell>
          <cell r="G2354">
            <v>0</v>
          </cell>
          <cell r="H2354" t="str">
            <v>60/61</v>
          </cell>
        </row>
        <row r="2355">
          <cell r="F2355">
            <v>8.1300000000000008</v>
          </cell>
          <cell r="G2355">
            <v>0</v>
          </cell>
          <cell r="H2355" t="str">
            <v>60/61</v>
          </cell>
        </row>
        <row r="2356">
          <cell r="F2356">
            <v>0</v>
          </cell>
          <cell r="G2356">
            <v>0</v>
          </cell>
          <cell r="H2356" t="str">
            <v>60/61</v>
          </cell>
        </row>
        <row r="2357">
          <cell r="F2357">
            <v>0</v>
          </cell>
          <cell r="G2357">
            <v>0</v>
          </cell>
          <cell r="H2357" t="str">
            <v>60/61</v>
          </cell>
        </row>
        <row r="2358">
          <cell r="F2358">
            <v>0</v>
          </cell>
          <cell r="G2358">
            <v>0</v>
          </cell>
          <cell r="H2358" t="str">
            <v>60/61</v>
          </cell>
        </row>
        <row r="2359">
          <cell r="F2359">
            <v>0</v>
          </cell>
          <cell r="G2359">
            <v>0</v>
          </cell>
          <cell r="H2359" t="str">
            <v>60/61</v>
          </cell>
        </row>
        <row r="2360">
          <cell r="F2360">
            <v>180.05</v>
          </cell>
          <cell r="G2360">
            <v>0</v>
          </cell>
          <cell r="H2360" t="str">
            <v>60/61</v>
          </cell>
        </row>
        <row r="2361">
          <cell r="F2361">
            <v>240.39</v>
          </cell>
          <cell r="G2361">
            <v>0</v>
          </cell>
          <cell r="H2361" t="str">
            <v>60/61</v>
          </cell>
        </row>
        <row r="2362">
          <cell r="F2362">
            <v>718.11</v>
          </cell>
          <cell r="G2362">
            <v>0</v>
          </cell>
          <cell r="H2362" t="str">
            <v>60/61</v>
          </cell>
        </row>
        <row r="2363">
          <cell r="F2363">
            <v>2147.91</v>
          </cell>
          <cell r="G2363">
            <v>0</v>
          </cell>
          <cell r="H2363" t="str">
            <v>60/61</v>
          </cell>
        </row>
        <row r="2364">
          <cell r="F2364">
            <v>52.08</v>
          </cell>
          <cell r="G2364">
            <v>0</v>
          </cell>
          <cell r="H2364" t="str">
            <v>60/61</v>
          </cell>
        </row>
        <row r="2365">
          <cell r="F2365">
            <v>141.96</v>
          </cell>
          <cell r="G2365">
            <v>0</v>
          </cell>
          <cell r="H2365" t="str">
            <v>60/61</v>
          </cell>
        </row>
        <row r="2366">
          <cell r="F2366">
            <v>815.56</v>
          </cell>
          <cell r="G2366">
            <v>0</v>
          </cell>
          <cell r="H2366" t="str">
            <v>60/61</v>
          </cell>
        </row>
        <row r="2367">
          <cell r="F2367">
            <v>113.67</v>
          </cell>
          <cell r="G2367">
            <v>0</v>
          </cell>
          <cell r="H2367" t="str">
            <v>60/61</v>
          </cell>
        </row>
        <row r="2368">
          <cell r="F2368">
            <v>129</v>
          </cell>
          <cell r="G2368">
            <v>0</v>
          </cell>
          <cell r="H2368" t="str">
            <v>60/61</v>
          </cell>
        </row>
        <row r="2369">
          <cell r="F2369">
            <v>408.64</v>
          </cell>
          <cell r="G2369">
            <v>0</v>
          </cell>
          <cell r="H2369" t="str">
            <v>60/61</v>
          </cell>
        </row>
        <row r="2370">
          <cell r="F2370">
            <v>1792.67</v>
          </cell>
          <cell r="G2370">
            <v>0</v>
          </cell>
          <cell r="H2370" t="str">
            <v>60/61</v>
          </cell>
        </row>
        <row r="2371">
          <cell r="F2371">
            <v>117.73</v>
          </cell>
          <cell r="G2371">
            <v>0</v>
          </cell>
          <cell r="H2371" t="str">
            <v>60/61</v>
          </cell>
        </row>
        <row r="2372">
          <cell r="F2372">
            <v>511.14</v>
          </cell>
          <cell r="G2372">
            <v>0</v>
          </cell>
          <cell r="H2372" t="str">
            <v>60/61</v>
          </cell>
        </row>
        <row r="2373">
          <cell r="F2373">
            <v>3718.58</v>
          </cell>
          <cell r="G2373">
            <v>0</v>
          </cell>
          <cell r="H2373" t="str">
            <v>60/61</v>
          </cell>
        </row>
        <row r="2374">
          <cell r="F2374">
            <v>1106.3900000000001</v>
          </cell>
          <cell r="G2374">
            <v>0</v>
          </cell>
          <cell r="H2374" t="str">
            <v>60/61</v>
          </cell>
        </row>
        <row r="2375">
          <cell r="F2375">
            <v>262.08</v>
          </cell>
          <cell r="G2375">
            <v>0</v>
          </cell>
          <cell r="H2375" t="str">
            <v>60/61</v>
          </cell>
        </row>
        <row r="2376">
          <cell r="F2376">
            <v>157.08000000000001</v>
          </cell>
          <cell r="G2376">
            <v>0</v>
          </cell>
          <cell r="H2376" t="str">
            <v>60/61</v>
          </cell>
        </row>
        <row r="2377">
          <cell r="F2377">
            <v>87.25</v>
          </cell>
          <cell r="G2377">
            <v>0</v>
          </cell>
          <cell r="H2377" t="str">
            <v>60/61</v>
          </cell>
        </row>
        <row r="2378">
          <cell r="F2378">
            <v>299.97000000000003</v>
          </cell>
          <cell r="G2378">
            <v>0</v>
          </cell>
          <cell r="H2378" t="str">
            <v>60/61</v>
          </cell>
        </row>
        <row r="2379">
          <cell r="F2379">
            <v>449.31</v>
          </cell>
          <cell r="G2379">
            <v>0</v>
          </cell>
          <cell r="H2379" t="str">
            <v>60/61</v>
          </cell>
        </row>
        <row r="2380">
          <cell r="F2380">
            <v>1278.51</v>
          </cell>
          <cell r="G2380">
            <v>0</v>
          </cell>
          <cell r="H2380" t="str">
            <v>60/61</v>
          </cell>
        </row>
        <row r="2381">
          <cell r="F2381">
            <v>434.40999999999997</v>
          </cell>
          <cell r="G2381">
            <v>0</v>
          </cell>
          <cell r="H2381" t="str">
            <v>60/61</v>
          </cell>
        </row>
        <row r="2382">
          <cell r="F2382">
            <v>6.3699999999999974</v>
          </cell>
          <cell r="G2382">
            <v>0</v>
          </cell>
          <cell r="H2382" t="str">
            <v>60/61</v>
          </cell>
        </row>
        <row r="2383">
          <cell r="F2383">
            <v>17.060000000000002</v>
          </cell>
          <cell r="G2383">
            <v>0</v>
          </cell>
          <cell r="H2383" t="str">
            <v>60/61</v>
          </cell>
        </row>
        <row r="2384">
          <cell r="F2384">
            <v>396.22</v>
          </cell>
          <cell r="G2384">
            <v>0</v>
          </cell>
          <cell r="H2384" t="str">
            <v>60/61</v>
          </cell>
        </row>
        <row r="2385">
          <cell r="F2385">
            <v>710.82</v>
          </cell>
          <cell r="G2385">
            <v>0</v>
          </cell>
          <cell r="H2385" t="str">
            <v>60/61</v>
          </cell>
        </row>
        <row r="2386">
          <cell r="F2386">
            <v>572.96</v>
          </cell>
          <cell r="G2386">
            <v>0</v>
          </cell>
          <cell r="H2386" t="str">
            <v>60/61</v>
          </cell>
        </row>
        <row r="2387">
          <cell r="F2387">
            <v>61.3</v>
          </cell>
          <cell r="G2387">
            <v>0</v>
          </cell>
          <cell r="H2387" t="str">
            <v>60/61</v>
          </cell>
        </row>
        <row r="2388">
          <cell r="F2388">
            <v>0</v>
          </cell>
          <cell r="G2388">
            <v>0</v>
          </cell>
          <cell r="H2388" t="str">
            <v>60/61</v>
          </cell>
        </row>
        <row r="2389">
          <cell r="F2389">
            <v>0</v>
          </cell>
          <cell r="G2389">
            <v>0</v>
          </cell>
          <cell r="H2389" t="str">
            <v>60/61</v>
          </cell>
        </row>
        <row r="2390">
          <cell r="F2390">
            <v>0</v>
          </cell>
          <cell r="G2390">
            <v>0</v>
          </cell>
          <cell r="H2390" t="str">
            <v>60/61</v>
          </cell>
        </row>
        <row r="2391">
          <cell r="F2391">
            <v>0</v>
          </cell>
          <cell r="G2391">
            <v>0</v>
          </cell>
          <cell r="H2391" t="str">
            <v>60/61</v>
          </cell>
        </row>
        <row r="2392">
          <cell r="F2392">
            <v>98.51</v>
          </cell>
          <cell r="G2392">
            <v>0</v>
          </cell>
          <cell r="H2392" t="str">
            <v>60/61</v>
          </cell>
        </row>
        <row r="2393">
          <cell r="F2393">
            <v>612.73</v>
          </cell>
          <cell r="G2393">
            <v>0</v>
          </cell>
          <cell r="H2393" t="str">
            <v>60/61</v>
          </cell>
        </row>
        <row r="2394">
          <cell r="F2394">
            <v>9.9999999999999867E-2</v>
          </cell>
          <cell r="G2394">
            <v>0</v>
          </cell>
          <cell r="H2394" t="str">
            <v>60/61</v>
          </cell>
        </row>
        <row r="2395">
          <cell r="F2395">
            <v>55.65</v>
          </cell>
          <cell r="G2395">
            <v>0</v>
          </cell>
          <cell r="H2395" t="str">
            <v>60/61</v>
          </cell>
        </row>
        <row r="2396">
          <cell r="F2396">
            <v>139.38999999999999</v>
          </cell>
          <cell r="G2396">
            <v>0</v>
          </cell>
          <cell r="H2396" t="str">
            <v>60/61</v>
          </cell>
        </row>
        <row r="2397">
          <cell r="F2397">
            <v>209.12</v>
          </cell>
          <cell r="G2397">
            <v>0</v>
          </cell>
          <cell r="H2397" t="str">
            <v>60/61</v>
          </cell>
        </row>
        <row r="2398">
          <cell r="F2398">
            <v>0</v>
          </cell>
          <cell r="G2398">
            <v>0</v>
          </cell>
          <cell r="H2398" t="str">
            <v>60/61</v>
          </cell>
        </row>
        <row r="2399">
          <cell r="F2399">
            <v>0</v>
          </cell>
          <cell r="G2399">
            <v>0</v>
          </cell>
          <cell r="H2399" t="str">
            <v>60/61</v>
          </cell>
        </row>
        <row r="2400">
          <cell r="F2400">
            <v>732.37</v>
          </cell>
          <cell r="G2400">
            <v>0</v>
          </cell>
          <cell r="H2400" t="str">
            <v>60/61</v>
          </cell>
        </row>
        <row r="2401">
          <cell r="F2401">
            <v>219.36</v>
          </cell>
          <cell r="G2401">
            <v>0</v>
          </cell>
          <cell r="H2401" t="str">
            <v>60/61</v>
          </cell>
        </row>
        <row r="2402">
          <cell r="F2402">
            <v>64.349999999999994</v>
          </cell>
          <cell r="G2402">
            <v>0</v>
          </cell>
          <cell r="H2402" t="str">
            <v>60/61</v>
          </cell>
        </row>
        <row r="2403">
          <cell r="F2403">
            <v>268.06</v>
          </cell>
          <cell r="G2403">
            <v>0</v>
          </cell>
          <cell r="H2403" t="str">
            <v>60/61</v>
          </cell>
        </row>
        <row r="2404">
          <cell r="F2404">
            <v>64.290000000000006</v>
          </cell>
          <cell r="G2404">
            <v>0</v>
          </cell>
          <cell r="H2404" t="str">
            <v>60/61</v>
          </cell>
        </row>
        <row r="2405">
          <cell r="F2405">
            <v>1920.63</v>
          </cell>
          <cell r="G2405">
            <v>0</v>
          </cell>
          <cell r="H2405" t="str">
            <v>60/61</v>
          </cell>
        </row>
        <row r="2406">
          <cell r="F2406">
            <v>34.51</v>
          </cell>
          <cell r="G2406">
            <v>0</v>
          </cell>
          <cell r="H2406" t="str">
            <v>60/61</v>
          </cell>
        </row>
        <row r="2407">
          <cell r="F2407">
            <v>414.71</v>
          </cell>
          <cell r="G2407">
            <v>0</v>
          </cell>
          <cell r="H2407" t="str">
            <v>60/61</v>
          </cell>
        </row>
        <row r="2408">
          <cell r="F2408">
            <v>1284.99</v>
          </cell>
          <cell r="G2408">
            <v>0</v>
          </cell>
          <cell r="H2408" t="str">
            <v>60/61</v>
          </cell>
        </row>
        <row r="2409">
          <cell r="F2409">
            <v>0</v>
          </cell>
          <cell r="G2409">
            <v>0</v>
          </cell>
          <cell r="H2409" t="str">
            <v>60/61</v>
          </cell>
        </row>
        <row r="2410">
          <cell r="F2410">
            <v>10.31</v>
          </cell>
          <cell r="G2410">
            <v>0</v>
          </cell>
          <cell r="H2410" t="str">
            <v>60/61</v>
          </cell>
        </row>
        <row r="2411">
          <cell r="F2411">
            <v>549.39</v>
          </cell>
          <cell r="G2411">
            <v>0</v>
          </cell>
          <cell r="H2411" t="str">
            <v>60/61</v>
          </cell>
        </row>
        <row r="2412">
          <cell r="F2412">
            <v>2266.31</v>
          </cell>
          <cell r="G2412">
            <v>0</v>
          </cell>
          <cell r="H2412" t="str">
            <v>60/61</v>
          </cell>
        </row>
        <row r="2413">
          <cell r="F2413">
            <v>-33.880000000000003</v>
          </cell>
          <cell r="G2413">
            <v>0</v>
          </cell>
          <cell r="H2413" t="str">
            <v>60/61</v>
          </cell>
        </row>
        <row r="2414">
          <cell r="F2414">
            <v>529.59</v>
          </cell>
          <cell r="G2414">
            <v>0</v>
          </cell>
          <cell r="H2414" t="str">
            <v>60/61</v>
          </cell>
        </row>
        <row r="2415">
          <cell r="F2415">
            <v>2.82</v>
          </cell>
          <cell r="G2415">
            <v>0</v>
          </cell>
          <cell r="H2415" t="str">
            <v>60/61</v>
          </cell>
        </row>
        <row r="2416">
          <cell r="F2416">
            <v>0.89</v>
          </cell>
          <cell r="G2416">
            <v>0</v>
          </cell>
          <cell r="H2416" t="str">
            <v>60/61</v>
          </cell>
        </row>
        <row r="2417">
          <cell r="F2417">
            <v>269.75</v>
          </cell>
          <cell r="G2417">
            <v>0</v>
          </cell>
          <cell r="H2417" t="str">
            <v>60/61</v>
          </cell>
        </row>
        <row r="2418">
          <cell r="F2418">
            <v>387.2</v>
          </cell>
          <cell r="G2418">
            <v>0</v>
          </cell>
          <cell r="H2418" t="str">
            <v>60/61</v>
          </cell>
        </row>
        <row r="2419">
          <cell r="F2419">
            <v>206.91</v>
          </cell>
          <cell r="G2419">
            <v>0</v>
          </cell>
          <cell r="H2419" t="str">
            <v>60/61</v>
          </cell>
        </row>
        <row r="2420">
          <cell r="F2420">
            <v>1230.4100000000001</v>
          </cell>
          <cell r="G2420">
            <v>0</v>
          </cell>
          <cell r="H2420" t="str">
            <v>60/61</v>
          </cell>
        </row>
        <row r="2421">
          <cell r="F2421">
            <v>1639.06</v>
          </cell>
          <cell r="G2421">
            <v>0</v>
          </cell>
          <cell r="H2421" t="str">
            <v>60/61</v>
          </cell>
        </row>
        <row r="2422">
          <cell r="F2422">
            <v>50.49</v>
          </cell>
          <cell r="G2422">
            <v>0</v>
          </cell>
          <cell r="H2422" t="str">
            <v>60/61</v>
          </cell>
        </row>
        <row r="2423">
          <cell r="F2423">
            <v>158.4</v>
          </cell>
          <cell r="G2423">
            <v>0</v>
          </cell>
          <cell r="H2423" t="str">
            <v>60/61</v>
          </cell>
        </row>
        <row r="2424">
          <cell r="F2424">
            <v>300.08000000000004</v>
          </cell>
          <cell r="G2424">
            <v>0</v>
          </cell>
          <cell r="H2424" t="str">
            <v>60/61</v>
          </cell>
        </row>
        <row r="2425">
          <cell r="F2425">
            <v>26.099999999999998</v>
          </cell>
          <cell r="G2425">
            <v>0</v>
          </cell>
          <cell r="H2425" t="str">
            <v>60/61</v>
          </cell>
        </row>
        <row r="2426">
          <cell r="F2426">
            <v>910.52</v>
          </cell>
          <cell r="G2426">
            <v>0</v>
          </cell>
          <cell r="H2426" t="str">
            <v>60/61</v>
          </cell>
        </row>
        <row r="2427">
          <cell r="F2427">
            <v>95.8</v>
          </cell>
          <cell r="G2427">
            <v>0</v>
          </cell>
          <cell r="H2427" t="str">
            <v>60/61</v>
          </cell>
        </row>
        <row r="2428">
          <cell r="F2428">
            <v>457.1</v>
          </cell>
          <cell r="G2428">
            <v>0</v>
          </cell>
          <cell r="H2428" t="str">
            <v>60/61</v>
          </cell>
        </row>
        <row r="2429">
          <cell r="F2429">
            <v>49.5</v>
          </cell>
          <cell r="G2429">
            <v>0</v>
          </cell>
          <cell r="H2429" t="str">
            <v>60/61</v>
          </cell>
        </row>
        <row r="2430">
          <cell r="F2430">
            <v>46.13</v>
          </cell>
          <cell r="G2430">
            <v>0</v>
          </cell>
          <cell r="H2430" t="str">
            <v>60/61</v>
          </cell>
        </row>
        <row r="2431">
          <cell r="F2431">
            <v>59.15</v>
          </cell>
          <cell r="G2431">
            <v>0</v>
          </cell>
          <cell r="H2431" t="str">
            <v>60/61</v>
          </cell>
        </row>
        <row r="2432">
          <cell r="F2432">
            <v>253.75</v>
          </cell>
          <cell r="G2432">
            <v>0</v>
          </cell>
          <cell r="H2432" t="str">
            <v>60/61</v>
          </cell>
        </row>
        <row r="2433">
          <cell r="F2433">
            <v>612.9</v>
          </cell>
          <cell r="G2433">
            <v>0</v>
          </cell>
          <cell r="H2433" t="str">
            <v>60/61</v>
          </cell>
        </row>
        <row r="2434">
          <cell r="F2434">
            <v>52.9</v>
          </cell>
          <cell r="G2434">
            <v>0</v>
          </cell>
          <cell r="H2434" t="str">
            <v>60/61</v>
          </cell>
        </row>
        <row r="2435">
          <cell r="F2435">
            <v>136.75</v>
          </cell>
          <cell r="G2435">
            <v>0</v>
          </cell>
          <cell r="H2435" t="str">
            <v>60/61</v>
          </cell>
        </row>
        <row r="2436">
          <cell r="F2436">
            <v>35</v>
          </cell>
          <cell r="G2436">
            <v>0</v>
          </cell>
          <cell r="H2436" t="str">
            <v>60/61</v>
          </cell>
        </row>
        <row r="2437">
          <cell r="F2437">
            <v>20.059999999999999</v>
          </cell>
          <cell r="G2437">
            <v>0</v>
          </cell>
          <cell r="H2437" t="str">
            <v>60/61</v>
          </cell>
        </row>
        <row r="2438">
          <cell r="F2438">
            <v>298.94</v>
          </cell>
          <cell r="G2438">
            <v>0</v>
          </cell>
          <cell r="H2438" t="str">
            <v>60/61</v>
          </cell>
        </row>
        <row r="2439">
          <cell r="F2439">
            <v>32.9</v>
          </cell>
          <cell r="G2439">
            <v>0</v>
          </cell>
          <cell r="H2439" t="str">
            <v>60/61</v>
          </cell>
        </row>
        <row r="2440">
          <cell r="F2440">
            <v>21</v>
          </cell>
          <cell r="G2440">
            <v>0</v>
          </cell>
          <cell r="H2440" t="str">
            <v>60/61</v>
          </cell>
        </row>
        <row r="2441">
          <cell r="F2441">
            <v>20</v>
          </cell>
          <cell r="G2441">
            <v>0</v>
          </cell>
          <cell r="H2441" t="str">
            <v>60/61</v>
          </cell>
        </row>
        <row r="2442">
          <cell r="F2442">
            <v>0.6</v>
          </cell>
          <cell r="G2442">
            <v>0</v>
          </cell>
          <cell r="H2442" t="str">
            <v>60/61</v>
          </cell>
        </row>
        <row r="2443">
          <cell r="F2443">
            <v>0.98000000000000043</v>
          </cell>
          <cell r="G2443">
            <v>0</v>
          </cell>
          <cell r="H2443" t="str">
            <v>60/61</v>
          </cell>
        </row>
        <row r="2444">
          <cell r="F2444">
            <v>17.97</v>
          </cell>
          <cell r="G2444">
            <v>0</v>
          </cell>
          <cell r="H2444" t="str">
            <v>60/61</v>
          </cell>
        </row>
        <row r="2445">
          <cell r="F2445">
            <v>1.84</v>
          </cell>
          <cell r="G2445">
            <v>0</v>
          </cell>
          <cell r="H2445" t="str">
            <v>60/61</v>
          </cell>
        </row>
        <row r="2446">
          <cell r="F2446">
            <v>19.75</v>
          </cell>
          <cell r="G2446">
            <v>0</v>
          </cell>
          <cell r="H2446" t="str">
            <v>60/61</v>
          </cell>
        </row>
        <row r="2447">
          <cell r="F2447">
            <v>155.72999999999999</v>
          </cell>
          <cell r="G2447">
            <v>0</v>
          </cell>
          <cell r="H2447" t="str">
            <v>60/61</v>
          </cell>
        </row>
        <row r="2448">
          <cell r="F2448">
            <v>1.5399999999999991</v>
          </cell>
          <cell r="G2448">
            <v>0</v>
          </cell>
          <cell r="H2448" t="str">
            <v>60/61</v>
          </cell>
        </row>
        <row r="2449">
          <cell r="F2449">
            <v>55.42</v>
          </cell>
          <cell r="G2449">
            <v>0</v>
          </cell>
          <cell r="H2449" t="str">
            <v>60/61</v>
          </cell>
        </row>
        <row r="2450">
          <cell r="F2450">
            <v>11.45</v>
          </cell>
          <cell r="G2450">
            <v>0</v>
          </cell>
          <cell r="H2450" t="str">
            <v>60/61</v>
          </cell>
        </row>
        <row r="2451">
          <cell r="F2451">
            <v>260.5</v>
          </cell>
          <cell r="G2451">
            <v>0</v>
          </cell>
          <cell r="H2451" t="str">
            <v>60/61</v>
          </cell>
        </row>
        <row r="2452">
          <cell r="F2452">
            <v>65.06</v>
          </cell>
          <cell r="G2452">
            <v>0</v>
          </cell>
          <cell r="H2452" t="str">
            <v>60/61</v>
          </cell>
        </row>
        <row r="2453">
          <cell r="F2453">
            <v>40.04</v>
          </cell>
          <cell r="G2453">
            <v>0</v>
          </cell>
          <cell r="H2453" t="str">
            <v>60/61</v>
          </cell>
        </row>
        <row r="2454">
          <cell r="F2454">
            <v>28</v>
          </cell>
          <cell r="G2454">
            <v>0</v>
          </cell>
          <cell r="H2454" t="str">
            <v>60/61</v>
          </cell>
        </row>
        <row r="2455">
          <cell r="F2455">
            <v>58.36</v>
          </cell>
          <cell r="G2455">
            <v>0</v>
          </cell>
          <cell r="H2455" t="str">
            <v>60/61</v>
          </cell>
        </row>
        <row r="2456">
          <cell r="F2456">
            <v>20</v>
          </cell>
          <cell r="G2456">
            <v>0</v>
          </cell>
          <cell r="H2456" t="str">
            <v>60/61</v>
          </cell>
        </row>
        <row r="2457">
          <cell r="F2457">
            <v>78.95</v>
          </cell>
          <cell r="G2457">
            <v>0</v>
          </cell>
          <cell r="H2457" t="str">
            <v>60/61</v>
          </cell>
        </row>
        <row r="2458">
          <cell r="F2458">
            <v>1.66</v>
          </cell>
          <cell r="G2458">
            <v>0</v>
          </cell>
          <cell r="H2458" t="str">
            <v>60/61</v>
          </cell>
        </row>
        <row r="2459">
          <cell r="F2459">
            <v>13.28</v>
          </cell>
          <cell r="G2459">
            <v>0</v>
          </cell>
          <cell r="H2459" t="str">
            <v>60/61</v>
          </cell>
        </row>
        <row r="2460">
          <cell r="F2460">
            <v>40.92</v>
          </cell>
          <cell r="G2460">
            <v>0</v>
          </cell>
          <cell r="H2460" t="str">
            <v>60/61</v>
          </cell>
        </row>
        <row r="2461">
          <cell r="F2461">
            <v>23.89</v>
          </cell>
          <cell r="G2461">
            <v>0</v>
          </cell>
          <cell r="H2461" t="str">
            <v>60/61</v>
          </cell>
        </row>
        <row r="2462">
          <cell r="F2462">
            <v>28.5</v>
          </cell>
          <cell r="G2462">
            <v>0</v>
          </cell>
          <cell r="H2462" t="str">
            <v>60/61</v>
          </cell>
        </row>
        <row r="2463">
          <cell r="F2463">
            <v>202.09</v>
          </cell>
          <cell r="G2463">
            <v>0</v>
          </cell>
          <cell r="H2463" t="str">
            <v>60/61</v>
          </cell>
        </row>
        <row r="2464">
          <cell r="F2464">
            <v>16.8</v>
          </cell>
          <cell r="G2464">
            <v>0</v>
          </cell>
          <cell r="H2464" t="str">
            <v>60/61</v>
          </cell>
        </row>
        <row r="2465">
          <cell r="F2465">
            <v>14.19</v>
          </cell>
          <cell r="G2465">
            <v>0</v>
          </cell>
          <cell r="H2465" t="str">
            <v>60/61</v>
          </cell>
        </row>
        <row r="2466">
          <cell r="F2466">
            <v>252.14999999999998</v>
          </cell>
          <cell r="G2466">
            <v>0</v>
          </cell>
          <cell r="H2466" t="str">
            <v>60/61</v>
          </cell>
        </row>
        <row r="2467">
          <cell r="F2467">
            <v>67.760000000000005</v>
          </cell>
          <cell r="G2467">
            <v>0</v>
          </cell>
          <cell r="H2467" t="str">
            <v>60/61</v>
          </cell>
        </row>
        <row r="2468">
          <cell r="F2468">
            <v>129.30000000000001</v>
          </cell>
          <cell r="G2468">
            <v>0</v>
          </cell>
          <cell r="H2468" t="str">
            <v>60/61</v>
          </cell>
        </row>
        <row r="2469">
          <cell r="F2469">
            <v>0</v>
          </cell>
          <cell r="G2469">
            <v>0</v>
          </cell>
          <cell r="H2469" t="str">
            <v>60/61</v>
          </cell>
        </row>
        <row r="2470">
          <cell r="F2470">
            <v>30</v>
          </cell>
          <cell r="G2470">
            <v>0</v>
          </cell>
          <cell r="H2470" t="str">
            <v>60/61</v>
          </cell>
        </row>
        <row r="2471">
          <cell r="F2471">
            <v>54.98</v>
          </cell>
          <cell r="G2471">
            <v>0</v>
          </cell>
          <cell r="H2471" t="str">
            <v>60/61</v>
          </cell>
        </row>
        <row r="2472">
          <cell r="F2472">
            <v>0.28999999999999998</v>
          </cell>
          <cell r="G2472">
            <v>0</v>
          </cell>
          <cell r="H2472" t="str">
            <v>60/61</v>
          </cell>
        </row>
        <row r="2473">
          <cell r="F2473">
            <v>131.81</v>
          </cell>
          <cell r="G2473">
            <v>0</v>
          </cell>
          <cell r="H2473" t="str">
            <v>60/61</v>
          </cell>
        </row>
        <row r="2474">
          <cell r="F2474">
            <v>753.49</v>
          </cell>
          <cell r="G2474">
            <v>0</v>
          </cell>
          <cell r="H2474" t="str">
            <v>60/61</v>
          </cell>
        </row>
        <row r="2475">
          <cell r="F2475">
            <v>30.66</v>
          </cell>
          <cell r="G2475">
            <v>0</v>
          </cell>
          <cell r="H2475" t="str">
            <v>60/61</v>
          </cell>
        </row>
        <row r="2476">
          <cell r="F2476">
            <v>46.31</v>
          </cell>
          <cell r="G2476">
            <v>0</v>
          </cell>
          <cell r="H2476" t="str">
            <v>60/61</v>
          </cell>
        </row>
        <row r="2477">
          <cell r="F2477">
            <v>17.239999999999998</v>
          </cell>
          <cell r="G2477">
            <v>0</v>
          </cell>
          <cell r="H2477" t="str">
            <v>60/61</v>
          </cell>
        </row>
        <row r="2478">
          <cell r="F2478">
            <v>7.17</v>
          </cell>
          <cell r="G2478">
            <v>0</v>
          </cell>
          <cell r="H2478" t="str">
            <v>60/61</v>
          </cell>
        </row>
        <row r="2479">
          <cell r="F2479">
            <v>15</v>
          </cell>
          <cell r="G2479">
            <v>0</v>
          </cell>
          <cell r="H2479" t="str">
            <v>60/61</v>
          </cell>
        </row>
        <row r="2480">
          <cell r="F2480">
            <v>1638.5</v>
          </cell>
          <cell r="G2480">
            <v>0</v>
          </cell>
          <cell r="H2480" t="str">
            <v>60/61</v>
          </cell>
        </row>
        <row r="2481">
          <cell r="F2481">
            <v>437.59</v>
          </cell>
          <cell r="G2481">
            <v>0</v>
          </cell>
          <cell r="H2481" t="str">
            <v>60/61</v>
          </cell>
        </row>
        <row r="2482">
          <cell r="F2482">
            <v>88.5</v>
          </cell>
          <cell r="G2482">
            <v>0</v>
          </cell>
          <cell r="H2482" t="str">
            <v>60/61</v>
          </cell>
        </row>
        <row r="2483">
          <cell r="F2483">
            <v>22</v>
          </cell>
          <cell r="G2483">
            <v>0</v>
          </cell>
          <cell r="H2483" t="str">
            <v>60/61</v>
          </cell>
        </row>
        <row r="2484">
          <cell r="F2484">
            <v>29.04</v>
          </cell>
          <cell r="G2484">
            <v>0</v>
          </cell>
          <cell r="H2484" t="str">
            <v>60/61</v>
          </cell>
        </row>
        <row r="2485">
          <cell r="F2485">
            <v>17.18</v>
          </cell>
          <cell r="G2485">
            <v>0</v>
          </cell>
          <cell r="H2485" t="str">
            <v>60/61</v>
          </cell>
        </row>
        <row r="2486">
          <cell r="F2486">
            <v>36.840000000000003</v>
          </cell>
          <cell r="G2486">
            <v>0</v>
          </cell>
          <cell r="H2486" t="str">
            <v>60/61</v>
          </cell>
        </row>
        <row r="2487">
          <cell r="F2487">
            <v>535.81999999999994</v>
          </cell>
          <cell r="G2487">
            <v>0</v>
          </cell>
          <cell r="H2487" t="str">
            <v>60/61</v>
          </cell>
        </row>
        <row r="2488">
          <cell r="F2488">
            <v>330.77</v>
          </cell>
          <cell r="G2488">
            <v>0</v>
          </cell>
          <cell r="H2488" t="str">
            <v>60/61</v>
          </cell>
        </row>
        <row r="2489">
          <cell r="F2489">
            <v>29.52</v>
          </cell>
          <cell r="G2489">
            <v>0</v>
          </cell>
          <cell r="H2489" t="str">
            <v>60/61</v>
          </cell>
        </row>
        <row r="2490">
          <cell r="F2490">
            <v>330</v>
          </cell>
          <cell r="G2490">
            <v>0</v>
          </cell>
          <cell r="H2490" t="str">
            <v>60/61</v>
          </cell>
        </row>
        <row r="2491">
          <cell r="F2491">
            <v>141.42000000000002</v>
          </cell>
          <cell r="G2491">
            <v>0</v>
          </cell>
          <cell r="H2491" t="str">
            <v>60/61</v>
          </cell>
        </row>
        <row r="2492">
          <cell r="F2492">
            <v>330</v>
          </cell>
          <cell r="G2492">
            <v>0</v>
          </cell>
          <cell r="H2492" t="str">
            <v>60/61</v>
          </cell>
        </row>
        <row r="2493">
          <cell r="F2493">
            <v>14.62</v>
          </cell>
          <cell r="G2493">
            <v>0</v>
          </cell>
          <cell r="H2493" t="str">
            <v>60/61</v>
          </cell>
        </row>
        <row r="2494">
          <cell r="F2494">
            <v>29.04</v>
          </cell>
          <cell r="G2494">
            <v>0</v>
          </cell>
          <cell r="H2494" t="str">
            <v>60/61</v>
          </cell>
        </row>
        <row r="2495">
          <cell r="F2495">
            <v>145.19999999999999</v>
          </cell>
          <cell r="G2495">
            <v>0</v>
          </cell>
          <cell r="H2495" t="str">
            <v>60/61</v>
          </cell>
        </row>
        <row r="2496">
          <cell r="F2496">
            <v>246.12</v>
          </cell>
          <cell r="G2496">
            <v>0</v>
          </cell>
          <cell r="H2496" t="str">
            <v>60/61</v>
          </cell>
        </row>
        <row r="2497">
          <cell r="F2497">
            <v>28.049999999999997</v>
          </cell>
          <cell r="G2497">
            <v>0</v>
          </cell>
          <cell r="H2497" t="str">
            <v>60/61</v>
          </cell>
        </row>
        <row r="2498">
          <cell r="F2498">
            <v>645</v>
          </cell>
          <cell r="G2498">
            <v>0</v>
          </cell>
          <cell r="H2498" t="str">
            <v>60/61</v>
          </cell>
        </row>
        <row r="2499">
          <cell r="F2499">
            <v>388.63</v>
          </cell>
          <cell r="G2499">
            <v>0</v>
          </cell>
          <cell r="H2499" t="str">
            <v>60/61</v>
          </cell>
        </row>
        <row r="2500">
          <cell r="F2500">
            <v>485.26</v>
          </cell>
          <cell r="G2500">
            <v>0</v>
          </cell>
          <cell r="H2500" t="str">
            <v>60/61</v>
          </cell>
        </row>
        <row r="2501">
          <cell r="F2501">
            <v>5.42</v>
          </cell>
          <cell r="G2501">
            <v>0</v>
          </cell>
          <cell r="H2501" t="str">
            <v>60/61</v>
          </cell>
        </row>
        <row r="2502">
          <cell r="F2502">
            <v>329.4</v>
          </cell>
          <cell r="G2502">
            <v>0</v>
          </cell>
          <cell r="H2502" t="str">
            <v>60/61</v>
          </cell>
        </row>
        <row r="2503">
          <cell r="F2503">
            <v>564.14</v>
          </cell>
          <cell r="G2503">
            <v>0</v>
          </cell>
          <cell r="H2503" t="str">
            <v>60/61</v>
          </cell>
        </row>
        <row r="2504">
          <cell r="F2504">
            <v>20.020000000000003</v>
          </cell>
          <cell r="G2504">
            <v>0</v>
          </cell>
          <cell r="H2504" t="str">
            <v>60/61</v>
          </cell>
        </row>
        <row r="2505">
          <cell r="F2505">
            <v>301.92999999999995</v>
          </cell>
          <cell r="G2505">
            <v>0</v>
          </cell>
          <cell r="H2505" t="str">
            <v>60/61</v>
          </cell>
        </row>
        <row r="2506">
          <cell r="F2506">
            <v>59</v>
          </cell>
          <cell r="G2506">
            <v>0</v>
          </cell>
          <cell r="H2506" t="str">
            <v>60/61</v>
          </cell>
        </row>
        <row r="2507">
          <cell r="F2507">
            <v>330</v>
          </cell>
          <cell r="G2507">
            <v>0</v>
          </cell>
          <cell r="H2507" t="str">
            <v>60/61</v>
          </cell>
        </row>
        <row r="2508">
          <cell r="F2508">
            <v>475.8</v>
          </cell>
          <cell r="G2508">
            <v>0</v>
          </cell>
          <cell r="H2508" t="str">
            <v>60/61</v>
          </cell>
        </row>
        <row r="2509">
          <cell r="F2509">
            <v>350.16</v>
          </cell>
          <cell r="G2509">
            <v>0</v>
          </cell>
          <cell r="H2509" t="str">
            <v>60/61</v>
          </cell>
        </row>
        <row r="2510">
          <cell r="F2510">
            <v>29.04</v>
          </cell>
          <cell r="G2510">
            <v>0</v>
          </cell>
          <cell r="H2510" t="str">
            <v>60/61</v>
          </cell>
        </row>
        <row r="2511">
          <cell r="F2511">
            <v>330</v>
          </cell>
          <cell r="G2511">
            <v>0</v>
          </cell>
          <cell r="H2511" t="str">
            <v>60/61</v>
          </cell>
        </row>
        <row r="2512">
          <cell r="F2512">
            <v>349</v>
          </cell>
          <cell r="G2512">
            <v>0</v>
          </cell>
          <cell r="H2512" t="str">
            <v>60/61</v>
          </cell>
        </row>
        <row r="2513">
          <cell r="F2513">
            <v>782.44</v>
          </cell>
          <cell r="G2513">
            <v>0</v>
          </cell>
          <cell r="H2513" t="str">
            <v>60/61</v>
          </cell>
        </row>
        <row r="2514">
          <cell r="F2514">
            <v>40.92</v>
          </cell>
          <cell r="G2514">
            <v>0</v>
          </cell>
          <cell r="H2514" t="str">
            <v>60/61</v>
          </cell>
        </row>
        <row r="2515">
          <cell r="F2515">
            <v>81.569999999999993</v>
          </cell>
          <cell r="G2515">
            <v>0</v>
          </cell>
          <cell r="H2515" t="str">
            <v>60/61</v>
          </cell>
        </row>
        <row r="2516">
          <cell r="F2516">
            <v>392.75</v>
          </cell>
          <cell r="G2516">
            <v>0</v>
          </cell>
          <cell r="H2516" t="str">
            <v>60/61</v>
          </cell>
        </row>
        <row r="2517">
          <cell r="F2517">
            <v>238.99</v>
          </cell>
          <cell r="G2517">
            <v>0</v>
          </cell>
          <cell r="H2517" t="str">
            <v>60/61</v>
          </cell>
        </row>
        <row r="2518">
          <cell r="F2518">
            <v>77.42</v>
          </cell>
          <cell r="G2518">
            <v>0</v>
          </cell>
          <cell r="H2518" t="str">
            <v>60/61</v>
          </cell>
        </row>
        <row r="2519">
          <cell r="F2519">
            <v>268.75</v>
          </cell>
          <cell r="G2519">
            <v>0</v>
          </cell>
          <cell r="H2519" t="str">
            <v>60/61</v>
          </cell>
        </row>
        <row r="2520">
          <cell r="F2520">
            <v>20</v>
          </cell>
          <cell r="G2520">
            <v>0</v>
          </cell>
          <cell r="H2520" t="str">
            <v>60/61</v>
          </cell>
        </row>
        <row r="2521">
          <cell r="F2521">
            <v>17.02</v>
          </cell>
          <cell r="G2521">
            <v>0</v>
          </cell>
          <cell r="H2521" t="str">
            <v>60/61</v>
          </cell>
        </row>
        <row r="2522">
          <cell r="F2522">
            <v>1343.48</v>
          </cell>
          <cell r="G2522">
            <v>0</v>
          </cell>
          <cell r="H2522" t="str">
            <v>60/61</v>
          </cell>
        </row>
        <row r="2523">
          <cell r="F2523">
            <v>100</v>
          </cell>
          <cell r="G2523">
            <v>0</v>
          </cell>
          <cell r="H2523" t="str">
            <v>60/61</v>
          </cell>
        </row>
        <row r="2524">
          <cell r="F2524">
            <v>48.37</v>
          </cell>
          <cell r="G2524">
            <v>0</v>
          </cell>
          <cell r="H2524" t="str">
            <v>60/61</v>
          </cell>
        </row>
        <row r="2525">
          <cell r="F2525">
            <v>75.650000000000006</v>
          </cell>
          <cell r="G2525">
            <v>0</v>
          </cell>
          <cell r="H2525" t="str">
            <v>60/61</v>
          </cell>
        </row>
        <row r="2526">
          <cell r="F2526">
            <v>4.42</v>
          </cell>
          <cell r="G2526">
            <v>0</v>
          </cell>
          <cell r="H2526" t="str">
            <v>60/61</v>
          </cell>
        </row>
        <row r="2527">
          <cell r="F2527">
            <v>196</v>
          </cell>
          <cell r="G2527">
            <v>0</v>
          </cell>
          <cell r="H2527" t="str">
            <v>60/61</v>
          </cell>
        </row>
        <row r="2528">
          <cell r="F2528">
            <v>12.5</v>
          </cell>
          <cell r="G2528">
            <v>0</v>
          </cell>
          <cell r="H2528" t="str">
            <v>60/61</v>
          </cell>
        </row>
        <row r="2529">
          <cell r="F2529">
            <v>5</v>
          </cell>
          <cell r="G2529">
            <v>0</v>
          </cell>
          <cell r="H2529" t="str">
            <v>60/61</v>
          </cell>
        </row>
        <row r="2530">
          <cell r="F2530">
            <v>78.14</v>
          </cell>
          <cell r="G2530">
            <v>0</v>
          </cell>
          <cell r="H2530" t="str">
            <v>60/61</v>
          </cell>
        </row>
        <row r="2531">
          <cell r="F2531">
            <v>2.75</v>
          </cell>
          <cell r="G2531">
            <v>0</v>
          </cell>
          <cell r="H2531" t="str">
            <v>60/61</v>
          </cell>
        </row>
        <row r="2532">
          <cell r="F2532">
            <v>30.44</v>
          </cell>
          <cell r="G2532">
            <v>0</v>
          </cell>
          <cell r="H2532" t="str">
            <v>60/61</v>
          </cell>
        </row>
        <row r="2533">
          <cell r="F2533">
            <v>23.33</v>
          </cell>
          <cell r="G2533">
            <v>0</v>
          </cell>
          <cell r="H2533" t="str">
            <v>60/61</v>
          </cell>
        </row>
        <row r="2534">
          <cell r="F2534">
            <v>37.5</v>
          </cell>
          <cell r="G2534">
            <v>0</v>
          </cell>
          <cell r="H2534" t="str">
            <v>60/61</v>
          </cell>
        </row>
        <row r="2535">
          <cell r="F2535">
            <v>26.67</v>
          </cell>
          <cell r="G2535">
            <v>0</v>
          </cell>
          <cell r="H2535" t="str">
            <v>60/61</v>
          </cell>
        </row>
        <row r="2536">
          <cell r="F2536">
            <v>5</v>
          </cell>
          <cell r="G2536">
            <v>0</v>
          </cell>
          <cell r="H2536" t="str">
            <v>60/61</v>
          </cell>
        </row>
        <row r="2537">
          <cell r="F2537">
            <v>34093.53</v>
          </cell>
          <cell r="G2537">
            <v>0</v>
          </cell>
          <cell r="H2537" t="str">
            <v>60/61</v>
          </cell>
        </row>
        <row r="2538">
          <cell r="F2538">
            <v>163.24</v>
          </cell>
          <cell r="G2538">
            <v>0</v>
          </cell>
          <cell r="H2538" t="str">
            <v>60/61</v>
          </cell>
        </row>
        <row r="2539">
          <cell r="F2539">
            <v>40</v>
          </cell>
          <cell r="G2539">
            <v>0</v>
          </cell>
          <cell r="H2539" t="str">
            <v>60/61</v>
          </cell>
        </row>
        <row r="2540">
          <cell r="F2540">
            <v>8.14</v>
          </cell>
          <cell r="G2540">
            <v>0</v>
          </cell>
          <cell r="H2540" t="str">
            <v>60/61</v>
          </cell>
        </row>
        <row r="2541">
          <cell r="F2541">
            <v>676.17</v>
          </cell>
          <cell r="G2541">
            <v>0</v>
          </cell>
          <cell r="H2541" t="str">
            <v>60/61</v>
          </cell>
        </row>
        <row r="2542">
          <cell r="F2542">
            <v>63</v>
          </cell>
          <cell r="G2542">
            <v>0</v>
          </cell>
          <cell r="H2542" t="str">
            <v>60/61</v>
          </cell>
        </row>
        <row r="2543">
          <cell r="F2543">
            <v>379.95</v>
          </cell>
          <cell r="G2543">
            <v>0</v>
          </cell>
          <cell r="H2543" t="str">
            <v>60/61</v>
          </cell>
        </row>
        <row r="2544">
          <cell r="F2544">
            <v>19.97</v>
          </cell>
          <cell r="G2544">
            <v>0</v>
          </cell>
          <cell r="H2544" t="str">
            <v>60/61</v>
          </cell>
        </row>
        <row r="2545">
          <cell r="F2545">
            <v>250.3</v>
          </cell>
          <cell r="G2545">
            <v>0</v>
          </cell>
          <cell r="H2545" t="str">
            <v>60/61</v>
          </cell>
        </row>
        <row r="2546">
          <cell r="F2546">
            <v>39.520000000000003</v>
          </cell>
          <cell r="G2546">
            <v>0</v>
          </cell>
          <cell r="H2546" t="str">
            <v>60/61</v>
          </cell>
        </row>
        <row r="2547">
          <cell r="F2547">
            <v>30.03</v>
          </cell>
          <cell r="G2547">
            <v>0</v>
          </cell>
          <cell r="H2547" t="str">
            <v>60/61</v>
          </cell>
        </row>
        <row r="2548">
          <cell r="F2548">
            <v>31.24</v>
          </cell>
          <cell r="G2548">
            <v>0</v>
          </cell>
          <cell r="H2548" t="str">
            <v>60/61</v>
          </cell>
        </row>
        <row r="2549">
          <cell r="F2549">
            <v>50</v>
          </cell>
          <cell r="G2549">
            <v>0</v>
          </cell>
          <cell r="H2549" t="str">
            <v>60/61</v>
          </cell>
        </row>
        <row r="2550">
          <cell r="F2550">
            <v>100</v>
          </cell>
          <cell r="G2550">
            <v>0</v>
          </cell>
          <cell r="H2550" t="str">
            <v>60/61</v>
          </cell>
        </row>
        <row r="2551">
          <cell r="F2551">
            <v>19.559999999999999</v>
          </cell>
          <cell r="G2551">
            <v>0</v>
          </cell>
          <cell r="H2551" t="str">
            <v>60/61</v>
          </cell>
        </row>
        <row r="2552">
          <cell r="F2552">
            <v>6.2</v>
          </cell>
          <cell r="G2552">
            <v>0</v>
          </cell>
          <cell r="H2552" t="str">
            <v>60/61</v>
          </cell>
        </row>
        <row r="2553">
          <cell r="F2553">
            <v>12.81</v>
          </cell>
          <cell r="G2553">
            <v>0</v>
          </cell>
          <cell r="H2553" t="str">
            <v>60/61</v>
          </cell>
        </row>
        <row r="2554">
          <cell r="F2554">
            <v>5.53</v>
          </cell>
          <cell r="G2554">
            <v>0</v>
          </cell>
          <cell r="H2554" t="str">
            <v>60/61</v>
          </cell>
        </row>
        <row r="2555">
          <cell r="F2555">
            <v>3.42</v>
          </cell>
          <cell r="G2555">
            <v>0</v>
          </cell>
          <cell r="H2555" t="str">
            <v>60/61</v>
          </cell>
        </row>
        <row r="2556">
          <cell r="F2556">
            <v>11.77</v>
          </cell>
          <cell r="G2556">
            <v>0</v>
          </cell>
          <cell r="H2556" t="str">
            <v>60/61</v>
          </cell>
        </row>
        <row r="2557">
          <cell r="F2557">
            <v>22.72</v>
          </cell>
          <cell r="G2557">
            <v>0</v>
          </cell>
          <cell r="H2557" t="str">
            <v>60/61</v>
          </cell>
        </row>
        <row r="2558">
          <cell r="F2558">
            <v>1.68</v>
          </cell>
          <cell r="G2558">
            <v>0</v>
          </cell>
          <cell r="H2558" t="str">
            <v>60/61</v>
          </cell>
        </row>
        <row r="2559">
          <cell r="F2559">
            <v>3.8</v>
          </cell>
          <cell r="G2559">
            <v>0</v>
          </cell>
          <cell r="H2559" t="str">
            <v>60/61</v>
          </cell>
        </row>
        <row r="2560">
          <cell r="F2560">
            <v>0</v>
          </cell>
          <cell r="G2560">
            <v>0</v>
          </cell>
          <cell r="H2560" t="str">
            <v>60/61</v>
          </cell>
        </row>
        <row r="2561">
          <cell r="F2561">
            <v>181.5</v>
          </cell>
          <cell r="G2561">
            <v>0</v>
          </cell>
          <cell r="H2561" t="str">
            <v>60/61</v>
          </cell>
        </row>
        <row r="2562">
          <cell r="F2562">
            <v>2.61</v>
          </cell>
          <cell r="G2562">
            <v>0</v>
          </cell>
          <cell r="H2562" t="str">
            <v>60/61</v>
          </cell>
        </row>
        <row r="2563">
          <cell r="F2563">
            <v>2.93</v>
          </cell>
          <cell r="G2563">
            <v>0</v>
          </cell>
          <cell r="H2563" t="str">
            <v>60/61</v>
          </cell>
        </row>
        <row r="2564">
          <cell r="F2564">
            <v>0</v>
          </cell>
          <cell r="G2564">
            <v>0</v>
          </cell>
          <cell r="H2564" t="str">
            <v>60/61</v>
          </cell>
        </row>
        <row r="2565">
          <cell r="F2565">
            <v>0.37</v>
          </cell>
          <cell r="G2565">
            <v>0</v>
          </cell>
          <cell r="H2565" t="str">
            <v>60/61</v>
          </cell>
        </row>
        <row r="2566">
          <cell r="F2566">
            <v>7.28</v>
          </cell>
          <cell r="G2566">
            <v>0</v>
          </cell>
          <cell r="H2566" t="str">
            <v>60/61</v>
          </cell>
        </row>
        <row r="2567">
          <cell r="F2567">
            <v>8.25</v>
          </cell>
          <cell r="G2567">
            <v>0</v>
          </cell>
          <cell r="H2567" t="str">
            <v>60/61</v>
          </cell>
        </row>
        <row r="2568">
          <cell r="F2568">
            <v>13.25</v>
          </cell>
          <cell r="G2568">
            <v>0</v>
          </cell>
          <cell r="H2568" t="str">
            <v>60/61</v>
          </cell>
        </row>
        <row r="2569">
          <cell r="F2569">
            <v>0.23</v>
          </cell>
          <cell r="G2569">
            <v>0</v>
          </cell>
          <cell r="H2569" t="str">
            <v>60/61</v>
          </cell>
        </row>
        <row r="2570">
          <cell r="F2570">
            <v>8.25</v>
          </cell>
          <cell r="G2570">
            <v>0</v>
          </cell>
          <cell r="H2570" t="str">
            <v>60/61</v>
          </cell>
        </row>
        <row r="2571">
          <cell r="F2571">
            <v>2.61</v>
          </cell>
          <cell r="G2571">
            <v>0</v>
          </cell>
          <cell r="H2571" t="str">
            <v>60/61</v>
          </cell>
        </row>
        <row r="2572">
          <cell r="F2572">
            <v>99</v>
          </cell>
          <cell r="G2572">
            <v>0</v>
          </cell>
          <cell r="H2572" t="str">
            <v>60/61</v>
          </cell>
        </row>
        <row r="2573">
          <cell r="F2573">
            <v>15</v>
          </cell>
          <cell r="G2573">
            <v>0</v>
          </cell>
          <cell r="H2573" t="str">
            <v>60/61</v>
          </cell>
        </row>
        <row r="2574">
          <cell r="F2574">
            <v>8.25</v>
          </cell>
          <cell r="G2574">
            <v>0</v>
          </cell>
          <cell r="H2574" t="str">
            <v>60/61</v>
          </cell>
        </row>
        <row r="2575">
          <cell r="F2575">
            <v>1.69</v>
          </cell>
          <cell r="G2575">
            <v>0</v>
          </cell>
          <cell r="H2575" t="str">
            <v>60/61</v>
          </cell>
        </row>
        <row r="2576">
          <cell r="F2576">
            <v>1.25</v>
          </cell>
          <cell r="G2576">
            <v>0</v>
          </cell>
          <cell r="H2576" t="str">
            <v>60/61</v>
          </cell>
        </row>
        <row r="2577">
          <cell r="F2577">
            <v>0</v>
          </cell>
          <cell r="G2577">
            <v>0</v>
          </cell>
          <cell r="H2577" t="str">
            <v>60/61</v>
          </cell>
        </row>
        <row r="2578">
          <cell r="F2578">
            <v>0.2</v>
          </cell>
          <cell r="G2578">
            <v>0</v>
          </cell>
          <cell r="H2578" t="str">
            <v>60/61</v>
          </cell>
        </row>
        <row r="2579">
          <cell r="F2579">
            <v>2.06</v>
          </cell>
          <cell r="G2579">
            <v>0</v>
          </cell>
          <cell r="H2579" t="str">
            <v>60/61</v>
          </cell>
        </row>
        <row r="2580">
          <cell r="F2580">
            <v>5</v>
          </cell>
          <cell r="G2580">
            <v>0</v>
          </cell>
          <cell r="H2580" t="str">
            <v>60/61</v>
          </cell>
        </row>
        <row r="2581">
          <cell r="F2581">
            <v>-1.0000000000001563E-2</v>
          </cell>
          <cell r="G2581">
            <v>0</v>
          </cell>
          <cell r="H2581" t="str">
            <v>60/61</v>
          </cell>
        </row>
        <row r="2582">
          <cell r="F2582">
            <v>15</v>
          </cell>
          <cell r="G2582">
            <v>0</v>
          </cell>
          <cell r="H2582" t="str">
            <v>60/61</v>
          </cell>
        </row>
        <row r="2583">
          <cell r="F2583">
            <v>2.33</v>
          </cell>
          <cell r="G2583">
            <v>0</v>
          </cell>
          <cell r="H2583" t="str">
            <v>60/61</v>
          </cell>
        </row>
        <row r="2584">
          <cell r="F2584">
            <v>6.19</v>
          </cell>
          <cell r="G2584">
            <v>0</v>
          </cell>
          <cell r="H2584" t="str">
            <v>60/61</v>
          </cell>
        </row>
        <row r="2585">
          <cell r="F2585">
            <v>0.74</v>
          </cell>
          <cell r="G2585">
            <v>0</v>
          </cell>
          <cell r="H2585" t="str">
            <v>60/61</v>
          </cell>
        </row>
        <row r="2586">
          <cell r="F2586">
            <v>5</v>
          </cell>
          <cell r="G2586">
            <v>0</v>
          </cell>
          <cell r="H2586" t="str">
            <v>60/61</v>
          </cell>
        </row>
        <row r="2587">
          <cell r="F2587">
            <v>6.64</v>
          </cell>
          <cell r="G2587">
            <v>0</v>
          </cell>
          <cell r="H2587" t="str">
            <v>60/61</v>
          </cell>
        </row>
        <row r="2588">
          <cell r="F2588">
            <v>0</v>
          </cell>
          <cell r="G2588">
            <v>0</v>
          </cell>
          <cell r="H2588" t="str">
            <v>60/61</v>
          </cell>
        </row>
        <row r="2589">
          <cell r="F2589">
            <v>0.59</v>
          </cell>
          <cell r="G2589">
            <v>0</v>
          </cell>
          <cell r="H2589" t="str">
            <v>60/61</v>
          </cell>
        </row>
        <row r="2590">
          <cell r="F2590">
            <v>3.07</v>
          </cell>
          <cell r="G2590">
            <v>0</v>
          </cell>
          <cell r="H2590" t="str">
            <v>60/61</v>
          </cell>
        </row>
        <row r="2591">
          <cell r="F2591">
            <v>1.0000000000000675E-2</v>
          </cell>
          <cell r="G2591">
            <v>0</v>
          </cell>
          <cell r="H2591" t="str">
            <v>60/61</v>
          </cell>
        </row>
        <row r="2592">
          <cell r="F2592">
            <v>0</v>
          </cell>
          <cell r="G2592">
            <v>0</v>
          </cell>
          <cell r="H2592" t="str">
            <v>60/61</v>
          </cell>
        </row>
        <row r="2593">
          <cell r="F2593">
            <v>3.25</v>
          </cell>
          <cell r="G2593">
            <v>0</v>
          </cell>
          <cell r="H2593" t="str">
            <v>60/61</v>
          </cell>
        </row>
        <row r="2594">
          <cell r="F2594">
            <v>0</v>
          </cell>
          <cell r="G2594">
            <v>0</v>
          </cell>
          <cell r="H2594" t="str">
            <v>60/61</v>
          </cell>
        </row>
        <row r="2595">
          <cell r="F2595">
            <v>7.88</v>
          </cell>
          <cell r="G2595">
            <v>0</v>
          </cell>
          <cell r="H2595" t="str">
            <v>60/61</v>
          </cell>
        </row>
        <row r="2596">
          <cell r="F2596">
            <v>8.25</v>
          </cell>
          <cell r="G2596">
            <v>0</v>
          </cell>
          <cell r="H2596" t="str">
            <v>60/61</v>
          </cell>
        </row>
        <row r="2597">
          <cell r="F2597">
            <v>5</v>
          </cell>
          <cell r="G2597">
            <v>0</v>
          </cell>
          <cell r="H2597" t="str">
            <v>60/61</v>
          </cell>
        </row>
        <row r="2598">
          <cell r="F2598">
            <v>10</v>
          </cell>
          <cell r="G2598">
            <v>0</v>
          </cell>
          <cell r="H2598" t="str">
            <v>60/61</v>
          </cell>
        </row>
        <row r="2599">
          <cell r="F2599">
            <v>5</v>
          </cell>
          <cell r="G2599">
            <v>0</v>
          </cell>
          <cell r="H2599" t="str">
            <v>60/61</v>
          </cell>
        </row>
        <row r="2600">
          <cell r="F2600">
            <v>0</v>
          </cell>
          <cell r="G2600">
            <v>0</v>
          </cell>
          <cell r="H2600" t="str">
            <v>60/61</v>
          </cell>
        </row>
        <row r="2601">
          <cell r="F2601">
            <v>87.11</v>
          </cell>
          <cell r="G2601">
            <v>0</v>
          </cell>
          <cell r="H2601" t="str">
            <v>60/61</v>
          </cell>
        </row>
        <row r="2602">
          <cell r="F2602">
            <v>174.24</v>
          </cell>
          <cell r="G2602">
            <v>0</v>
          </cell>
          <cell r="H2602" t="str">
            <v>60/61</v>
          </cell>
        </row>
        <row r="2603">
          <cell r="F2603">
            <v>11.36</v>
          </cell>
          <cell r="G2603">
            <v>0</v>
          </cell>
          <cell r="H2603" t="str">
            <v>60/61</v>
          </cell>
        </row>
        <row r="2604">
          <cell r="F2604">
            <v>12.14</v>
          </cell>
          <cell r="G2604">
            <v>0</v>
          </cell>
          <cell r="H2604" t="str">
            <v>60/61</v>
          </cell>
        </row>
        <row r="2605">
          <cell r="F2605">
            <v>83.72</v>
          </cell>
          <cell r="G2605">
            <v>0</v>
          </cell>
          <cell r="H2605" t="str">
            <v>60/61</v>
          </cell>
        </row>
        <row r="2606">
          <cell r="F2606">
            <v>75.22</v>
          </cell>
          <cell r="G2606">
            <v>0</v>
          </cell>
          <cell r="H2606" t="str">
            <v>60/61</v>
          </cell>
        </row>
        <row r="2607">
          <cell r="F2607">
            <v>262.87</v>
          </cell>
          <cell r="G2607">
            <v>0</v>
          </cell>
          <cell r="H2607" t="str">
            <v>60/61</v>
          </cell>
        </row>
        <row r="2608">
          <cell r="F2608">
            <v>154.66</v>
          </cell>
          <cell r="G2608">
            <v>0</v>
          </cell>
          <cell r="H2608" t="str">
            <v>60/61</v>
          </cell>
        </row>
        <row r="2609">
          <cell r="F2609">
            <v>46.079999999999984</v>
          </cell>
          <cell r="G2609">
            <v>0</v>
          </cell>
          <cell r="H2609" t="str">
            <v>60/61</v>
          </cell>
        </row>
        <row r="2610">
          <cell r="F2610">
            <v>46.18</v>
          </cell>
          <cell r="G2610">
            <v>0</v>
          </cell>
          <cell r="H2610" t="str">
            <v>60/61</v>
          </cell>
        </row>
        <row r="2611">
          <cell r="F2611">
            <v>34.119999999999997</v>
          </cell>
          <cell r="G2611">
            <v>0</v>
          </cell>
          <cell r="H2611" t="str">
            <v>60/61</v>
          </cell>
        </row>
        <row r="2612">
          <cell r="F2612">
            <v>157.81</v>
          </cell>
          <cell r="G2612">
            <v>0</v>
          </cell>
          <cell r="H2612" t="str">
            <v>60/61</v>
          </cell>
        </row>
        <row r="2613">
          <cell r="F2613">
            <v>176.01</v>
          </cell>
          <cell r="G2613">
            <v>0</v>
          </cell>
          <cell r="H2613" t="str">
            <v>60/61</v>
          </cell>
        </row>
        <row r="2614">
          <cell r="F2614">
            <v>158.72</v>
          </cell>
          <cell r="G2614">
            <v>0</v>
          </cell>
          <cell r="H2614" t="str">
            <v>60/61</v>
          </cell>
        </row>
        <row r="2615">
          <cell r="F2615">
            <v>0.45</v>
          </cell>
          <cell r="G2615">
            <v>0</v>
          </cell>
          <cell r="H2615" t="str">
            <v>60/61</v>
          </cell>
        </row>
        <row r="2616">
          <cell r="F2616">
            <v>237.62</v>
          </cell>
          <cell r="G2616">
            <v>0</v>
          </cell>
          <cell r="H2616" t="str">
            <v>60/61</v>
          </cell>
        </row>
        <row r="2617">
          <cell r="F2617">
            <v>239.07000000000005</v>
          </cell>
          <cell r="G2617">
            <v>0</v>
          </cell>
          <cell r="H2617" t="str">
            <v>60/61</v>
          </cell>
        </row>
        <row r="2618">
          <cell r="F2618">
            <v>211.32</v>
          </cell>
          <cell r="G2618">
            <v>0</v>
          </cell>
          <cell r="H2618" t="str">
            <v>60/61</v>
          </cell>
        </row>
        <row r="2619">
          <cell r="F2619">
            <v>544.05999999999995</v>
          </cell>
          <cell r="G2619">
            <v>0</v>
          </cell>
          <cell r="H2619" t="str">
            <v>60/61</v>
          </cell>
        </row>
        <row r="2620">
          <cell r="F2620">
            <v>59.18</v>
          </cell>
          <cell r="G2620">
            <v>0</v>
          </cell>
          <cell r="H2620" t="str">
            <v>60/61</v>
          </cell>
        </row>
        <row r="2621">
          <cell r="F2621">
            <v>561.35</v>
          </cell>
          <cell r="G2621">
            <v>0</v>
          </cell>
          <cell r="H2621" t="str">
            <v>60/61</v>
          </cell>
        </row>
        <row r="2622">
          <cell r="F2622">
            <v>28.870000000000005</v>
          </cell>
          <cell r="G2622">
            <v>0</v>
          </cell>
          <cell r="H2622" t="str">
            <v>60/61</v>
          </cell>
        </row>
        <row r="2623">
          <cell r="F2623">
            <v>126.74</v>
          </cell>
          <cell r="G2623">
            <v>0</v>
          </cell>
          <cell r="H2623" t="str">
            <v>60/61</v>
          </cell>
        </row>
        <row r="2624">
          <cell r="F2624">
            <v>497.17</v>
          </cell>
          <cell r="G2624">
            <v>0</v>
          </cell>
          <cell r="H2624" t="str">
            <v>60/61</v>
          </cell>
        </row>
        <row r="2625">
          <cell r="F2625">
            <v>1045.6199999999999</v>
          </cell>
          <cell r="G2625">
            <v>0</v>
          </cell>
          <cell r="H2625" t="str">
            <v>60/61</v>
          </cell>
        </row>
        <row r="2626">
          <cell r="F2626">
            <v>361.62</v>
          </cell>
          <cell r="G2626">
            <v>0</v>
          </cell>
          <cell r="H2626" t="str">
            <v>60/61</v>
          </cell>
        </row>
        <row r="2627">
          <cell r="F2627">
            <v>-3.0000000000001137E-2</v>
          </cell>
          <cell r="G2627">
            <v>0</v>
          </cell>
          <cell r="H2627" t="str">
            <v>60/61</v>
          </cell>
        </row>
        <row r="2628">
          <cell r="F2628">
            <v>1246.1400000000001</v>
          </cell>
          <cell r="G2628">
            <v>0</v>
          </cell>
          <cell r="H2628" t="str">
            <v>60/61</v>
          </cell>
        </row>
        <row r="2629">
          <cell r="F2629">
            <v>1154.54</v>
          </cell>
          <cell r="G2629">
            <v>0</v>
          </cell>
          <cell r="H2629" t="str">
            <v>60/61</v>
          </cell>
        </row>
        <row r="2630">
          <cell r="F2630">
            <v>578.82000000000005</v>
          </cell>
          <cell r="G2630">
            <v>0</v>
          </cell>
          <cell r="H2630" t="str">
            <v>60/61</v>
          </cell>
        </row>
        <row r="2631">
          <cell r="F2631">
            <v>93.06</v>
          </cell>
          <cell r="G2631">
            <v>0</v>
          </cell>
          <cell r="H2631" t="str">
            <v>60/61</v>
          </cell>
        </row>
        <row r="2632">
          <cell r="F2632">
            <v>96.47</v>
          </cell>
          <cell r="G2632">
            <v>0</v>
          </cell>
          <cell r="H2632" t="str">
            <v>60/61</v>
          </cell>
        </row>
        <row r="2633">
          <cell r="F2633">
            <v>337.18</v>
          </cell>
          <cell r="G2633">
            <v>0</v>
          </cell>
          <cell r="H2633" t="str">
            <v>60/61</v>
          </cell>
        </row>
        <row r="2634">
          <cell r="F2634">
            <v>541</v>
          </cell>
          <cell r="G2634">
            <v>0</v>
          </cell>
          <cell r="H2634" t="str">
            <v>60/61</v>
          </cell>
        </row>
        <row r="2635">
          <cell r="F2635">
            <v>176.9</v>
          </cell>
          <cell r="G2635">
            <v>0</v>
          </cell>
          <cell r="H2635" t="str">
            <v>60/61</v>
          </cell>
        </row>
        <row r="2636">
          <cell r="F2636">
            <v>104.98</v>
          </cell>
          <cell r="G2636">
            <v>0</v>
          </cell>
          <cell r="H2636" t="str">
            <v>60/61</v>
          </cell>
        </row>
        <row r="2637">
          <cell r="F2637">
            <v>555.28</v>
          </cell>
          <cell r="G2637">
            <v>0</v>
          </cell>
          <cell r="H2637" t="str">
            <v>60/61</v>
          </cell>
        </row>
        <row r="2638">
          <cell r="F2638">
            <v>497.15</v>
          </cell>
          <cell r="G2638">
            <v>0</v>
          </cell>
          <cell r="H2638" t="str">
            <v>60/61</v>
          </cell>
        </row>
        <row r="2639">
          <cell r="F2639">
            <v>71.760000000000005</v>
          </cell>
          <cell r="G2639">
            <v>0</v>
          </cell>
          <cell r="H2639" t="str">
            <v>60/61</v>
          </cell>
        </row>
        <row r="2640">
          <cell r="F2640">
            <v>749.67</v>
          </cell>
          <cell r="G2640">
            <v>0</v>
          </cell>
          <cell r="H2640" t="str">
            <v>60/61</v>
          </cell>
        </row>
        <row r="2641">
          <cell r="F2641">
            <v>373.15</v>
          </cell>
          <cell r="G2641">
            <v>0</v>
          </cell>
          <cell r="H2641" t="str">
            <v>60/61</v>
          </cell>
        </row>
        <row r="2642">
          <cell r="F2642">
            <v>357.33000000000004</v>
          </cell>
          <cell r="G2642">
            <v>0</v>
          </cell>
          <cell r="H2642" t="str">
            <v>60/61</v>
          </cell>
        </row>
        <row r="2643">
          <cell r="F2643">
            <v>51.24</v>
          </cell>
          <cell r="G2643">
            <v>0</v>
          </cell>
          <cell r="H2643" t="str">
            <v>60/61</v>
          </cell>
        </row>
        <row r="2644">
          <cell r="F2644">
            <v>241.82</v>
          </cell>
          <cell r="G2644">
            <v>0</v>
          </cell>
          <cell r="H2644" t="str">
            <v>60/61</v>
          </cell>
        </row>
        <row r="2645">
          <cell r="F2645">
            <v>212.65</v>
          </cell>
          <cell r="G2645">
            <v>0</v>
          </cell>
          <cell r="H2645" t="str">
            <v>60/61</v>
          </cell>
        </row>
        <row r="2646">
          <cell r="F2646">
            <v>501.16</v>
          </cell>
          <cell r="G2646">
            <v>0</v>
          </cell>
          <cell r="H2646" t="str">
            <v>60/61</v>
          </cell>
        </row>
        <row r="2647">
          <cell r="F2647">
            <v>298.56</v>
          </cell>
          <cell r="G2647">
            <v>0</v>
          </cell>
          <cell r="H2647" t="str">
            <v>60/61</v>
          </cell>
        </row>
        <row r="2648">
          <cell r="F2648">
            <v>37.629999999999995</v>
          </cell>
          <cell r="G2648">
            <v>0</v>
          </cell>
          <cell r="H2648" t="str">
            <v>60/61</v>
          </cell>
        </row>
        <row r="2649">
          <cell r="F2649">
            <v>243.08</v>
          </cell>
          <cell r="G2649">
            <v>0</v>
          </cell>
          <cell r="H2649" t="str">
            <v>60/61</v>
          </cell>
        </row>
        <row r="2650">
          <cell r="F2650">
            <v>465.57</v>
          </cell>
          <cell r="G2650">
            <v>0</v>
          </cell>
          <cell r="H2650" t="str">
            <v>60/61</v>
          </cell>
        </row>
        <row r="2651">
          <cell r="F2651">
            <v>404.78</v>
          </cell>
          <cell r="G2651">
            <v>0</v>
          </cell>
          <cell r="H2651" t="str">
            <v>60/61</v>
          </cell>
        </row>
        <row r="2652">
          <cell r="F2652">
            <v>40.22</v>
          </cell>
          <cell r="G2652">
            <v>0</v>
          </cell>
          <cell r="H2652" t="str">
            <v>60/61</v>
          </cell>
        </row>
        <row r="2653">
          <cell r="F2653">
            <v>434.1</v>
          </cell>
          <cell r="G2653">
            <v>0</v>
          </cell>
          <cell r="H2653" t="str">
            <v>60/61</v>
          </cell>
        </row>
        <row r="2654">
          <cell r="F2654">
            <v>94.2</v>
          </cell>
          <cell r="G2654">
            <v>0</v>
          </cell>
          <cell r="H2654" t="str">
            <v>60/61</v>
          </cell>
        </row>
        <row r="2655">
          <cell r="F2655">
            <v>464.75</v>
          </cell>
          <cell r="G2655">
            <v>0</v>
          </cell>
          <cell r="H2655" t="str">
            <v>60/61</v>
          </cell>
        </row>
        <row r="2656">
          <cell r="F2656">
            <v>1389.09</v>
          </cell>
          <cell r="G2656">
            <v>0</v>
          </cell>
          <cell r="H2656" t="str">
            <v>60/61</v>
          </cell>
        </row>
        <row r="2657">
          <cell r="F2657">
            <v>376.04</v>
          </cell>
          <cell r="G2657">
            <v>0</v>
          </cell>
          <cell r="H2657" t="str">
            <v>60/61</v>
          </cell>
        </row>
        <row r="2658">
          <cell r="F2658">
            <v>124.6</v>
          </cell>
          <cell r="G2658">
            <v>0</v>
          </cell>
          <cell r="H2658" t="str">
            <v>60/61</v>
          </cell>
        </row>
        <row r="2659">
          <cell r="F2659">
            <v>40.57</v>
          </cell>
          <cell r="G2659">
            <v>0</v>
          </cell>
          <cell r="H2659" t="str">
            <v>60/61</v>
          </cell>
        </row>
        <row r="2660">
          <cell r="F2660">
            <v>299.92</v>
          </cell>
          <cell r="G2660">
            <v>0</v>
          </cell>
          <cell r="H2660" t="str">
            <v>60/61</v>
          </cell>
        </row>
        <row r="2661">
          <cell r="F2661">
            <v>679.18</v>
          </cell>
          <cell r="G2661">
            <v>0</v>
          </cell>
          <cell r="H2661" t="str">
            <v>60/61</v>
          </cell>
        </row>
        <row r="2662">
          <cell r="F2662">
            <v>31.05</v>
          </cell>
          <cell r="G2662">
            <v>0</v>
          </cell>
          <cell r="H2662" t="str">
            <v>60/61</v>
          </cell>
        </row>
        <row r="2663">
          <cell r="F2663">
            <v>993.02</v>
          </cell>
          <cell r="G2663">
            <v>0</v>
          </cell>
          <cell r="H2663" t="str">
            <v>60/61</v>
          </cell>
        </row>
        <row r="2664">
          <cell r="F2664">
            <v>378.46</v>
          </cell>
          <cell r="G2664">
            <v>0</v>
          </cell>
          <cell r="H2664" t="str">
            <v>60/61</v>
          </cell>
        </row>
        <row r="2665">
          <cell r="F2665">
            <v>251.73</v>
          </cell>
          <cell r="G2665">
            <v>0</v>
          </cell>
          <cell r="H2665" t="str">
            <v>60/61</v>
          </cell>
        </row>
        <row r="2666">
          <cell r="F2666">
            <v>60.3</v>
          </cell>
          <cell r="G2666">
            <v>0</v>
          </cell>
          <cell r="H2666" t="str">
            <v>60/61</v>
          </cell>
        </row>
        <row r="2667">
          <cell r="F2667">
            <v>105.77</v>
          </cell>
          <cell r="G2667">
            <v>0</v>
          </cell>
          <cell r="H2667" t="str">
            <v>60/61</v>
          </cell>
        </row>
        <row r="2668">
          <cell r="F2668">
            <v>994.19</v>
          </cell>
          <cell r="G2668">
            <v>0</v>
          </cell>
          <cell r="H2668" t="str">
            <v>60/61</v>
          </cell>
        </row>
        <row r="2669">
          <cell r="F2669">
            <v>35.950000000000003</v>
          </cell>
          <cell r="G2669">
            <v>0</v>
          </cell>
          <cell r="H2669" t="str">
            <v>60/61</v>
          </cell>
        </row>
        <row r="2670">
          <cell r="F2670">
            <v>681.6</v>
          </cell>
          <cell r="G2670">
            <v>0</v>
          </cell>
          <cell r="H2670" t="str">
            <v>60/61</v>
          </cell>
        </row>
        <row r="2671">
          <cell r="F2671">
            <v>656.32</v>
          </cell>
          <cell r="G2671">
            <v>0</v>
          </cell>
          <cell r="H2671" t="str">
            <v>60/61</v>
          </cell>
        </row>
        <row r="2672">
          <cell r="F2672">
            <v>508.27000000000004</v>
          </cell>
          <cell r="G2672">
            <v>0</v>
          </cell>
          <cell r="H2672" t="str">
            <v>60/61</v>
          </cell>
        </row>
        <row r="2673">
          <cell r="F2673">
            <v>124.38</v>
          </cell>
          <cell r="G2673">
            <v>0</v>
          </cell>
          <cell r="H2673" t="str">
            <v>60/61</v>
          </cell>
        </row>
        <row r="2674">
          <cell r="F2674">
            <v>198.6</v>
          </cell>
          <cell r="G2674">
            <v>0</v>
          </cell>
          <cell r="H2674" t="str">
            <v>60/61</v>
          </cell>
        </row>
        <row r="2675">
          <cell r="F2675">
            <v>256.08999999999997</v>
          </cell>
          <cell r="G2675">
            <v>0</v>
          </cell>
          <cell r="H2675" t="str">
            <v>60/61</v>
          </cell>
        </row>
        <row r="2676">
          <cell r="F2676">
            <v>21.53</v>
          </cell>
          <cell r="G2676">
            <v>0</v>
          </cell>
          <cell r="H2676" t="str">
            <v>60/61</v>
          </cell>
        </row>
        <row r="2677">
          <cell r="F2677">
            <v>13.62</v>
          </cell>
          <cell r="G2677">
            <v>0</v>
          </cell>
          <cell r="H2677" t="str">
            <v>60/61</v>
          </cell>
        </row>
        <row r="2678">
          <cell r="F2678">
            <v>507.61</v>
          </cell>
          <cell r="G2678">
            <v>0</v>
          </cell>
          <cell r="H2678" t="str">
            <v>60/61</v>
          </cell>
        </row>
        <row r="2679">
          <cell r="F2679">
            <v>693.28</v>
          </cell>
          <cell r="G2679">
            <v>0</v>
          </cell>
          <cell r="H2679" t="str">
            <v>60/61</v>
          </cell>
        </row>
        <row r="2680">
          <cell r="F2680">
            <v>260.39</v>
          </cell>
          <cell r="G2680">
            <v>0</v>
          </cell>
          <cell r="H2680" t="str">
            <v>60/61</v>
          </cell>
        </row>
        <row r="2681">
          <cell r="F2681">
            <v>82.45</v>
          </cell>
          <cell r="G2681">
            <v>0</v>
          </cell>
          <cell r="H2681" t="str">
            <v>60/61</v>
          </cell>
        </row>
        <row r="2682">
          <cell r="F2682">
            <v>23.63</v>
          </cell>
          <cell r="G2682">
            <v>0</v>
          </cell>
          <cell r="H2682" t="str">
            <v>60/61</v>
          </cell>
        </row>
        <row r="2683">
          <cell r="F2683">
            <v>33.490000000000009</v>
          </cell>
          <cell r="G2683">
            <v>0</v>
          </cell>
          <cell r="H2683" t="str">
            <v>60/61</v>
          </cell>
        </row>
        <row r="2684">
          <cell r="F2684">
            <v>344.44</v>
          </cell>
          <cell r="G2684">
            <v>0</v>
          </cell>
          <cell r="H2684" t="str">
            <v>60/61</v>
          </cell>
        </row>
        <row r="2685">
          <cell r="F2685">
            <v>399.12</v>
          </cell>
          <cell r="G2685">
            <v>0</v>
          </cell>
          <cell r="H2685" t="str">
            <v>60/61</v>
          </cell>
        </row>
        <row r="2686">
          <cell r="F2686">
            <v>380.34</v>
          </cell>
          <cell r="G2686">
            <v>0</v>
          </cell>
          <cell r="H2686" t="str">
            <v>60/61</v>
          </cell>
        </row>
        <row r="2687">
          <cell r="F2687">
            <v>112.22000000000003</v>
          </cell>
          <cell r="G2687">
            <v>0</v>
          </cell>
          <cell r="H2687" t="str">
            <v>60/61</v>
          </cell>
        </row>
        <row r="2688">
          <cell r="F2688">
            <v>1279.3499999999999</v>
          </cell>
          <cell r="G2688">
            <v>0</v>
          </cell>
          <cell r="H2688" t="str">
            <v>60/61</v>
          </cell>
        </row>
        <row r="2689">
          <cell r="F2689">
            <v>118.73</v>
          </cell>
          <cell r="G2689">
            <v>0</v>
          </cell>
          <cell r="H2689" t="str">
            <v>60/61</v>
          </cell>
        </row>
        <row r="2690">
          <cell r="F2690">
            <v>497.17</v>
          </cell>
          <cell r="G2690">
            <v>0</v>
          </cell>
          <cell r="H2690" t="str">
            <v>60/61</v>
          </cell>
        </row>
        <row r="2691">
          <cell r="F2691">
            <v>20.7</v>
          </cell>
          <cell r="G2691">
            <v>0</v>
          </cell>
          <cell r="H2691" t="str">
            <v>60/61</v>
          </cell>
        </row>
        <row r="2692">
          <cell r="F2692">
            <v>637.97</v>
          </cell>
          <cell r="G2692">
            <v>0</v>
          </cell>
          <cell r="H2692" t="str">
            <v>60/61</v>
          </cell>
        </row>
        <row r="2693">
          <cell r="F2693">
            <v>3297.64</v>
          </cell>
          <cell r="G2693">
            <v>0</v>
          </cell>
          <cell r="H2693" t="str">
            <v>60/61</v>
          </cell>
        </row>
        <row r="2694">
          <cell r="F2694">
            <v>210.39</v>
          </cell>
          <cell r="G2694">
            <v>0</v>
          </cell>
          <cell r="H2694" t="str">
            <v>60/61</v>
          </cell>
        </row>
        <row r="2695">
          <cell r="F2695">
            <v>1153.82</v>
          </cell>
          <cell r="G2695">
            <v>0</v>
          </cell>
          <cell r="H2695" t="str">
            <v>60/61</v>
          </cell>
        </row>
        <row r="2696">
          <cell r="F2696">
            <v>595.53</v>
          </cell>
          <cell r="G2696">
            <v>0</v>
          </cell>
          <cell r="H2696" t="str">
            <v>60/61</v>
          </cell>
        </row>
        <row r="2697">
          <cell r="F2697">
            <v>413.1</v>
          </cell>
          <cell r="G2697">
            <v>0</v>
          </cell>
          <cell r="H2697" t="str">
            <v>60/61</v>
          </cell>
        </row>
        <row r="2698">
          <cell r="F2698">
            <v>4.00000000000027E-2</v>
          </cell>
          <cell r="G2698">
            <v>0</v>
          </cell>
          <cell r="H2698" t="str">
            <v>60/61</v>
          </cell>
        </row>
        <row r="2699">
          <cell r="F2699">
            <v>560.1099999999999</v>
          </cell>
          <cell r="G2699">
            <v>0</v>
          </cell>
          <cell r="H2699" t="str">
            <v>60/61</v>
          </cell>
        </row>
        <row r="2700">
          <cell r="F2700">
            <v>637.99</v>
          </cell>
          <cell r="G2700">
            <v>0</v>
          </cell>
          <cell r="H2700" t="str">
            <v>60/61</v>
          </cell>
        </row>
        <row r="2701">
          <cell r="F2701">
            <v>23.54</v>
          </cell>
          <cell r="G2701">
            <v>0</v>
          </cell>
          <cell r="H2701" t="str">
            <v>60/61</v>
          </cell>
        </row>
        <row r="2702">
          <cell r="F2702">
            <v>1216.6199999999999</v>
          </cell>
          <cell r="G2702">
            <v>0</v>
          </cell>
          <cell r="H2702" t="str">
            <v>60/61</v>
          </cell>
        </row>
        <row r="2703">
          <cell r="F2703">
            <v>190.18</v>
          </cell>
          <cell r="G2703">
            <v>0</v>
          </cell>
          <cell r="H2703" t="str">
            <v>60/61</v>
          </cell>
        </row>
        <row r="2704">
          <cell r="F2704">
            <v>41.4</v>
          </cell>
          <cell r="G2704">
            <v>0</v>
          </cell>
          <cell r="H2704" t="str">
            <v>60/61</v>
          </cell>
        </row>
        <row r="2705">
          <cell r="F2705">
            <v>48.11</v>
          </cell>
          <cell r="G2705">
            <v>0</v>
          </cell>
          <cell r="H2705" t="str">
            <v>60/61</v>
          </cell>
        </row>
        <row r="2706">
          <cell r="F2706">
            <v>-0.97</v>
          </cell>
          <cell r="G2706">
            <v>0</v>
          </cell>
          <cell r="H2706" t="str">
            <v>60/61</v>
          </cell>
        </row>
        <row r="2707">
          <cell r="F2707">
            <v>0</v>
          </cell>
          <cell r="G2707">
            <v>0</v>
          </cell>
          <cell r="H2707" t="str">
            <v>60/61</v>
          </cell>
        </row>
        <row r="2708">
          <cell r="F2708">
            <v>382.56</v>
          </cell>
          <cell r="G2708">
            <v>0</v>
          </cell>
          <cell r="H2708" t="str">
            <v>60/61</v>
          </cell>
        </row>
        <row r="2709">
          <cell r="F2709">
            <v>730.4</v>
          </cell>
          <cell r="G2709">
            <v>0</v>
          </cell>
          <cell r="H2709" t="str">
            <v>60/61</v>
          </cell>
        </row>
        <row r="2710">
          <cell r="F2710">
            <v>1</v>
          </cell>
          <cell r="G2710">
            <v>0</v>
          </cell>
          <cell r="H2710" t="str">
            <v>60/61</v>
          </cell>
        </row>
        <row r="2711">
          <cell r="F2711">
            <v>929.33</v>
          </cell>
          <cell r="G2711">
            <v>0</v>
          </cell>
          <cell r="H2711" t="str">
            <v>60/61</v>
          </cell>
        </row>
        <row r="2712">
          <cell r="F2712">
            <v>733.97</v>
          </cell>
          <cell r="G2712">
            <v>0</v>
          </cell>
          <cell r="H2712" t="str">
            <v>60/61</v>
          </cell>
        </row>
        <row r="2713">
          <cell r="F2713">
            <v>1466.66</v>
          </cell>
          <cell r="G2713">
            <v>0</v>
          </cell>
          <cell r="H2713" t="str">
            <v>60/61</v>
          </cell>
        </row>
        <row r="2714">
          <cell r="F2714">
            <v>471.22</v>
          </cell>
          <cell r="G2714">
            <v>0</v>
          </cell>
          <cell r="H2714" t="str">
            <v>60/61</v>
          </cell>
        </row>
        <row r="2715">
          <cell r="F2715">
            <v>246.16</v>
          </cell>
          <cell r="G2715">
            <v>0</v>
          </cell>
          <cell r="H2715" t="str">
            <v>60/61</v>
          </cell>
        </row>
        <row r="2716">
          <cell r="F2716">
            <v>18.59</v>
          </cell>
          <cell r="G2716">
            <v>0</v>
          </cell>
          <cell r="H2716" t="str">
            <v>60/61</v>
          </cell>
        </row>
        <row r="2717">
          <cell r="F2717">
            <v>24.44</v>
          </cell>
          <cell r="G2717">
            <v>0</v>
          </cell>
          <cell r="H2717" t="str">
            <v>60/61</v>
          </cell>
        </row>
        <row r="2718">
          <cell r="F2718">
            <v>171.08</v>
          </cell>
          <cell r="G2718">
            <v>0</v>
          </cell>
          <cell r="H2718" t="str">
            <v>60/61</v>
          </cell>
        </row>
        <row r="2719">
          <cell r="F2719">
            <v>170.85</v>
          </cell>
          <cell r="G2719">
            <v>0</v>
          </cell>
          <cell r="H2719" t="str">
            <v>60/61</v>
          </cell>
        </row>
        <row r="2720">
          <cell r="F2720">
            <v>667.18</v>
          </cell>
          <cell r="G2720">
            <v>0</v>
          </cell>
          <cell r="H2720" t="str">
            <v>60/61</v>
          </cell>
        </row>
        <row r="2721">
          <cell r="F2721">
            <v>467.14</v>
          </cell>
          <cell r="G2721">
            <v>0</v>
          </cell>
          <cell r="H2721" t="str">
            <v>60/61</v>
          </cell>
        </row>
        <row r="2722">
          <cell r="F2722">
            <v>10.85</v>
          </cell>
          <cell r="G2722">
            <v>0</v>
          </cell>
          <cell r="H2722" t="str">
            <v>60/61</v>
          </cell>
        </row>
        <row r="2723">
          <cell r="F2723">
            <v>-10.07</v>
          </cell>
          <cell r="G2723">
            <v>0</v>
          </cell>
          <cell r="H2723" t="str">
            <v>60/61</v>
          </cell>
        </row>
        <row r="2724">
          <cell r="F2724">
            <v>600.32000000000005</v>
          </cell>
          <cell r="G2724">
            <v>0</v>
          </cell>
          <cell r="H2724" t="str">
            <v>60/61</v>
          </cell>
        </row>
        <row r="2725">
          <cell r="F2725">
            <v>13.28</v>
          </cell>
          <cell r="G2725">
            <v>0</v>
          </cell>
          <cell r="H2725" t="str">
            <v>60/61</v>
          </cell>
        </row>
        <row r="2726">
          <cell r="F2726">
            <v>193.07000000000005</v>
          </cell>
          <cell r="G2726">
            <v>0</v>
          </cell>
          <cell r="H2726" t="str">
            <v>60/61</v>
          </cell>
        </row>
        <row r="2727">
          <cell r="F2727">
            <v>761.4</v>
          </cell>
          <cell r="G2727">
            <v>0</v>
          </cell>
          <cell r="H2727" t="str">
            <v>60/61</v>
          </cell>
        </row>
        <row r="2728">
          <cell r="F2728">
            <v>343.72</v>
          </cell>
          <cell r="G2728">
            <v>0</v>
          </cell>
          <cell r="H2728" t="str">
            <v>60/61</v>
          </cell>
        </row>
        <row r="2729">
          <cell r="F2729">
            <v>297.43</v>
          </cell>
          <cell r="G2729">
            <v>0</v>
          </cell>
          <cell r="H2729" t="str">
            <v>60/61</v>
          </cell>
        </row>
        <row r="2730">
          <cell r="F2730">
            <v>118.81</v>
          </cell>
          <cell r="G2730">
            <v>0</v>
          </cell>
          <cell r="H2730" t="str">
            <v>60/61</v>
          </cell>
        </row>
        <row r="2731">
          <cell r="F2731">
            <v>233.59</v>
          </cell>
          <cell r="G2731">
            <v>0</v>
          </cell>
          <cell r="H2731" t="str">
            <v>60/61</v>
          </cell>
        </row>
        <row r="2732">
          <cell r="F2732">
            <v>4</v>
          </cell>
          <cell r="G2732">
            <v>0</v>
          </cell>
          <cell r="H2732" t="str">
            <v>60/61</v>
          </cell>
        </row>
        <row r="2733">
          <cell r="F2733">
            <v>149.22999999999999</v>
          </cell>
          <cell r="G2733">
            <v>0</v>
          </cell>
          <cell r="H2733" t="str">
            <v>60/61</v>
          </cell>
        </row>
        <row r="2734">
          <cell r="F2734">
            <v>1288.27</v>
          </cell>
          <cell r="G2734">
            <v>0</v>
          </cell>
          <cell r="H2734" t="str">
            <v>60/61</v>
          </cell>
        </row>
        <row r="2735">
          <cell r="F2735">
            <v>1.99</v>
          </cell>
          <cell r="G2735">
            <v>0</v>
          </cell>
          <cell r="H2735" t="str">
            <v>60/61</v>
          </cell>
        </row>
        <row r="2736">
          <cell r="F2736">
            <v>26.1</v>
          </cell>
          <cell r="G2736">
            <v>0</v>
          </cell>
          <cell r="H2736" t="str">
            <v>60/61</v>
          </cell>
        </row>
        <row r="2737">
          <cell r="F2737">
            <v>2.37</v>
          </cell>
          <cell r="G2737">
            <v>0</v>
          </cell>
          <cell r="H2737" t="str">
            <v>60/61</v>
          </cell>
        </row>
        <row r="2738">
          <cell r="F2738">
            <v>76.349999999999994</v>
          </cell>
          <cell r="G2738">
            <v>0</v>
          </cell>
          <cell r="H2738" t="str">
            <v>60/61</v>
          </cell>
        </row>
        <row r="2739">
          <cell r="F2739">
            <v>343.1</v>
          </cell>
          <cell r="G2739">
            <v>0</v>
          </cell>
          <cell r="H2739" t="str">
            <v>60/61</v>
          </cell>
        </row>
        <row r="2740">
          <cell r="F2740">
            <v>49.63000000000001</v>
          </cell>
          <cell r="G2740">
            <v>0</v>
          </cell>
          <cell r="H2740" t="str">
            <v>60/61</v>
          </cell>
        </row>
        <row r="2741">
          <cell r="F2741">
            <v>208.69</v>
          </cell>
          <cell r="G2741">
            <v>0</v>
          </cell>
          <cell r="H2741" t="str">
            <v>60/61</v>
          </cell>
        </row>
        <row r="2742">
          <cell r="F2742">
            <v>1204.1099999999999</v>
          </cell>
          <cell r="G2742">
            <v>0</v>
          </cell>
          <cell r="H2742" t="str">
            <v>60/61</v>
          </cell>
        </row>
        <row r="2743">
          <cell r="F2743">
            <v>41.73</v>
          </cell>
          <cell r="G2743">
            <v>0</v>
          </cell>
          <cell r="H2743" t="str">
            <v>60/61</v>
          </cell>
        </row>
        <row r="2744">
          <cell r="F2744">
            <v>79.8</v>
          </cell>
          <cell r="G2744">
            <v>0</v>
          </cell>
          <cell r="H2744" t="str">
            <v>60/61</v>
          </cell>
        </row>
        <row r="2745">
          <cell r="F2745">
            <v>226.34</v>
          </cell>
          <cell r="G2745">
            <v>0</v>
          </cell>
          <cell r="H2745" t="str">
            <v>60/61</v>
          </cell>
        </row>
        <row r="2746">
          <cell r="F2746">
            <v>230.77</v>
          </cell>
          <cell r="G2746">
            <v>0</v>
          </cell>
          <cell r="H2746" t="str">
            <v>60/61</v>
          </cell>
        </row>
        <row r="2747">
          <cell r="F2747">
            <v>474.13</v>
          </cell>
          <cell r="G2747">
            <v>0</v>
          </cell>
          <cell r="H2747" t="str">
            <v>60/61</v>
          </cell>
        </row>
        <row r="2748">
          <cell r="F2748">
            <v>2885.6299999999997</v>
          </cell>
          <cell r="G2748">
            <v>0</v>
          </cell>
          <cell r="H2748" t="str">
            <v>60/61</v>
          </cell>
        </row>
        <row r="2749">
          <cell r="F2749">
            <v>30.28</v>
          </cell>
          <cell r="G2749">
            <v>0</v>
          </cell>
          <cell r="H2749" t="str">
            <v>60/61</v>
          </cell>
        </row>
        <row r="2750">
          <cell r="F2750">
            <v>570.64</v>
          </cell>
          <cell r="G2750">
            <v>0</v>
          </cell>
          <cell r="H2750" t="str">
            <v>60/61</v>
          </cell>
        </row>
        <row r="2751">
          <cell r="F2751">
            <v>19.989999999999998</v>
          </cell>
          <cell r="G2751">
            <v>0</v>
          </cell>
          <cell r="H2751" t="str">
            <v>60/61</v>
          </cell>
        </row>
        <row r="2752">
          <cell r="F2752">
            <v>133.29</v>
          </cell>
          <cell r="G2752">
            <v>0</v>
          </cell>
          <cell r="H2752" t="str">
            <v>60/61</v>
          </cell>
        </row>
        <row r="2753">
          <cell r="F2753">
            <v>4.4900000000000091</v>
          </cell>
          <cell r="G2753">
            <v>0</v>
          </cell>
          <cell r="H2753" t="str">
            <v>60/61</v>
          </cell>
        </row>
        <row r="2754">
          <cell r="F2754">
            <v>149.99</v>
          </cell>
          <cell r="G2754">
            <v>0</v>
          </cell>
          <cell r="H2754" t="str">
            <v>60/61</v>
          </cell>
        </row>
        <row r="2755">
          <cell r="F2755">
            <v>96.45</v>
          </cell>
          <cell r="G2755">
            <v>0</v>
          </cell>
          <cell r="H2755" t="str">
            <v>60/61</v>
          </cell>
        </row>
        <row r="2756">
          <cell r="F2756">
            <v>821.24</v>
          </cell>
          <cell r="G2756">
            <v>0</v>
          </cell>
          <cell r="H2756" t="str">
            <v>60/61</v>
          </cell>
        </row>
        <row r="2757">
          <cell r="F2757">
            <v>25.36</v>
          </cell>
          <cell r="G2757">
            <v>0</v>
          </cell>
          <cell r="H2757" t="str">
            <v>60/61</v>
          </cell>
        </row>
        <row r="2758">
          <cell r="F2758">
            <v>133.29</v>
          </cell>
          <cell r="G2758">
            <v>0</v>
          </cell>
          <cell r="H2758" t="str">
            <v>60/61</v>
          </cell>
        </row>
        <row r="2759">
          <cell r="F2759">
            <v>1140.4100000000001</v>
          </cell>
          <cell r="G2759">
            <v>0</v>
          </cell>
          <cell r="H2759" t="str">
            <v>60/61</v>
          </cell>
        </row>
        <row r="2760">
          <cell r="F2760">
            <v>581.76</v>
          </cell>
          <cell r="G2760">
            <v>0</v>
          </cell>
          <cell r="H2760" t="str">
            <v>60/61</v>
          </cell>
        </row>
        <row r="2761">
          <cell r="F2761">
            <v>808.31999999999994</v>
          </cell>
          <cell r="G2761">
            <v>0</v>
          </cell>
          <cell r="H2761" t="str">
            <v>60/61</v>
          </cell>
        </row>
        <row r="2762">
          <cell r="F2762">
            <v>208.22</v>
          </cell>
          <cell r="G2762">
            <v>0</v>
          </cell>
          <cell r="H2762" t="str">
            <v>60/61</v>
          </cell>
        </row>
        <row r="2763">
          <cell r="F2763">
            <v>2728.98</v>
          </cell>
          <cell r="G2763">
            <v>0</v>
          </cell>
          <cell r="H2763" t="str">
            <v>60/61</v>
          </cell>
        </row>
        <row r="2764">
          <cell r="F2764">
            <v>559.91</v>
          </cell>
          <cell r="G2764">
            <v>0</v>
          </cell>
          <cell r="H2764" t="str">
            <v>60/61</v>
          </cell>
        </row>
        <row r="2765">
          <cell r="F2765">
            <v>180.13</v>
          </cell>
          <cell r="G2765">
            <v>0</v>
          </cell>
          <cell r="H2765" t="str">
            <v>60/61</v>
          </cell>
        </row>
        <row r="2766">
          <cell r="F2766">
            <v>907.1</v>
          </cell>
          <cell r="G2766">
            <v>0</v>
          </cell>
          <cell r="H2766" t="str">
            <v>60/61</v>
          </cell>
        </row>
        <row r="2767">
          <cell r="F2767">
            <v>46.43</v>
          </cell>
          <cell r="G2767">
            <v>0</v>
          </cell>
          <cell r="H2767" t="str">
            <v>60/61</v>
          </cell>
        </row>
        <row r="2768">
          <cell r="F2768">
            <v>306.11</v>
          </cell>
          <cell r="G2768">
            <v>0</v>
          </cell>
          <cell r="H2768" t="str">
            <v>60/61</v>
          </cell>
        </row>
        <row r="2769">
          <cell r="F2769">
            <v>713.31</v>
          </cell>
          <cell r="G2769">
            <v>0</v>
          </cell>
          <cell r="H2769" t="str">
            <v>60/61</v>
          </cell>
        </row>
        <row r="2770">
          <cell r="F2770">
            <v>377.77</v>
          </cell>
          <cell r="G2770">
            <v>0</v>
          </cell>
          <cell r="H2770" t="str">
            <v>60/61</v>
          </cell>
        </row>
        <row r="2771">
          <cell r="F2771">
            <v>87.76</v>
          </cell>
          <cell r="G2771">
            <v>0</v>
          </cell>
          <cell r="H2771" t="str">
            <v>60/61</v>
          </cell>
        </row>
        <row r="2772">
          <cell r="F2772">
            <v>467.92999999999995</v>
          </cell>
          <cell r="G2772">
            <v>0</v>
          </cell>
          <cell r="H2772" t="str">
            <v>60/61</v>
          </cell>
        </row>
        <row r="2773">
          <cell r="F2773">
            <v>-3.18</v>
          </cell>
          <cell r="G2773">
            <v>0</v>
          </cell>
          <cell r="H2773" t="str">
            <v>60/61</v>
          </cell>
        </row>
        <row r="2774">
          <cell r="F2774">
            <v>72.13</v>
          </cell>
          <cell r="G2774">
            <v>0</v>
          </cell>
          <cell r="H2774" t="str">
            <v>60/61</v>
          </cell>
        </row>
        <row r="2775">
          <cell r="F2775">
            <v>9.2800000000000011</v>
          </cell>
          <cell r="G2775">
            <v>0</v>
          </cell>
          <cell r="H2775" t="str">
            <v>60/61</v>
          </cell>
        </row>
        <row r="2776">
          <cell r="F2776">
            <v>188.28</v>
          </cell>
          <cell r="G2776">
            <v>0</v>
          </cell>
          <cell r="H2776" t="str">
            <v>60/61</v>
          </cell>
        </row>
        <row r="2777">
          <cell r="F2777">
            <v>1734.55</v>
          </cell>
          <cell r="G2777">
            <v>0</v>
          </cell>
          <cell r="H2777" t="str">
            <v>60/61</v>
          </cell>
        </row>
        <row r="2778">
          <cell r="F2778">
            <v>190.35</v>
          </cell>
          <cell r="G2778">
            <v>0</v>
          </cell>
          <cell r="H2778" t="str">
            <v>60/61</v>
          </cell>
        </row>
        <row r="2779">
          <cell r="F2779">
            <v>170.32</v>
          </cell>
          <cell r="G2779">
            <v>0</v>
          </cell>
          <cell r="H2779" t="str">
            <v>60/61</v>
          </cell>
        </row>
        <row r="2780">
          <cell r="F2780">
            <v>332.21</v>
          </cell>
          <cell r="G2780">
            <v>0</v>
          </cell>
          <cell r="H2780" t="str">
            <v>60/61</v>
          </cell>
        </row>
        <row r="2781">
          <cell r="F2781">
            <v>750.4</v>
          </cell>
          <cell r="G2781">
            <v>0</v>
          </cell>
          <cell r="H2781" t="str">
            <v>60/61</v>
          </cell>
        </row>
        <row r="2782">
          <cell r="F2782">
            <v>133.29</v>
          </cell>
          <cell r="G2782">
            <v>0</v>
          </cell>
          <cell r="H2782" t="str">
            <v>60/61</v>
          </cell>
        </row>
        <row r="2783">
          <cell r="F2783">
            <v>266.58999999999997</v>
          </cell>
          <cell r="G2783">
            <v>0</v>
          </cell>
          <cell r="H2783" t="str">
            <v>60/61</v>
          </cell>
        </row>
        <row r="2784">
          <cell r="F2784">
            <v>113.46</v>
          </cell>
          <cell r="G2784">
            <v>0</v>
          </cell>
          <cell r="H2784" t="str">
            <v>60/61</v>
          </cell>
        </row>
        <row r="2785">
          <cell r="F2785">
            <v>82.71</v>
          </cell>
          <cell r="G2785">
            <v>0</v>
          </cell>
          <cell r="H2785" t="str">
            <v>60/61</v>
          </cell>
        </row>
        <row r="2786">
          <cell r="F2786">
            <v>253.79</v>
          </cell>
          <cell r="G2786">
            <v>0</v>
          </cell>
          <cell r="H2786" t="str">
            <v>60/61</v>
          </cell>
        </row>
        <row r="2787">
          <cell r="F2787">
            <v>266.70999999999998</v>
          </cell>
          <cell r="G2787">
            <v>0</v>
          </cell>
          <cell r="H2787" t="str">
            <v>60/61</v>
          </cell>
        </row>
        <row r="2788">
          <cell r="F2788">
            <v>225.66</v>
          </cell>
          <cell r="G2788">
            <v>0</v>
          </cell>
          <cell r="H2788" t="str">
            <v>60/61</v>
          </cell>
        </row>
        <row r="2789">
          <cell r="F2789">
            <v>129.47999999999999</v>
          </cell>
          <cell r="G2789">
            <v>0</v>
          </cell>
          <cell r="H2789" t="str">
            <v>60/61</v>
          </cell>
        </row>
        <row r="2790">
          <cell r="F2790">
            <v>233.8</v>
          </cell>
          <cell r="G2790">
            <v>0</v>
          </cell>
          <cell r="H2790" t="str">
            <v>60/61</v>
          </cell>
        </row>
        <row r="2791">
          <cell r="F2791">
            <v>1029.8399999999999</v>
          </cell>
          <cell r="G2791">
            <v>0</v>
          </cell>
          <cell r="H2791" t="str">
            <v>60/61</v>
          </cell>
        </row>
        <row r="2792">
          <cell r="F2792">
            <v>887.8</v>
          </cell>
          <cell r="G2792">
            <v>0</v>
          </cell>
          <cell r="H2792" t="str">
            <v>60/61</v>
          </cell>
        </row>
        <row r="2793">
          <cell r="F2793">
            <v>3</v>
          </cell>
          <cell r="G2793">
            <v>0</v>
          </cell>
          <cell r="H2793" t="str">
            <v>60/61</v>
          </cell>
        </row>
        <row r="2794">
          <cell r="F2794">
            <v>535.20000000000005</v>
          </cell>
          <cell r="G2794">
            <v>0</v>
          </cell>
          <cell r="H2794" t="str">
            <v>60/61</v>
          </cell>
        </row>
        <row r="2795">
          <cell r="F2795">
            <v>239.7</v>
          </cell>
          <cell r="G2795">
            <v>0</v>
          </cell>
          <cell r="H2795" t="str">
            <v>60/61</v>
          </cell>
        </row>
        <row r="2796">
          <cell r="F2796">
            <v>393.93</v>
          </cell>
          <cell r="G2796">
            <v>0</v>
          </cell>
          <cell r="H2796" t="str">
            <v>60/61</v>
          </cell>
        </row>
        <row r="2797">
          <cell r="F2797">
            <v>321.93</v>
          </cell>
          <cell r="G2797">
            <v>0</v>
          </cell>
          <cell r="H2797" t="str">
            <v>60/61</v>
          </cell>
        </row>
        <row r="2798">
          <cell r="F2798">
            <v>260.58</v>
          </cell>
          <cell r="G2798">
            <v>0</v>
          </cell>
          <cell r="H2798" t="str">
            <v>60/61</v>
          </cell>
        </row>
        <row r="2799">
          <cell r="F2799">
            <v>73.45</v>
          </cell>
          <cell r="G2799">
            <v>0</v>
          </cell>
          <cell r="H2799" t="str">
            <v>60/61</v>
          </cell>
        </row>
        <row r="2800">
          <cell r="F2800">
            <v>351.96</v>
          </cell>
          <cell r="G2800">
            <v>0</v>
          </cell>
          <cell r="H2800" t="str">
            <v>60/61</v>
          </cell>
        </row>
        <row r="2801">
          <cell r="F2801">
            <v>467.37</v>
          </cell>
          <cell r="G2801">
            <v>0</v>
          </cell>
          <cell r="H2801" t="str">
            <v>60/61</v>
          </cell>
        </row>
        <row r="2802">
          <cell r="F2802">
            <v>227.2</v>
          </cell>
          <cell r="G2802">
            <v>0</v>
          </cell>
          <cell r="H2802" t="str">
            <v>60/61</v>
          </cell>
        </row>
        <row r="2803">
          <cell r="F2803">
            <v>192.08</v>
          </cell>
          <cell r="G2803">
            <v>0</v>
          </cell>
          <cell r="H2803" t="str">
            <v>60/61</v>
          </cell>
        </row>
        <row r="2804">
          <cell r="F2804">
            <v>36.83</v>
          </cell>
          <cell r="G2804">
            <v>0</v>
          </cell>
          <cell r="H2804" t="str">
            <v>60/61</v>
          </cell>
        </row>
        <row r="2805">
          <cell r="F2805">
            <v>22.13</v>
          </cell>
          <cell r="G2805">
            <v>0</v>
          </cell>
          <cell r="H2805" t="str">
            <v>60/61</v>
          </cell>
        </row>
        <row r="2806">
          <cell r="F2806">
            <v>177.07</v>
          </cell>
          <cell r="G2806">
            <v>0</v>
          </cell>
          <cell r="H2806" t="str">
            <v>60/61</v>
          </cell>
        </row>
        <row r="2807">
          <cell r="F2807">
            <v>66.55</v>
          </cell>
          <cell r="G2807">
            <v>0</v>
          </cell>
          <cell r="H2807" t="str">
            <v>60/61</v>
          </cell>
        </row>
        <row r="2808">
          <cell r="F2808">
            <v>21.78</v>
          </cell>
          <cell r="G2808">
            <v>0</v>
          </cell>
          <cell r="H2808" t="str">
            <v>60/61</v>
          </cell>
        </row>
        <row r="2809">
          <cell r="F2809">
            <v>89.72</v>
          </cell>
          <cell r="G2809">
            <v>0</v>
          </cell>
          <cell r="H2809" t="str">
            <v>60/61</v>
          </cell>
        </row>
        <row r="2810">
          <cell r="F2810">
            <v>67.989999999999995</v>
          </cell>
          <cell r="G2810">
            <v>0</v>
          </cell>
          <cell r="H2810" t="str">
            <v>60/61</v>
          </cell>
        </row>
        <row r="2811">
          <cell r="F2811">
            <v>52.21</v>
          </cell>
          <cell r="G2811">
            <v>0</v>
          </cell>
          <cell r="H2811" t="str">
            <v>60/61</v>
          </cell>
        </row>
        <row r="2812">
          <cell r="F2812">
            <v>55.94</v>
          </cell>
          <cell r="G2812">
            <v>0</v>
          </cell>
          <cell r="H2812" t="str">
            <v>60/61</v>
          </cell>
        </row>
        <row r="2813">
          <cell r="F2813">
            <v>257.73</v>
          </cell>
          <cell r="G2813">
            <v>0</v>
          </cell>
          <cell r="H2813" t="str">
            <v>60/61</v>
          </cell>
        </row>
        <row r="2814">
          <cell r="F2814">
            <v>4.4400000000000004</v>
          </cell>
          <cell r="G2814">
            <v>0</v>
          </cell>
          <cell r="H2814" t="str">
            <v>60/61</v>
          </cell>
        </row>
        <row r="2815">
          <cell r="F2815">
            <v>7.93</v>
          </cell>
          <cell r="G2815">
            <v>0</v>
          </cell>
          <cell r="H2815" t="str">
            <v>60/61</v>
          </cell>
        </row>
        <row r="2816">
          <cell r="F2816">
            <v>20.25</v>
          </cell>
          <cell r="G2816">
            <v>0</v>
          </cell>
          <cell r="H2816" t="str">
            <v>60/61</v>
          </cell>
        </row>
        <row r="2817">
          <cell r="F2817">
            <v>107.73</v>
          </cell>
          <cell r="G2817">
            <v>0</v>
          </cell>
          <cell r="H2817" t="str">
            <v>60/61</v>
          </cell>
        </row>
        <row r="2818">
          <cell r="F2818">
            <v>52.34</v>
          </cell>
          <cell r="G2818">
            <v>0</v>
          </cell>
          <cell r="H2818" t="str">
            <v>60/61</v>
          </cell>
        </row>
        <row r="2819">
          <cell r="F2819">
            <v>0</v>
          </cell>
          <cell r="G2819">
            <v>0</v>
          </cell>
          <cell r="H2819" t="str">
            <v>60/61</v>
          </cell>
        </row>
        <row r="2820">
          <cell r="F2820">
            <v>0</v>
          </cell>
          <cell r="G2820">
            <v>0</v>
          </cell>
          <cell r="H2820" t="str">
            <v>60/61</v>
          </cell>
        </row>
        <row r="2821">
          <cell r="F2821">
            <v>17.260000000000002</v>
          </cell>
          <cell r="G2821">
            <v>0</v>
          </cell>
          <cell r="H2821" t="str">
            <v>60/61</v>
          </cell>
        </row>
        <row r="2822">
          <cell r="F2822">
            <v>44.87</v>
          </cell>
          <cell r="G2822">
            <v>0</v>
          </cell>
          <cell r="H2822" t="str">
            <v>60/61</v>
          </cell>
        </row>
        <row r="2823">
          <cell r="F2823">
            <v>58.31</v>
          </cell>
          <cell r="G2823">
            <v>0</v>
          </cell>
          <cell r="H2823" t="str">
            <v>60/61</v>
          </cell>
        </row>
        <row r="2824">
          <cell r="F2824">
            <v>34.72</v>
          </cell>
          <cell r="G2824">
            <v>0</v>
          </cell>
          <cell r="H2824" t="str">
            <v>60/61</v>
          </cell>
        </row>
        <row r="2825">
          <cell r="F2825">
            <v>35.299999999999997</v>
          </cell>
          <cell r="G2825">
            <v>0</v>
          </cell>
          <cell r="H2825" t="str">
            <v>60/61</v>
          </cell>
        </row>
        <row r="2826">
          <cell r="F2826">
            <v>3.82</v>
          </cell>
          <cell r="G2826">
            <v>0</v>
          </cell>
          <cell r="H2826" t="str">
            <v>60/61</v>
          </cell>
        </row>
        <row r="2827">
          <cell r="F2827">
            <v>42.74</v>
          </cell>
          <cell r="G2827">
            <v>0</v>
          </cell>
          <cell r="H2827" t="str">
            <v>60/61</v>
          </cell>
        </row>
        <row r="2828">
          <cell r="F2828">
            <v>182.28</v>
          </cell>
          <cell r="G2828">
            <v>0</v>
          </cell>
          <cell r="H2828" t="str">
            <v>60/61</v>
          </cell>
        </row>
        <row r="2829">
          <cell r="F2829">
            <v>9.6300000000000008</v>
          </cell>
          <cell r="G2829">
            <v>0</v>
          </cell>
          <cell r="H2829" t="str">
            <v>60/61</v>
          </cell>
        </row>
        <row r="2830">
          <cell r="F2830">
            <v>0</v>
          </cell>
          <cell r="G2830">
            <v>0</v>
          </cell>
          <cell r="H2830" t="str">
            <v>60/61</v>
          </cell>
        </row>
        <row r="2831">
          <cell r="F2831">
            <v>72.849999999999994</v>
          </cell>
          <cell r="G2831">
            <v>0</v>
          </cell>
          <cell r="H2831" t="str">
            <v>60/61</v>
          </cell>
        </row>
        <row r="2832">
          <cell r="F2832">
            <v>134.6</v>
          </cell>
          <cell r="G2832">
            <v>0</v>
          </cell>
          <cell r="H2832" t="str">
            <v>60/61</v>
          </cell>
        </row>
        <row r="2833">
          <cell r="F2833">
            <v>29.15</v>
          </cell>
          <cell r="G2833">
            <v>0</v>
          </cell>
          <cell r="H2833" t="str">
            <v>60/61</v>
          </cell>
        </row>
        <row r="2834">
          <cell r="F2834">
            <v>89.72</v>
          </cell>
          <cell r="G2834">
            <v>0</v>
          </cell>
          <cell r="H2834" t="str">
            <v>60/61</v>
          </cell>
        </row>
        <row r="2835">
          <cell r="F2835">
            <v>302.5</v>
          </cell>
          <cell r="G2835">
            <v>0</v>
          </cell>
          <cell r="H2835" t="str">
            <v>60/61</v>
          </cell>
        </row>
        <row r="2836">
          <cell r="F2836">
            <v>190.65</v>
          </cell>
          <cell r="G2836">
            <v>0</v>
          </cell>
          <cell r="H2836" t="str">
            <v>60/61</v>
          </cell>
        </row>
        <row r="2837">
          <cell r="F2837">
            <v>33.65</v>
          </cell>
          <cell r="G2837">
            <v>0</v>
          </cell>
          <cell r="H2837" t="str">
            <v>60/61</v>
          </cell>
        </row>
        <row r="2838">
          <cell r="F2838">
            <v>1244.6600000000001</v>
          </cell>
          <cell r="G2838">
            <v>0</v>
          </cell>
          <cell r="H2838" t="str">
            <v>60/61</v>
          </cell>
        </row>
        <row r="2839">
          <cell r="F2839">
            <v>229.23</v>
          </cell>
          <cell r="G2839">
            <v>0</v>
          </cell>
          <cell r="H2839" t="str">
            <v>60/61</v>
          </cell>
        </row>
        <row r="2840">
          <cell r="F2840">
            <v>100.45</v>
          </cell>
          <cell r="G2840">
            <v>0</v>
          </cell>
          <cell r="H2840" t="str">
            <v>60/61</v>
          </cell>
        </row>
        <row r="2841">
          <cell r="F2841">
            <v>14.62</v>
          </cell>
          <cell r="G2841">
            <v>0</v>
          </cell>
          <cell r="H2841" t="str">
            <v>60/61</v>
          </cell>
        </row>
        <row r="2842">
          <cell r="F2842">
            <v>33.65</v>
          </cell>
          <cell r="G2842">
            <v>0</v>
          </cell>
          <cell r="H2842" t="str">
            <v>60/61</v>
          </cell>
        </row>
        <row r="2843">
          <cell r="F2843">
            <v>38.729999999999997</v>
          </cell>
          <cell r="G2843">
            <v>0</v>
          </cell>
          <cell r="H2843" t="str">
            <v>60/61</v>
          </cell>
        </row>
        <row r="2844">
          <cell r="F2844">
            <v>175.81</v>
          </cell>
          <cell r="G2844">
            <v>0</v>
          </cell>
          <cell r="H2844" t="str">
            <v>60/61</v>
          </cell>
        </row>
        <row r="2845">
          <cell r="F2845">
            <v>72.56</v>
          </cell>
          <cell r="G2845">
            <v>0</v>
          </cell>
          <cell r="H2845" t="str">
            <v>60/61</v>
          </cell>
        </row>
        <row r="2846">
          <cell r="F2846">
            <v>187.52</v>
          </cell>
          <cell r="G2846">
            <v>0</v>
          </cell>
          <cell r="H2846" t="str">
            <v>60/61</v>
          </cell>
        </row>
        <row r="2847">
          <cell r="F2847">
            <v>145.56</v>
          </cell>
          <cell r="G2847">
            <v>0</v>
          </cell>
          <cell r="H2847" t="str">
            <v>60/61</v>
          </cell>
        </row>
        <row r="2848">
          <cell r="F2848">
            <v>13.18</v>
          </cell>
          <cell r="G2848">
            <v>0</v>
          </cell>
          <cell r="H2848" t="str">
            <v>60/61</v>
          </cell>
        </row>
        <row r="2849">
          <cell r="F2849">
            <v>100.95</v>
          </cell>
          <cell r="G2849">
            <v>0</v>
          </cell>
          <cell r="H2849" t="str">
            <v>60/61</v>
          </cell>
        </row>
        <row r="2850">
          <cell r="F2850">
            <v>52.67</v>
          </cell>
          <cell r="G2850">
            <v>0</v>
          </cell>
          <cell r="H2850" t="str">
            <v>60/61</v>
          </cell>
        </row>
        <row r="2851">
          <cell r="F2851">
            <v>11.21</v>
          </cell>
          <cell r="G2851">
            <v>0</v>
          </cell>
          <cell r="H2851" t="str">
            <v>60/61</v>
          </cell>
        </row>
        <row r="2852">
          <cell r="F2852">
            <v>54.38</v>
          </cell>
          <cell r="G2852">
            <v>0</v>
          </cell>
          <cell r="H2852" t="str">
            <v>60/61</v>
          </cell>
        </row>
        <row r="2853">
          <cell r="F2853">
            <v>5.46</v>
          </cell>
          <cell r="G2853">
            <v>0</v>
          </cell>
          <cell r="H2853" t="str">
            <v>60/61</v>
          </cell>
        </row>
        <row r="2854">
          <cell r="F2854">
            <v>85.82</v>
          </cell>
          <cell r="G2854">
            <v>0</v>
          </cell>
          <cell r="H2854" t="str">
            <v>60/61</v>
          </cell>
        </row>
        <row r="2855">
          <cell r="F2855">
            <v>78.52</v>
          </cell>
          <cell r="G2855">
            <v>0</v>
          </cell>
          <cell r="H2855" t="str">
            <v>60/61</v>
          </cell>
        </row>
        <row r="2856">
          <cell r="F2856">
            <v>55.88</v>
          </cell>
          <cell r="G2856">
            <v>0</v>
          </cell>
          <cell r="H2856" t="str">
            <v>60/61</v>
          </cell>
        </row>
        <row r="2857">
          <cell r="F2857">
            <v>134.6</v>
          </cell>
          <cell r="G2857">
            <v>0</v>
          </cell>
          <cell r="H2857" t="str">
            <v>60/61</v>
          </cell>
        </row>
        <row r="2858">
          <cell r="F2858">
            <v>7.2</v>
          </cell>
          <cell r="G2858">
            <v>0</v>
          </cell>
          <cell r="H2858" t="str">
            <v>60/61</v>
          </cell>
        </row>
        <row r="2859">
          <cell r="F2859">
            <v>62112.25</v>
          </cell>
          <cell r="G2859">
            <v>0</v>
          </cell>
          <cell r="H2859" t="str">
            <v>60/61</v>
          </cell>
        </row>
        <row r="2860">
          <cell r="F2860">
            <v>4.83</v>
          </cell>
          <cell r="G2860">
            <v>0</v>
          </cell>
          <cell r="H2860" t="str">
            <v>60/61</v>
          </cell>
        </row>
        <row r="2861">
          <cell r="F2861">
            <v>9.9999999999997868E-3</v>
          </cell>
          <cell r="G2861">
            <v>0</v>
          </cell>
          <cell r="H2861" t="str">
            <v>60/61</v>
          </cell>
        </row>
        <row r="2862">
          <cell r="F2862">
            <v>11.11</v>
          </cell>
          <cell r="G2862">
            <v>0</v>
          </cell>
          <cell r="H2862" t="str">
            <v>60/61</v>
          </cell>
        </row>
        <row r="2863">
          <cell r="F2863">
            <v>3.34</v>
          </cell>
          <cell r="G2863">
            <v>0</v>
          </cell>
          <cell r="H2863" t="str">
            <v>60/61</v>
          </cell>
        </row>
        <row r="2864">
          <cell r="F2864">
            <v>164.04</v>
          </cell>
          <cell r="G2864">
            <v>0</v>
          </cell>
          <cell r="H2864" t="str">
            <v>60/61</v>
          </cell>
        </row>
        <row r="2865">
          <cell r="F2865">
            <v>123.39</v>
          </cell>
          <cell r="G2865">
            <v>0</v>
          </cell>
          <cell r="H2865" t="str">
            <v>60/61</v>
          </cell>
        </row>
        <row r="2866">
          <cell r="F2866">
            <v>0</v>
          </cell>
          <cell r="G2866">
            <v>0</v>
          </cell>
          <cell r="H2866" t="str">
            <v>60/61</v>
          </cell>
        </row>
        <row r="2867">
          <cell r="F2867">
            <v>0</v>
          </cell>
          <cell r="G2867">
            <v>0</v>
          </cell>
          <cell r="H2867" t="str">
            <v>60/61</v>
          </cell>
        </row>
        <row r="2868">
          <cell r="F2868">
            <v>21.93</v>
          </cell>
          <cell r="G2868">
            <v>0</v>
          </cell>
          <cell r="H2868" t="str">
            <v>60/61</v>
          </cell>
        </row>
        <row r="2869">
          <cell r="F2869">
            <v>93.65</v>
          </cell>
          <cell r="G2869">
            <v>0</v>
          </cell>
          <cell r="H2869" t="str">
            <v>60/61</v>
          </cell>
        </row>
        <row r="2870">
          <cell r="F2870">
            <v>-1.0000000000000009E-2</v>
          </cell>
          <cell r="G2870">
            <v>0</v>
          </cell>
          <cell r="H2870" t="str">
            <v>60/61</v>
          </cell>
        </row>
        <row r="2871">
          <cell r="F2871">
            <v>18648.3</v>
          </cell>
          <cell r="G2871">
            <v>0</v>
          </cell>
          <cell r="H2871" t="str">
            <v>60/61</v>
          </cell>
        </row>
        <row r="2872">
          <cell r="F2872">
            <v>62.93</v>
          </cell>
          <cell r="G2872">
            <v>0</v>
          </cell>
          <cell r="H2872" t="str">
            <v>60/61</v>
          </cell>
        </row>
        <row r="2873">
          <cell r="F2873">
            <v>224.13</v>
          </cell>
          <cell r="G2873">
            <v>0</v>
          </cell>
          <cell r="H2873" t="str">
            <v>60/61</v>
          </cell>
        </row>
        <row r="2874">
          <cell r="F2874">
            <v>127.99</v>
          </cell>
          <cell r="G2874">
            <v>0</v>
          </cell>
          <cell r="H2874" t="str">
            <v>60/61</v>
          </cell>
        </row>
        <row r="2875">
          <cell r="F2875">
            <v>28.6</v>
          </cell>
          <cell r="G2875">
            <v>0</v>
          </cell>
          <cell r="H2875" t="str">
            <v>60/61</v>
          </cell>
        </row>
        <row r="2876">
          <cell r="F2876">
            <v>15.29</v>
          </cell>
          <cell r="G2876">
            <v>0</v>
          </cell>
          <cell r="H2876" t="str">
            <v>60/61</v>
          </cell>
        </row>
        <row r="2877">
          <cell r="F2877">
            <v>44.87</v>
          </cell>
          <cell r="G2877">
            <v>0</v>
          </cell>
          <cell r="H2877" t="str">
            <v>60/61</v>
          </cell>
        </row>
        <row r="2878">
          <cell r="F2878">
            <v>18422.03</v>
          </cell>
          <cell r="G2878">
            <v>0</v>
          </cell>
          <cell r="H2878" t="str">
            <v>60/61</v>
          </cell>
        </row>
        <row r="2879">
          <cell r="F2879">
            <v>67.3</v>
          </cell>
          <cell r="G2879">
            <v>0</v>
          </cell>
          <cell r="H2879" t="str">
            <v>60/61</v>
          </cell>
        </row>
        <row r="2880">
          <cell r="F2880">
            <v>14.58</v>
          </cell>
          <cell r="G2880">
            <v>0</v>
          </cell>
          <cell r="H2880" t="str">
            <v>60/61</v>
          </cell>
        </row>
        <row r="2881">
          <cell r="F2881">
            <v>78.19</v>
          </cell>
          <cell r="G2881">
            <v>0</v>
          </cell>
          <cell r="H2881" t="str">
            <v>60/61</v>
          </cell>
        </row>
        <row r="2882">
          <cell r="F2882">
            <v>74.709999999999994</v>
          </cell>
          <cell r="G2882">
            <v>0</v>
          </cell>
          <cell r="H2882" t="str">
            <v>60/61</v>
          </cell>
        </row>
        <row r="2883">
          <cell r="F2883">
            <v>18.14</v>
          </cell>
          <cell r="G2883">
            <v>0</v>
          </cell>
          <cell r="H2883" t="str">
            <v>60/61</v>
          </cell>
        </row>
        <row r="2884">
          <cell r="F2884">
            <v>0</v>
          </cell>
          <cell r="G2884">
            <v>0</v>
          </cell>
          <cell r="H2884" t="str">
            <v>60/61</v>
          </cell>
        </row>
        <row r="2885">
          <cell r="F2885">
            <v>0</v>
          </cell>
          <cell r="G2885">
            <v>0</v>
          </cell>
          <cell r="H2885" t="str">
            <v>60/61</v>
          </cell>
        </row>
        <row r="2886">
          <cell r="F2886">
            <v>190.67000000000002</v>
          </cell>
          <cell r="G2886">
            <v>0</v>
          </cell>
          <cell r="H2886" t="str">
            <v>60/61</v>
          </cell>
        </row>
        <row r="2887">
          <cell r="F2887">
            <v>191.46</v>
          </cell>
          <cell r="G2887">
            <v>0</v>
          </cell>
          <cell r="H2887" t="str">
            <v>60/61</v>
          </cell>
        </row>
        <row r="2888">
          <cell r="F2888">
            <v>138.04</v>
          </cell>
          <cell r="G2888">
            <v>0</v>
          </cell>
          <cell r="H2888" t="str">
            <v>60/61</v>
          </cell>
        </row>
        <row r="2889">
          <cell r="F2889">
            <v>464.07</v>
          </cell>
          <cell r="G2889">
            <v>0</v>
          </cell>
          <cell r="H2889" t="str">
            <v>60/61</v>
          </cell>
        </row>
        <row r="2890">
          <cell r="F2890">
            <v>817.23</v>
          </cell>
          <cell r="G2890">
            <v>0</v>
          </cell>
          <cell r="H2890" t="str">
            <v>60/61</v>
          </cell>
        </row>
        <row r="2891">
          <cell r="F2891">
            <v>17.96</v>
          </cell>
          <cell r="G2891">
            <v>0</v>
          </cell>
          <cell r="H2891" t="str">
            <v>60/61</v>
          </cell>
        </row>
        <row r="2892">
          <cell r="F2892">
            <v>59.7</v>
          </cell>
          <cell r="G2892">
            <v>0</v>
          </cell>
          <cell r="H2892" t="str">
            <v>60/61</v>
          </cell>
        </row>
        <row r="2893">
          <cell r="F2893">
            <v>55.05</v>
          </cell>
          <cell r="G2893">
            <v>0</v>
          </cell>
          <cell r="H2893" t="str">
            <v>60/61</v>
          </cell>
        </row>
        <row r="2894">
          <cell r="F2894">
            <v>61.99</v>
          </cell>
          <cell r="G2894">
            <v>0</v>
          </cell>
          <cell r="H2894" t="str">
            <v>60/61</v>
          </cell>
        </row>
        <row r="2895">
          <cell r="F2895">
            <v>81.91</v>
          </cell>
          <cell r="G2895">
            <v>0</v>
          </cell>
          <cell r="H2895" t="str">
            <v>60/61</v>
          </cell>
        </row>
        <row r="2896">
          <cell r="F2896">
            <v>149.91</v>
          </cell>
          <cell r="G2896">
            <v>0</v>
          </cell>
          <cell r="H2896" t="str">
            <v>60/61</v>
          </cell>
        </row>
        <row r="2897">
          <cell r="F2897">
            <v>186.61</v>
          </cell>
          <cell r="G2897">
            <v>0</v>
          </cell>
          <cell r="H2897" t="str">
            <v>60/61</v>
          </cell>
        </row>
        <row r="2898">
          <cell r="F2898">
            <v>114.4</v>
          </cell>
          <cell r="G2898">
            <v>0</v>
          </cell>
          <cell r="H2898" t="str">
            <v>60/61</v>
          </cell>
        </row>
        <row r="2899">
          <cell r="F2899">
            <v>1767.11</v>
          </cell>
          <cell r="G2899">
            <v>0</v>
          </cell>
          <cell r="H2899" t="str">
            <v>60/61</v>
          </cell>
        </row>
        <row r="2900">
          <cell r="F2900">
            <v>109.95</v>
          </cell>
          <cell r="G2900">
            <v>0</v>
          </cell>
          <cell r="H2900" t="str">
            <v>60/61</v>
          </cell>
        </row>
        <row r="2901">
          <cell r="F2901">
            <v>39.75</v>
          </cell>
          <cell r="G2901">
            <v>0</v>
          </cell>
          <cell r="H2901" t="str">
            <v>60/61</v>
          </cell>
        </row>
        <row r="2902">
          <cell r="F2902">
            <v>643.21</v>
          </cell>
          <cell r="G2902">
            <v>0</v>
          </cell>
          <cell r="H2902" t="str">
            <v>60/61</v>
          </cell>
        </row>
        <row r="2903">
          <cell r="F2903">
            <v>60.99</v>
          </cell>
          <cell r="G2903">
            <v>0</v>
          </cell>
          <cell r="H2903" t="str">
            <v>60/61</v>
          </cell>
        </row>
        <row r="2904">
          <cell r="F2904">
            <v>0</v>
          </cell>
          <cell r="G2904">
            <v>0</v>
          </cell>
          <cell r="H2904" t="str">
            <v>60/61</v>
          </cell>
        </row>
        <row r="2905">
          <cell r="F2905">
            <v>123.04</v>
          </cell>
          <cell r="G2905">
            <v>0</v>
          </cell>
          <cell r="H2905" t="str">
            <v>60/61</v>
          </cell>
        </row>
        <row r="2906">
          <cell r="F2906">
            <v>63.38</v>
          </cell>
          <cell r="G2906">
            <v>0</v>
          </cell>
          <cell r="H2906" t="str">
            <v>60/61</v>
          </cell>
        </row>
        <row r="2907">
          <cell r="F2907">
            <v>29.04</v>
          </cell>
          <cell r="G2907">
            <v>0</v>
          </cell>
          <cell r="H2907" t="str">
            <v>60/61</v>
          </cell>
        </row>
        <row r="2908">
          <cell r="F2908">
            <v>18.77</v>
          </cell>
          <cell r="G2908">
            <v>0</v>
          </cell>
          <cell r="H2908" t="str">
            <v>60/61</v>
          </cell>
        </row>
        <row r="2909">
          <cell r="F2909">
            <v>106.55</v>
          </cell>
          <cell r="G2909">
            <v>0</v>
          </cell>
          <cell r="H2909" t="str">
            <v>60/61</v>
          </cell>
        </row>
        <row r="2910">
          <cell r="F2910">
            <v>81.93</v>
          </cell>
          <cell r="G2910">
            <v>0</v>
          </cell>
          <cell r="H2910" t="str">
            <v>60/61</v>
          </cell>
        </row>
        <row r="2911">
          <cell r="F2911">
            <v>26.18</v>
          </cell>
          <cell r="G2911">
            <v>0</v>
          </cell>
          <cell r="H2911" t="str">
            <v>60/61</v>
          </cell>
        </row>
        <row r="2912">
          <cell r="F2912">
            <v>160.56</v>
          </cell>
          <cell r="G2912">
            <v>0</v>
          </cell>
          <cell r="H2912" t="str">
            <v>60/61</v>
          </cell>
        </row>
        <row r="2913">
          <cell r="F2913">
            <v>28.82</v>
          </cell>
          <cell r="G2913">
            <v>0</v>
          </cell>
          <cell r="H2913" t="str">
            <v>60/61</v>
          </cell>
        </row>
        <row r="2914">
          <cell r="F2914">
            <v>38.840000000000003</v>
          </cell>
          <cell r="G2914">
            <v>0</v>
          </cell>
          <cell r="H2914" t="str">
            <v>60/61</v>
          </cell>
        </row>
        <row r="2915">
          <cell r="F2915">
            <v>230.93</v>
          </cell>
          <cell r="G2915">
            <v>0</v>
          </cell>
          <cell r="H2915" t="str">
            <v>60/61</v>
          </cell>
        </row>
        <row r="2916">
          <cell r="F2916">
            <v>519.61</v>
          </cell>
          <cell r="G2916">
            <v>0</v>
          </cell>
          <cell r="H2916" t="str">
            <v>60/61</v>
          </cell>
        </row>
        <row r="2917">
          <cell r="F2917">
            <v>8.84</v>
          </cell>
          <cell r="G2917">
            <v>0</v>
          </cell>
          <cell r="H2917" t="str">
            <v>60/61</v>
          </cell>
        </row>
        <row r="2918">
          <cell r="F2918">
            <v>2.81</v>
          </cell>
          <cell r="G2918">
            <v>0</v>
          </cell>
          <cell r="H2918" t="str">
            <v>60/61</v>
          </cell>
        </row>
        <row r="2919">
          <cell r="F2919">
            <v>552.75</v>
          </cell>
          <cell r="G2919">
            <v>0</v>
          </cell>
          <cell r="H2919" t="str">
            <v>60/61</v>
          </cell>
        </row>
        <row r="2920">
          <cell r="F2920">
            <v>923.02</v>
          </cell>
          <cell r="G2920">
            <v>0</v>
          </cell>
          <cell r="H2920" t="str">
            <v>60/61</v>
          </cell>
        </row>
        <row r="2921">
          <cell r="F2921">
            <v>59</v>
          </cell>
          <cell r="G2921">
            <v>0</v>
          </cell>
          <cell r="H2921" t="str">
            <v>60/61</v>
          </cell>
        </row>
        <row r="2922">
          <cell r="F2922">
            <v>1644.17</v>
          </cell>
          <cell r="G2922">
            <v>0</v>
          </cell>
          <cell r="H2922" t="str">
            <v>60/61</v>
          </cell>
        </row>
        <row r="2923">
          <cell r="F2923">
            <v>132.88999999999999</v>
          </cell>
          <cell r="G2923">
            <v>0</v>
          </cell>
          <cell r="H2923" t="str">
            <v>60/61</v>
          </cell>
        </row>
        <row r="2924">
          <cell r="F2924">
            <v>59</v>
          </cell>
          <cell r="G2924">
            <v>0</v>
          </cell>
          <cell r="H2924" t="str">
            <v>60/61</v>
          </cell>
        </row>
        <row r="2925">
          <cell r="F2925">
            <v>2308.08</v>
          </cell>
          <cell r="G2925">
            <v>0</v>
          </cell>
          <cell r="H2925" t="str">
            <v>60/61</v>
          </cell>
        </row>
        <row r="2926">
          <cell r="F2926">
            <v>349.28</v>
          </cell>
          <cell r="G2926">
            <v>0</v>
          </cell>
          <cell r="H2926" t="str">
            <v>60/61</v>
          </cell>
        </row>
        <row r="2927">
          <cell r="F2927">
            <v>99</v>
          </cell>
          <cell r="G2927">
            <v>0</v>
          </cell>
          <cell r="H2927" t="str">
            <v>60/61</v>
          </cell>
        </row>
        <row r="2928">
          <cell r="F2928">
            <v>288.14</v>
          </cell>
          <cell r="G2928">
            <v>0</v>
          </cell>
          <cell r="H2928" t="str">
            <v>60/61</v>
          </cell>
        </row>
        <row r="2929">
          <cell r="F2929">
            <v>11.21</v>
          </cell>
          <cell r="G2929">
            <v>0</v>
          </cell>
          <cell r="H2929" t="str">
            <v>60/61</v>
          </cell>
        </row>
        <row r="2930">
          <cell r="F2930">
            <v>1087.79</v>
          </cell>
          <cell r="G2930">
            <v>0</v>
          </cell>
          <cell r="H2930" t="str">
            <v>60/61</v>
          </cell>
        </row>
        <row r="2931">
          <cell r="F2931">
            <v>11.210000000000008</v>
          </cell>
          <cell r="G2931">
            <v>0</v>
          </cell>
          <cell r="H2931" t="str">
            <v>60/61</v>
          </cell>
        </row>
        <row r="2932">
          <cell r="F2932">
            <v>1413.05</v>
          </cell>
          <cell r="G2932">
            <v>0</v>
          </cell>
          <cell r="H2932" t="str">
            <v>60/61</v>
          </cell>
        </row>
        <row r="2933">
          <cell r="F2933">
            <v>178.52</v>
          </cell>
          <cell r="G2933">
            <v>0</v>
          </cell>
          <cell r="H2933" t="str">
            <v>60/61</v>
          </cell>
        </row>
        <row r="2934">
          <cell r="F2934">
            <v>55.39</v>
          </cell>
          <cell r="G2934">
            <v>0</v>
          </cell>
          <cell r="H2934" t="str">
            <v>60/61</v>
          </cell>
        </row>
        <row r="2935">
          <cell r="F2935">
            <v>54</v>
          </cell>
          <cell r="G2935">
            <v>0</v>
          </cell>
          <cell r="H2935" t="str">
            <v>60/61</v>
          </cell>
        </row>
        <row r="2936">
          <cell r="F2936">
            <v>77.7</v>
          </cell>
          <cell r="G2936">
            <v>0</v>
          </cell>
          <cell r="H2936" t="str">
            <v>60/61</v>
          </cell>
        </row>
        <row r="2937">
          <cell r="F2937">
            <v>113.18</v>
          </cell>
          <cell r="G2937">
            <v>0</v>
          </cell>
          <cell r="H2937" t="str">
            <v>60/61</v>
          </cell>
        </row>
        <row r="2938">
          <cell r="F2938">
            <v>206.41</v>
          </cell>
          <cell r="G2938">
            <v>0</v>
          </cell>
          <cell r="H2938" t="str">
            <v>60/61</v>
          </cell>
        </row>
        <row r="2939">
          <cell r="F2939">
            <v>24.319999999999993</v>
          </cell>
          <cell r="G2939">
            <v>0</v>
          </cell>
          <cell r="H2939" t="str">
            <v>60/61</v>
          </cell>
        </row>
        <row r="2940">
          <cell r="F2940">
            <v>427.54</v>
          </cell>
          <cell r="G2940">
            <v>0</v>
          </cell>
          <cell r="H2940" t="str">
            <v>60/61</v>
          </cell>
        </row>
        <row r="2941">
          <cell r="F2941">
            <v>3054.03</v>
          </cell>
          <cell r="G2941">
            <v>0</v>
          </cell>
          <cell r="H2941" t="str">
            <v>60/61</v>
          </cell>
        </row>
        <row r="2942">
          <cell r="F2942">
            <v>325.7</v>
          </cell>
          <cell r="G2942">
            <v>0</v>
          </cell>
          <cell r="H2942" t="str">
            <v>60/61</v>
          </cell>
        </row>
        <row r="2943">
          <cell r="F2943">
            <v>1415.99</v>
          </cell>
          <cell r="G2943">
            <v>0</v>
          </cell>
          <cell r="H2943" t="str">
            <v>60/61</v>
          </cell>
        </row>
        <row r="2944">
          <cell r="F2944">
            <v>4.269999999999996</v>
          </cell>
          <cell r="G2944">
            <v>0</v>
          </cell>
          <cell r="H2944" t="str">
            <v>60/61</v>
          </cell>
        </row>
        <row r="2945">
          <cell r="F2945">
            <v>276.69</v>
          </cell>
          <cell r="G2945">
            <v>0</v>
          </cell>
          <cell r="H2945" t="str">
            <v>60/61</v>
          </cell>
        </row>
        <row r="2946">
          <cell r="F2946">
            <v>230.08</v>
          </cell>
          <cell r="G2946">
            <v>0</v>
          </cell>
          <cell r="H2946" t="str">
            <v>60/61</v>
          </cell>
        </row>
        <row r="2947">
          <cell r="F2947">
            <v>170.09</v>
          </cell>
          <cell r="G2947">
            <v>0</v>
          </cell>
          <cell r="H2947" t="str">
            <v>60/61</v>
          </cell>
        </row>
        <row r="2948">
          <cell r="F2948">
            <v>294</v>
          </cell>
          <cell r="G2948">
            <v>0</v>
          </cell>
          <cell r="H2948" t="str">
            <v>60/61</v>
          </cell>
        </row>
        <row r="2949">
          <cell r="F2949">
            <v>149.94</v>
          </cell>
          <cell r="G2949">
            <v>0</v>
          </cell>
          <cell r="H2949" t="str">
            <v>60/61</v>
          </cell>
        </row>
        <row r="2950">
          <cell r="F2950">
            <v>112.45</v>
          </cell>
          <cell r="G2950">
            <v>0</v>
          </cell>
          <cell r="H2950" t="str">
            <v>60/61</v>
          </cell>
        </row>
        <row r="2951">
          <cell r="F2951">
            <v>1106.77</v>
          </cell>
          <cell r="G2951">
            <v>0</v>
          </cell>
          <cell r="H2951" t="str">
            <v>60/61</v>
          </cell>
        </row>
        <row r="2952">
          <cell r="F2952">
            <v>138.35</v>
          </cell>
          <cell r="G2952">
            <v>0</v>
          </cell>
          <cell r="H2952" t="str">
            <v>60/61</v>
          </cell>
        </row>
        <row r="2953">
          <cell r="F2953">
            <v>207.54</v>
          </cell>
          <cell r="G2953">
            <v>0</v>
          </cell>
          <cell r="H2953" t="str">
            <v>60/61</v>
          </cell>
        </row>
        <row r="2954">
          <cell r="F2954">
            <v>415.04</v>
          </cell>
          <cell r="G2954">
            <v>0</v>
          </cell>
          <cell r="H2954" t="str">
            <v>60/61</v>
          </cell>
        </row>
        <row r="2955">
          <cell r="F2955">
            <v>114.36</v>
          </cell>
          <cell r="G2955">
            <v>0</v>
          </cell>
          <cell r="H2955" t="str">
            <v>60/61</v>
          </cell>
        </row>
        <row r="2956">
          <cell r="F2956">
            <v>414.47</v>
          </cell>
          <cell r="G2956">
            <v>0</v>
          </cell>
          <cell r="H2956" t="str">
            <v>60/61</v>
          </cell>
        </row>
        <row r="2957">
          <cell r="F2957">
            <v>826.56</v>
          </cell>
          <cell r="G2957">
            <v>0</v>
          </cell>
          <cell r="H2957" t="str">
            <v>60/61</v>
          </cell>
        </row>
        <row r="2958">
          <cell r="F2958">
            <v>64.22</v>
          </cell>
          <cell r="G2958">
            <v>0</v>
          </cell>
          <cell r="H2958" t="str">
            <v>60/61</v>
          </cell>
        </row>
        <row r="2959">
          <cell r="F2959">
            <v>72.86</v>
          </cell>
          <cell r="G2959">
            <v>0</v>
          </cell>
          <cell r="H2959" t="str">
            <v>60/61</v>
          </cell>
        </row>
        <row r="2960">
          <cell r="F2960">
            <v>169.41</v>
          </cell>
          <cell r="G2960">
            <v>0</v>
          </cell>
          <cell r="H2960" t="str">
            <v>60/61</v>
          </cell>
        </row>
        <row r="2961">
          <cell r="F2961">
            <v>1626.71</v>
          </cell>
          <cell r="G2961">
            <v>0</v>
          </cell>
          <cell r="H2961" t="str">
            <v>60/61</v>
          </cell>
        </row>
        <row r="2962">
          <cell r="F2962">
            <v>1936.89</v>
          </cell>
          <cell r="G2962">
            <v>0</v>
          </cell>
          <cell r="H2962" t="str">
            <v>60/61</v>
          </cell>
        </row>
        <row r="2963">
          <cell r="F2963">
            <v>2026.8</v>
          </cell>
          <cell r="G2963">
            <v>0</v>
          </cell>
          <cell r="H2963" t="str">
            <v>60/61</v>
          </cell>
        </row>
        <row r="2964">
          <cell r="F2964">
            <v>607.71</v>
          </cell>
          <cell r="G2964">
            <v>0</v>
          </cell>
          <cell r="H2964" t="str">
            <v>60/61</v>
          </cell>
        </row>
        <row r="2965">
          <cell r="F2965">
            <v>640.98</v>
          </cell>
          <cell r="G2965">
            <v>0</v>
          </cell>
          <cell r="H2965" t="str">
            <v>60/61</v>
          </cell>
        </row>
        <row r="2966">
          <cell r="F2966">
            <v>760.93</v>
          </cell>
          <cell r="G2966">
            <v>0</v>
          </cell>
          <cell r="H2966" t="str">
            <v>60/61</v>
          </cell>
        </row>
        <row r="2967">
          <cell r="F2967">
            <v>506.21</v>
          </cell>
          <cell r="G2967">
            <v>0</v>
          </cell>
          <cell r="H2967" t="str">
            <v>60/61</v>
          </cell>
        </row>
        <row r="2968">
          <cell r="F2968">
            <v>1216.99</v>
          </cell>
          <cell r="G2968">
            <v>0</v>
          </cell>
          <cell r="H2968" t="str">
            <v>60/61</v>
          </cell>
        </row>
        <row r="2969">
          <cell r="F2969">
            <v>124.44</v>
          </cell>
          <cell r="G2969">
            <v>0</v>
          </cell>
          <cell r="H2969" t="str">
            <v>60/61</v>
          </cell>
        </row>
        <row r="2970">
          <cell r="F2970">
            <v>778.93</v>
          </cell>
          <cell r="G2970">
            <v>0</v>
          </cell>
          <cell r="H2970" t="str">
            <v>60/61</v>
          </cell>
        </row>
        <row r="2971">
          <cell r="F2971">
            <v>592.02</v>
          </cell>
          <cell r="G2971">
            <v>0</v>
          </cell>
          <cell r="H2971" t="str">
            <v>60/61</v>
          </cell>
        </row>
        <row r="2972">
          <cell r="F2972">
            <v>534.11</v>
          </cell>
          <cell r="G2972">
            <v>0</v>
          </cell>
          <cell r="H2972" t="str">
            <v>60/61</v>
          </cell>
        </row>
        <row r="2973">
          <cell r="F2973">
            <v>288.33999999999997</v>
          </cell>
          <cell r="G2973">
            <v>0</v>
          </cell>
          <cell r="H2973" t="str">
            <v>60/61</v>
          </cell>
        </row>
        <row r="2974">
          <cell r="F2974">
            <v>0</v>
          </cell>
          <cell r="G2974">
            <v>0</v>
          </cell>
          <cell r="H2974" t="str">
            <v>60/61</v>
          </cell>
        </row>
        <row r="2975">
          <cell r="F2975">
            <v>1083.75</v>
          </cell>
          <cell r="G2975">
            <v>0</v>
          </cell>
          <cell r="H2975" t="str">
            <v>60/61</v>
          </cell>
        </row>
        <row r="2976">
          <cell r="F2976">
            <v>591.48</v>
          </cell>
          <cell r="G2976">
            <v>0</v>
          </cell>
          <cell r="H2976" t="str">
            <v>60/61</v>
          </cell>
        </row>
        <row r="2977">
          <cell r="F2977">
            <v>664.74</v>
          </cell>
          <cell r="G2977">
            <v>0</v>
          </cell>
          <cell r="H2977" t="str">
            <v>60/61</v>
          </cell>
        </row>
        <row r="2978">
          <cell r="F2978">
            <v>1080.79</v>
          </cell>
          <cell r="G2978">
            <v>0</v>
          </cell>
          <cell r="H2978" t="str">
            <v>60/61</v>
          </cell>
        </row>
        <row r="2979">
          <cell r="F2979">
            <v>581.61</v>
          </cell>
          <cell r="G2979">
            <v>0</v>
          </cell>
          <cell r="H2979" t="str">
            <v>60/61</v>
          </cell>
        </row>
        <row r="2980">
          <cell r="F2980">
            <v>535.03</v>
          </cell>
          <cell r="G2980">
            <v>0</v>
          </cell>
          <cell r="H2980" t="str">
            <v>60/61</v>
          </cell>
        </row>
        <row r="2981">
          <cell r="F2981">
            <v>490.08</v>
          </cell>
          <cell r="G2981">
            <v>0</v>
          </cell>
          <cell r="H2981" t="str">
            <v>60/61</v>
          </cell>
        </row>
        <row r="2982">
          <cell r="F2982">
            <v>87.549999999999983</v>
          </cell>
          <cell r="G2982">
            <v>0</v>
          </cell>
          <cell r="H2982" t="str">
            <v>60/61</v>
          </cell>
        </row>
        <row r="2983">
          <cell r="F2983">
            <v>0.60999999999999943</v>
          </cell>
          <cell r="G2983">
            <v>0</v>
          </cell>
          <cell r="H2983" t="str">
            <v>60/61</v>
          </cell>
        </row>
        <row r="2984">
          <cell r="F2984">
            <v>2.269999999999996</v>
          </cell>
          <cell r="G2984">
            <v>0</v>
          </cell>
          <cell r="H2984" t="str">
            <v>60/61</v>
          </cell>
        </row>
        <row r="2985">
          <cell r="F2985">
            <v>33.53</v>
          </cell>
          <cell r="G2985">
            <v>0</v>
          </cell>
          <cell r="H2985" t="str">
            <v>60/61</v>
          </cell>
        </row>
        <row r="2986">
          <cell r="F2986">
            <v>172.22</v>
          </cell>
          <cell r="G2986">
            <v>0</v>
          </cell>
          <cell r="H2986" t="str">
            <v>60/61</v>
          </cell>
        </row>
        <row r="2987">
          <cell r="F2987">
            <v>119.6</v>
          </cell>
          <cell r="G2987">
            <v>0</v>
          </cell>
          <cell r="H2987" t="str">
            <v>60/61</v>
          </cell>
        </row>
        <row r="2988">
          <cell r="F2988">
            <v>238.06</v>
          </cell>
          <cell r="G2988">
            <v>0</v>
          </cell>
          <cell r="H2988" t="str">
            <v>60/61</v>
          </cell>
        </row>
        <row r="2989">
          <cell r="F2989">
            <v>1221.8800000000001</v>
          </cell>
          <cell r="G2989">
            <v>0</v>
          </cell>
          <cell r="H2989" t="str">
            <v>60/61</v>
          </cell>
        </row>
        <row r="2990">
          <cell r="F2990">
            <v>760.93</v>
          </cell>
          <cell r="G2990">
            <v>0</v>
          </cell>
          <cell r="H2990" t="str">
            <v>60/61</v>
          </cell>
        </row>
        <row r="2991">
          <cell r="F2991">
            <v>1609.75</v>
          </cell>
          <cell r="G2991">
            <v>0</v>
          </cell>
          <cell r="H2991" t="str">
            <v>60/61</v>
          </cell>
        </row>
        <row r="2992">
          <cell r="F2992">
            <v>1314.31</v>
          </cell>
          <cell r="G2992">
            <v>0</v>
          </cell>
          <cell r="H2992" t="str">
            <v>60/61</v>
          </cell>
        </row>
        <row r="2993">
          <cell r="F2993">
            <v>125.22</v>
          </cell>
          <cell r="G2993">
            <v>0</v>
          </cell>
          <cell r="H2993" t="str">
            <v>60/61</v>
          </cell>
        </row>
        <row r="2994">
          <cell r="F2994">
            <v>97.28</v>
          </cell>
          <cell r="G2994">
            <v>0</v>
          </cell>
          <cell r="H2994" t="str">
            <v>60/61</v>
          </cell>
        </row>
        <row r="2995">
          <cell r="F2995">
            <v>27.34</v>
          </cell>
          <cell r="G2995">
            <v>0</v>
          </cell>
          <cell r="H2995" t="str">
            <v>60/61</v>
          </cell>
        </row>
        <row r="2996">
          <cell r="F2996">
            <v>382.51</v>
          </cell>
          <cell r="G2996">
            <v>0</v>
          </cell>
          <cell r="H2996" t="str">
            <v>60/61</v>
          </cell>
        </row>
        <row r="2997">
          <cell r="F2997">
            <v>2213.59</v>
          </cell>
          <cell r="G2997">
            <v>0</v>
          </cell>
          <cell r="H2997" t="str">
            <v>60/61</v>
          </cell>
        </row>
        <row r="2998">
          <cell r="F2998">
            <v>97.28</v>
          </cell>
          <cell r="G2998">
            <v>0</v>
          </cell>
          <cell r="H2998" t="str">
            <v>60/61</v>
          </cell>
        </row>
        <row r="2999">
          <cell r="F2999">
            <v>881.96</v>
          </cell>
          <cell r="G2999">
            <v>0</v>
          </cell>
          <cell r="H2999" t="str">
            <v>60/61</v>
          </cell>
        </row>
        <row r="3000">
          <cell r="F3000">
            <v>224.89</v>
          </cell>
          <cell r="G3000">
            <v>0</v>
          </cell>
          <cell r="H3000" t="str">
            <v>60/61</v>
          </cell>
        </row>
        <row r="3001">
          <cell r="F3001">
            <v>2144.44</v>
          </cell>
          <cell r="G3001">
            <v>0</v>
          </cell>
          <cell r="H3001" t="str">
            <v>60/61</v>
          </cell>
        </row>
        <row r="3002">
          <cell r="F3002">
            <v>1502.54</v>
          </cell>
          <cell r="G3002">
            <v>0</v>
          </cell>
          <cell r="H3002" t="str">
            <v>60/61</v>
          </cell>
        </row>
        <row r="3003">
          <cell r="F3003">
            <v>691.73</v>
          </cell>
          <cell r="G3003">
            <v>0</v>
          </cell>
          <cell r="H3003" t="str">
            <v>60/61</v>
          </cell>
        </row>
        <row r="3004">
          <cell r="F3004">
            <v>40.930000000000007</v>
          </cell>
          <cell r="G3004">
            <v>0</v>
          </cell>
          <cell r="H3004" t="str">
            <v>60/61</v>
          </cell>
        </row>
        <row r="3005">
          <cell r="F3005">
            <v>442.07</v>
          </cell>
          <cell r="G3005">
            <v>0</v>
          </cell>
          <cell r="H3005" t="str">
            <v>60/61</v>
          </cell>
        </row>
        <row r="3006">
          <cell r="F3006">
            <v>694.65</v>
          </cell>
          <cell r="G3006">
            <v>0</v>
          </cell>
          <cell r="H3006" t="str">
            <v>60/61</v>
          </cell>
        </row>
        <row r="3007">
          <cell r="F3007">
            <v>93.39</v>
          </cell>
          <cell r="G3007">
            <v>0</v>
          </cell>
          <cell r="H3007" t="str">
            <v>60/61</v>
          </cell>
        </row>
        <row r="3008">
          <cell r="F3008">
            <v>560.66999999999996</v>
          </cell>
          <cell r="G3008">
            <v>0</v>
          </cell>
          <cell r="H3008" t="str">
            <v>60/61</v>
          </cell>
        </row>
        <row r="3009">
          <cell r="F3009">
            <v>843.38</v>
          </cell>
          <cell r="G3009">
            <v>0</v>
          </cell>
          <cell r="H3009" t="str">
            <v>60/61</v>
          </cell>
        </row>
        <row r="3010">
          <cell r="F3010">
            <v>415.04</v>
          </cell>
          <cell r="G3010">
            <v>0</v>
          </cell>
          <cell r="H3010" t="str">
            <v>60/61</v>
          </cell>
        </row>
        <row r="3011">
          <cell r="F3011">
            <v>27.620000000000005</v>
          </cell>
          <cell r="G3011">
            <v>0</v>
          </cell>
          <cell r="H3011" t="str">
            <v>60/61</v>
          </cell>
        </row>
        <row r="3012">
          <cell r="F3012">
            <v>171.83</v>
          </cell>
          <cell r="G3012">
            <v>0</v>
          </cell>
          <cell r="H3012" t="str">
            <v>60/61</v>
          </cell>
        </row>
        <row r="3013">
          <cell r="F3013">
            <v>134.94</v>
          </cell>
          <cell r="G3013">
            <v>0</v>
          </cell>
          <cell r="H3013" t="str">
            <v>60/61</v>
          </cell>
        </row>
        <row r="3014">
          <cell r="F3014">
            <v>691.73</v>
          </cell>
          <cell r="G3014">
            <v>0</v>
          </cell>
          <cell r="H3014" t="str">
            <v>60/61</v>
          </cell>
        </row>
        <row r="3015">
          <cell r="F3015">
            <v>138.35</v>
          </cell>
          <cell r="G3015">
            <v>0</v>
          </cell>
          <cell r="H3015" t="str">
            <v>60/61</v>
          </cell>
        </row>
        <row r="3016">
          <cell r="F3016">
            <v>119.86</v>
          </cell>
          <cell r="G3016">
            <v>0</v>
          </cell>
          <cell r="H3016" t="str">
            <v>60/61</v>
          </cell>
        </row>
        <row r="3017">
          <cell r="F3017">
            <v>276.69</v>
          </cell>
          <cell r="G3017">
            <v>0</v>
          </cell>
          <cell r="H3017" t="str">
            <v>60/61</v>
          </cell>
        </row>
        <row r="3018">
          <cell r="F3018">
            <v>224.89</v>
          </cell>
          <cell r="G3018">
            <v>0</v>
          </cell>
          <cell r="H3018" t="str">
            <v>60/61</v>
          </cell>
        </row>
        <row r="3019">
          <cell r="F3019">
            <v>760.93</v>
          </cell>
          <cell r="G3019">
            <v>0</v>
          </cell>
          <cell r="H3019" t="str">
            <v>60/61</v>
          </cell>
        </row>
        <row r="3020">
          <cell r="F3020">
            <v>691.73</v>
          </cell>
          <cell r="G3020">
            <v>0</v>
          </cell>
          <cell r="H3020" t="str">
            <v>60/61</v>
          </cell>
        </row>
        <row r="3021">
          <cell r="F3021">
            <v>1438.71</v>
          </cell>
          <cell r="G3021">
            <v>0</v>
          </cell>
          <cell r="H3021" t="str">
            <v>60/61</v>
          </cell>
        </row>
        <row r="3022">
          <cell r="F3022">
            <v>3.519999999999996</v>
          </cell>
          <cell r="G3022">
            <v>0</v>
          </cell>
          <cell r="H3022" t="str">
            <v>60/61</v>
          </cell>
        </row>
        <row r="3023">
          <cell r="F3023">
            <v>729.18</v>
          </cell>
          <cell r="G3023">
            <v>0</v>
          </cell>
          <cell r="H3023" t="str">
            <v>60/61</v>
          </cell>
        </row>
        <row r="3024">
          <cell r="F3024">
            <v>2.3599999999999994</v>
          </cell>
          <cell r="G3024">
            <v>0</v>
          </cell>
          <cell r="H3024" t="str">
            <v>60/61</v>
          </cell>
        </row>
        <row r="3025">
          <cell r="F3025">
            <v>44.39</v>
          </cell>
          <cell r="G3025">
            <v>0</v>
          </cell>
          <cell r="H3025" t="str">
            <v>60/61</v>
          </cell>
        </row>
        <row r="3026">
          <cell r="F3026">
            <v>298.14</v>
          </cell>
          <cell r="G3026">
            <v>0</v>
          </cell>
          <cell r="H3026" t="str">
            <v>60/61</v>
          </cell>
        </row>
        <row r="3027">
          <cell r="F3027">
            <v>207.54</v>
          </cell>
          <cell r="G3027">
            <v>0</v>
          </cell>
          <cell r="H3027" t="str">
            <v>60/61</v>
          </cell>
        </row>
        <row r="3028">
          <cell r="F3028">
            <v>2187.35</v>
          </cell>
          <cell r="G3028">
            <v>0</v>
          </cell>
          <cell r="H3028" t="str">
            <v>60/61</v>
          </cell>
        </row>
        <row r="3029">
          <cell r="F3029">
            <v>886.75</v>
          </cell>
          <cell r="G3029">
            <v>0</v>
          </cell>
          <cell r="H3029" t="str">
            <v>60/61</v>
          </cell>
        </row>
        <row r="3030">
          <cell r="F3030">
            <v>313.10000000000002</v>
          </cell>
          <cell r="G3030">
            <v>0</v>
          </cell>
          <cell r="H3030" t="str">
            <v>60/61</v>
          </cell>
        </row>
        <row r="3031">
          <cell r="F3031">
            <v>13.950000000000017</v>
          </cell>
          <cell r="G3031">
            <v>0</v>
          </cell>
          <cell r="H3031" t="str">
            <v>60/61</v>
          </cell>
        </row>
        <row r="3032">
          <cell r="F3032">
            <v>37.89</v>
          </cell>
          <cell r="G3032">
            <v>0</v>
          </cell>
          <cell r="H3032" t="str">
            <v>60/61</v>
          </cell>
        </row>
        <row r="3033">
          <cell r="F3033">
            <v>69.19</v>
          </cell>
          <cell r="G3033">
            <v>0</v>
          </cell>
          <cell r="H3033" t="str">
            <v>60/61</v>
          </cell>
        </row>
        <row r="3034">
          <cell r="F3034">
            <v>196.95</v>
          </cell>
          <cell r="G3034">
            <v>0</v>
          </cell>
          <cell r="H3034" t="str">
            <v>60/61</v>
          </cell>
        </row>
        <row r="3035">
          <cell r="F3035">
            <v>251.01</v>
          </cell>
          <cell r="G3035">
            <v>0</v>
          </cell>
          <cell r="H3035" t="str">
            <v>60/61</v>
          </cell>
        </row>
        <row r="3036">
          <cell r="F3036">
            <v>69.150000000000006</v>
          </cell>
          <cell r="G3036">
            <v>0</v>
          </cell>
          <cell r="H3036" t="str">
            <v>60/61</v>
          </cell>
        </row>
        <row r="3037">
          <cell r="F3037">
            <v>784.07</v>
          </cell>
          <cell r="G3037">
            <v>0</v>
          </cell>
          <cell r="H3037" t="str">
            <v>60/61</v>
          </cell>
        </row>
        <row r="3038">
          <cell r="F3038">
            <v>3458.75</v>
          </cell>
          <cell r="G3038">
            <v>0</v>
          </cell>
          <cell r="H3038" t="str">
            <v>60/61</v>
          </cell>
        </row>
        <row r="3039">
          <cell r="F3039">
            <v>358.36</v>
          </cell>
          <cell r="G3039">
            <v>0</v>
          </cell>
          <cell r="H3039" t="str">
            <v>60/61</v>
          </cell>
        </row>
        <row r="3040">
          <cell r="F3040">
            <v>627.80999999999995</v>
          </cell>
          <cell r="G3040">
            <v>0</v>
          </cell>
          <cell r="H3040" t="str">
            <v>60/61</v>
          </cell>
        </row>
        <row r="3041">
          <cell r="F3041">
            <v>27.57</v>
          </cell>
          <cell r="G3041">
            <v>0</v>
          </cell>
          <cell r="H3041" t="str">
            <v>60/61</v>
          </cell>
        </row>
        <row r="3042">
          <cell r="F3042">
            <v>257.91000000000003</v>
          </cell>
          <cell r="G3042">
            <v>0</v>
          </cell>
          <cell r="H3042" t="str">
            <v>60/61</v>
          </cell>
        </row>
        <row r="3043">
          <cell r="F3043">
            <v>175.78</v>
          </cell>
          <cell r="G3043">
            <v>0</v>
          </cell>
          <cell r="H3043" t="str">
            <v>60/61</v>
          </cell>
        </row>
        <row r="3044">
          <cell r="F3044">
            <v>512.62</v>
          </cell>
          <cell r="G3044">
            <v>0</v>
          </cell>
          <cell r="H3044" t="str">
            <v>60/61</v>
          </cell>
        </row>
        <row r="3045">
          <cell r="F3045">
            <v>87.63</v>
          </cell>
          <cell r="G3045">
            <v>0</v>
          </cell>
          <cell r="H3045" t="str">
            <v>60/61</v>
          </cell>
        </row>
        <row r="3046">
          <cell r="F3046">
            <v>1.1399999999999999</v>
          </cell>
          <cell r="G3046">
            <v>0</v>
          </cell>
          <cell r="H3046" t="str">
            <v>60/61</v>
          </cell>
        </row>
        <row r="3047">
          <cell r="F3047">
            <v>20.83</v>
          </cell>
          <cell r="G3047">
            <v>0</v>
          </cell>
          <cell r="H3047" t="str">
            <v>60/61</v>
          </cell>
        </row>
        <row r="3048">
          <cell r="F3048">
            <v>105.06</v>
          </cell>
          <cell r="G3048">
            <v>0</v>
          </cell>
          <cell r="H3048" t="str">
            <v>60/61</v>
          </cell>
        </row>
        <row r="3049">
          <cell r="F3049">
            <v>14.88</v>
          </cell>
          <cell r="G3049">
            <v>0</v>
          </cell>
          <cell r="H3049" t="str">
            <v>60/61</v>
          </cell>
        </row>
        <row r="3050">
          <cell r="F3050">
            <v>28.68</v>
          </cell>
          <cell r="G3050">
            <v>0</v>
          </cell>
          <cell r="H3050" t="str">
            <v>60/61</v>
          </cell>
        </row>
        <row r="3051">
          <cell r="F3051">
            <v>8.61</v>
          </cell>
          <cell r="G3051">
            <v>0</v>
          </cell>
          <cell r="H3051" t="str">
            <v>60/61</v>
          </cell>
        </row>
        <row r="3052">
          <cell r="F3052">
            <v>378.39</v>
          </cell>
          <cell r="G3052">
            <v>0</v>
          </cell>
          <cell r="H3052" t="str">
            <v>60/61</v>
          </cell>
        </row>
        <row r="3053">
          <cell r="F3053">
            <v>425.44</v>
          </cell>
          <cell r="G3053">
            <v>0</v>
          </cell>
          <cell r="H3053" t="str">
            <v>60/61</v>
          </cell>
        </row>
        <row r="3054">
          <cell r="F3054">
            <v>233.29999999999998</v>
          </cell>
          <cell r="G3054">
            <v>0</v>
          </cell>
          <cell r="H3054" t="str">
            <v>60/61</v>
          </cell>
        </row>
        <row r="3055">
          <cell r="F3055">
            <v>129.69</v>
          </cell>
          <cell r="G3055">
            <v>0</v>
          </cell>
          <cell r="H3055" t="str">
            <v>60/61</v>
          </cell>
        </row>
        <row r="3056">
          <cell r="F3056">
            <v>102.56000000000003</v>
          </cell>
          <cell r="G3056">
            <v>0</v>
          </cell>
          <cell r="H3056" t="str">
            <v>60/61</v>
          </cell>
        </row>
        <row r="3057">
          <cell r="F3057">
            <v>188.29</v>
          </cell>
          <cell r="G3057">
            <v>0</v>
          </cell>
          <cell r="H3057" t="str">
            <v>60/61</v>
          </cell>
        </row>
        <row r="3058">
          <cell r="F3058">
            <v>542.84</v>
          </cell>
          <cell r="G3058">
            <v>0</v>
          </cell>
          <cell r="H3058" t="str">
            <v>60/61</v>
          </cell>
        </row>
        <row r="3059">
          <cell r="F3059">
            <v>5.0600000000000023</v>
          </cell>
          <cell r="G3059">
            <v>0</v>
          </cell>
          <cell r="H3059" t="str">
            <v>60/61</v>
          </cell>
        </row>
        <row r="3060">
          <cell r="F3060">
            <v>185.38</v>
          </cell>
          <cell r="G3060">
            <v>0</v>
          </cell>
          <cell r="H3060" t="str">
            <v>60/61</v>
          </cell>
        </row>
        <row r="3061">
          <cell r="F3061">
            <v>408.74</v>
          </cell>
          <cell r="G3061">
            <v>0</v>
          </cell>
          <cell r="H3061" t="str">
            <v>60/61</v>
          </cell>
        </row>
        <row r="3062">
          <cell r="F3062">
            <v>332.11</v>
          </cell>
          <cell r="G3062">
            <v>0</v>
          </cell>
          <cell r="H3062" t="str">
            <v>60/61</v>
          </cell>
        </row>
        <row r="3063">
          <cell r="F3063">
            <v>137.71</v>
          </cell>
          <cell r="G3063">
            <v>0</v>
          </cell>
          <cell r="H3063" t="str">
            <v>60/61</v>
          </cell>
        </row>
        <row r="3064">
          <cell r="F3064">
            <v>2019.39</v>
          </cell>
          <cell r="G3064">
            <v>0</v>
          </cell>
          <cell r="H3064" t="str">
            <v>60/61</v>
          </cell>
        </row>
        <row r="3065">
          <cell r="F3065">
            <v>307.94</v>
          </cell>
          <cell r="G3065">
            <v>0</v>
          </cell>
          <cell r="H3065" t="str">
            <v>60/61</v>
          </cell>
        </row>
        <row r="3066">
          <cell r="F3066">
            <v>76.09</v>
          </cell>
          <cell r="G3066">
            <v>0</v>
          </cell>
          <cell r="H3066" t="str">
            <v>60/61</v>
          </cell>
        </row>
        <row r="3067">
          <cell r="F3067">
            <v>259.12</v>
          </cell>
          <cell r="G3067">
            <v>0</v>
          </cell>
          <cell r="H3067" t="str">
            <v>60/61</v>
          </cell>
        </row>
        <row r="3068">
          <cell r="F3068">
            <v>430.39</v>
          </cell>
          <cell r="G3068">
            <v>0</v>
          </cell>
          <cell r="H3068" t="str">
            <v>60/61</v>
          </cell>
        </row>
        <row r="3069">
          <cell r="F3069">
            <v>1647.57</v>
          </cell>
          <cell r="G3069">
            <v>0</v>
          </cell>
          <cell r="H3069" t="str">
            <v>60/61</v>
          </cell>
        </row>
        <row r="3070">
          <cell r="F3070">
            <v>93.84</v>
          </cell>
          <cell r="G3070">
            <v>0</v>
          </cell>
          <cell r="H3070" t="str">
            <v>60/61</v>
          </cell>
        </row>
        <row r="3071">
          <cell r="F3071">
            <v>14.15</v>
          </cell>
          <cell r="G3071">
            <v>0</v>
          </cell>
          <cell r="H3071" t="str">
            <v>60/61</v>
          </cell>
        </row>
        <row r="3072">
          <cell r="F3072">
            <v>185.19</v>
          </cell>
          <cell r="G3072">
            <v>0</v>
          </cell>
          <cell r="H3072" t="str">
            <v>60/61</v>
          </cell>
        </row>
        <row r="3073">
          <cell r="F3073">
            <v>68.72</v>
          </cell>
          <cell r="G3073">
            <v>0</v>
          </cell>
          <cell r="H3073" t="str">
            <v>60/61</v>
          </cell>
        </row>
        <row r="3074">
          <cell r="F3074">
            <v>163.97</v>
          </cell>
          <cell r="G3074">
            <v>0</v>
          </cell>
          <cell r="H3074" t="str">
            <v>60/61</v>
          </cell>
        </row>
        <row r="3075">
          <cell r="F3075">
            <v>90.63000000000001</v>
          </cell>
          <cell r="G3075">
            <v>0</v>
          </cell>
          <cell r="H3075" t="str">
            <v>60/61</v>
          </cell>
        </row>
        <row r="3076">
          <cell r="F3076">
            <v>69.549999999999983</v>
          </cell>
          <cell r="G3076">
            <v>0</v>
          </cell>
          <cell r="H3076" t="str">
            <v>60/61</v>
          </cell>
        </row>
        <row r="3077">
          <cell r="F3077">
            <v>323.39</v>
          </cell>
          <cell r="G3077">
            <v>0</v>
          </cell>
          <cell r="H3077" t="str">
            <v>60/61</v>
          </cell>
        </row>
        <row r="3078">
          <cell r="F3078">
            <v>116.02000000000001</v>
          </cell>
          <cell r="G3078">
            <v>0</v>
          </cell>
          <cell r="H3078" t="str">
            <v>60/61</v>
          </cell>
        </row>
        <row r="3079">
          <cell r="F3079">
            <v>103.30000000000001</v>
          </cell>
          <cell r="G3079">
            <v>0</v>
          </cell>
          <cell r="H3079" t="str">
            <v>60/61</v>
          </cell>
        </row>
        <row r="3080">
          <cell r="F3080">
            <v>73.39</v>
          </cell>
          <cell r="G3080">
            <v>0</v>
          </cell>
          <cell r="H3080" t="str">
            <v>60/61</v>
          </cell>
        </row>
        <row r="3081">
          <cell r="F3081">
            <v>52.43</v>
          </cell>
          <cell r="G3081">
            <v>0</v>
          </cell>
          <cell r="H3081" t="str">
            <v>60/61</v>
          </cell>
        </row>
        <row r="3082">
          <cell r="F3082">
            <v>899.11</v>
          </cell>
          <cell r="G3082">
            <v>0</v>
          </cell>
          <cell r="H3082" t="str">
            <v>60/61</v>
          </cell>
        </row>
        <row r="3083">
          <cell r="F3083">
            <v>240.59</v>
          </cell>
          <cell r="G3083">
            <v>0</v>
          </cell>
          <cell r="H3083" t="str">
            <v>60/61</v>
          </cell>
        </row>
        <row r="3084">
          <cell r="F3084">
            <v>259.14999999999998</v>
          </cell>
          <cell r="G3084">
            <v>0</v>
          </cell>
          <cell r="H3084" t="str">
            <v>60/61</v>
          </cell>
        </row>
        <row r="3085">
          <cell r="F3085">
            <v>6.24</v>
          </cell>
          <cell r="G3085">
            <v>0</v>
          </cell>
          <cell r="H3085" t="str">
            <v>60/61</v>
          </cell>
        </row>
        <row r="3086">
          <cell r="F3086">
            <v>410.54</v>
          </cell>
          <cell r="G3086">
            <v>0</v>
          </cell>
          <cell r="H3086" t="str">
            <v>60/61</v>
          </cell>
        </row>
        <row r="3087">
          <cell r="F3087">
            <v>617.66</v>
          </cell>
          <cell r="G3087">
            <v>0</v>
          </cell>
          <cell r="H3087" t="str">
            <v>60/61</v>
          </cell>
        </row>
        <row r="3088">
          <cell r="F3088">
            <v>88.46</v>
          </cell>
          <cell r="G3088">
            <v>0</v>
          </cell>
          <cell r="H3088" t="str">
            <v>60/61</v>
          </cell>
        </row>
        <row r="3089">
          <cell r="F3089">
            <v>59.62</v>
          </cell>
          <cell r="G3089">
            <v>0</v>
          </cell>
          <cell r="H3089" t="str">
            <v>60/61</v>
          </cell>
        </row>
        <row r="3090">
          <cell r="F3090">
            <v>1639.38</v>
          </cell>
          <cell r="G3090">
            <v>0</v>
          </cell>
          <cell r="H3090" t="str">
            <v>60/61</v>
          </cell>
        </row>
        <row r="3091">
          <cell r="F3091">
            <v>0</v>
          </cell>
          <cell r="G3091">
            <v>0</v>
          </cell>
          <cell r="H3091" t="str">
            <v>60/61</v>
          </cell>
        </row>
        <row r="3092">
          <cell r="F3092">
            <v>75.419999999999987</v>
          </cell>
          <cell r="G3092">
            <v>0</v>
          </cell>
          <cell r="H3092" t="str">
            <v>60/61</v>
          </cell>
        </row>
        <row r="3093">
          <cell r="F3093">
            <v>-4597.8899999999994</v>
          </cell>
          <cell r="G3093">
            <v>0</v>
          </cell>
          <cell r="H3093" t="str">
            <v>60/61</v>
          </cell>
        </row>
        <row r="3094">
          <cell r="F3094">
            <v>3184.7299999999996</v>
          </cell>
          <cell r="G3094">
            <v>0</v>
          </cell>
          <cell r="H3094" t="str">
            <v>60/61</v>
          </cell>
        </row>
        <row r="3095">
          <cell r="F3095">
            <v>505.08</v>
          </cell>
          <cell r="G3095">
            <v>0</v>
          </cell>
          <cell r="H3095" t="str">
            <v>60/61</v>
          </cell>
        </row>
        <row r="3096">
          <cell r="F3096">
            <v>88.51</v>
          </cell>
          <cell r="G3096">
            <v>0</v>
          </cell>
          <cell r="H3096" t="str">
            <v>60/61</v>
          </cell>
        </row>
        <row r="3097">
          <cell r="F3097">
            <v>113.45</v>
          </cell>
          <cell r="G3097">
            <v>0</v>
          </cell>
          <cell r="H3097" t="str">
            <v>60/61</v>
          </cell>
        </row>
        <row r="3098">
          <cell r="F3098">
            <v>204.78</v>
          </cell>
          <cell r="G3098">
            <v>0</v>
          </cell>
          <cell r="H3098" t="str">
            <v>60/61</v>
          </cell>
        </row>
        <row r="3099">
          <cell r="F3099">
            <v>16.59</v>
          </cell>
          <cell r="G3099">
            <v>0</v>
          </cell>
          <cell r="H3099" t="str">
            <v>60/61</v>
          </cell>
        </row>
        <row r="3100">
          <cell r="F3100">
            <v>186.66</v>
          </cell>
          <cell r="G3100">
            <v>0</v>
          </cell>
          <cell r="H3100" t="str">
            <v>60/61</v>
          </cell>
        </row>
        <row r="3101">
          <cell r="F3101">
            <v>1066.76</v>
          </cell>
          <cell r="G3101">
            <v>0</v>
          </cell>
          <cell r="H3101" t="str">
            <v>60/61</v>
          </cell>
        </row>
        <row r="3102">
          <cell r="F3102">
            <v>2913.5</v>
          </cell>
          <cell r="G3102">
            <v>0</v>
          </cell>
          <cell r="H3102" t="str">
            <v>60/61</v>
          </cell>
        </row>
        <row r="3103">
          <cell r="F3103">
            <v>140.35</v>
          </cell>
          <cell r="G3103">
            <v>0</v>
          </cell>
          <cell r="H3103" t="str">
            <v>60/61</v>
          </cell>
        </row>
        <row r="3104">
          <cell r="F3104">
            <v>17.649999999999999</v>
          </cell>
          <cell r="G3104">
            <v>0</v>
          </cell>
          <cell r="H3104" t="str">
            <v>60/61</v>
          </cell>
        </row>
        <row r="3105">
          <cell r="F3105">
            <v>315.61</v>
          </cell>
          <cell r="G3105">
            <v>0</v>
          </cell>
          <cell r="H3105" t="str">
            <v>60/61</v>
          </cell>
        </row>
        <row r="3106">
          <cell r="F3106">
            <v>95.03</v>
          </cell>
          <cell r="G3106">
            <v>0</v>
          </cell>
          <cell r="H3106" t="str">
            <v>60/61</v>
          </cell>
        </row>
        <row r="3107">
          <cell r="F3107">
            <v>170.57</v>
          </cell>
          <cell r="G3107">
            <v>0</v>
          </cell>
          <cell r="H3107" t="str">
            <v>60/61</v>
          </cell>
        </row>
        <row r="3108">
          <cell r="F3108">
            <v>27.64</v>
          </cell>
          <cell r="G3108">
            <v>0</v>
          </cell>
          <cell r="H3108" t="str">
            <v>60/61</v>
          </cell>
        </row>
        <row r="3109">
          <cell r="F3109">
            <v>187.46</v>
          </cell>
          <cell r="G3109">
            <v>0</v>
          </cell>
          <cell r="H3109" t="str">
            <v>60/61</v>
          </cell>
        </row>
        <row r="3110">
          <cell r="F3110">
            <v>62.35</v>
          </cell>
          <cell r="G3110">
            <v>0</v>
          </cell>
          <cell r="H3110" t="str">
            <v>60/61</v>
          </cell>
        </row>
        <row r="3111">
          <cell r="F3111">
            <v>507.73</v>
          </cell>
          <cell r="G3111">
            <v>0</v>
          </cell>
          <cell r="H3111" t="str">
            <v>60/61</v>
          </cell>
        </row>
        <row r="3112">
          <cell r="F3112">
            <v>59.699999999999996</v>
          </cell>
          <cell r="G3112">
            <v>0</v>
          </cell>
          <cell r="H3112" t="str">
            <v>60/61</v>
          </cell>
        </row>
        <row r="3113">
          <cell r="F3113">
            <v>88.46</v>
          </cell>
          <cell r="G3113">
            <v>0</v>
          </cell>
          <cell r="H3113" t="str">
            <v>60/61</v>
          </cell>
        </row>
        <row r="3114">
          <cell r="F3114">
            <v>409.44</v>
          </cell>
          <cell r="G3114">
            <v>0</v>
          </cell>
          <cell r="H3114" t="str">
            <v>60/61</v>
          </cell>
        </row>
        <row r="3115">
          <cell r="F3115">
            <v>1.83</v>
          </cell>
          <cell r="G3115">
            <v>0</v>
          </cell>
          <cell r="H3115" t="str">
            <v>60/61</v>
          </cell>
        </row>
        <row r="3116">
          <cell r="F3116">
            <v>202.93</v>
          </cell>
          <cell r="G3116">
            <v>0</v>
          </cell>
          <cell r="H3116" t="str">
            <v>60/61</v>
          </cell>
        </row>
        <row r="3117">
          <cell r="F3117">
            <v>385.51</v>
          </cell>
          <cell r="G3117">
            <v>0</v>
          </cell>
          <cell r="H3117" t="str">
            <v>60/61</v>
          </cell>
        </row>
        <row r="3118">
          <cell r="F3118">
            <v>587.76</v>
          </cell>
          <cell r="G3118">
            <v>0</v>
          </cell>
          <cell r="H3118" t="str">
            <v>60/61</v>
          </cell>
        </row>
        <row r="3119">
          <cell r="F3119">
            <v>663.47</v>
          </cell>
          <cell r="G3119">
            <v>0</v>
          </cell>
          <cell r="H3119" t="str">
            <v>60/61</v>
          </cell>
        </row>
        <row r="3120">
          <cell r="F3120">
            <v>210.79</v>
          </cell>
          <cell r="G3120">
            <v>0</v>
          </cell>
          <cell r="H3120" t="str">
            <v>60/61</v>
          </cell>
        </row>
        <row r="3121">
          <cell r="F3121">
            <v>69.680000000000007</v>
          </cell>
          <cell r="G3121">
            <v>0</v>
          </cell>
          <cell r="H3121" t="str">
            <v>60/61</v>
          </cell>
        </row>
        <row r="3122">
          <cell r="F3122">
            <v>29.72</v>
          </cell>
          <cell r="G3122">
            <v>0</v>
          </cell>
          <cell r="H3122" t="str">
            <v>60/61</v>
          </cell>
        </row>
        <row r="3123">
          <cell r="F3123">
            <v>43.77</v>
          </cell>
          <cell r="G3123">
            <v>0</v>
          </cell>
          <cell r="H3123" t="str">
            <v>60/61</v>
          </cell>
        </row>
        <row r="3124">
          <cell r="F3124">
            <v>10.78</v>
          </cell>
          <cell r="G3124">
            <v>0</v>
          </cell>
          <cell r="H3124" t="str">
            <v>60/61</v>
          </cell>
        </row>
        <row r="3125">
          <cell r="F3125">
            <v>1457.85</v>
          </cell>
          <cell r="G3125">
            <v>0</v>
          </cell>
          <cell r="H3125" t="str">
            <v>60/61</v>
          </cell>
        </row>
        <row r="3126">
          <cell r="F3126">
            <v>333.81</v>
          </cell>
          <cell r="G3126">
            <v>0</v>
          </cell>
          <cell r="H3126" t="str">
            <v>60/61</v>
          </cell>
        </row>
        <row r="3127">
          <cell r="F3127">
            <v>675.79</v>
          </cell>
          <cell r="G3127">
            <v>0</v>
          </cell>
          <cell r="H3127" t="str">
            <v>60/61</v>
          </cell>
        </row>
        <row r="3128">
          <cell r="F3128">
            <v>126.36</v>
          </cell>
          <cell r="G3128">
            <v>0</v>
          </cell>
          <cell r="H3128" t="str">
            <v>60/61</v>
          </cell>
        </row>
        <row r="3129">
          <cell r="F3129">
            <v>5.62</v>
          </cell>
          <cell r="G3129">
            <v>0</v>
          </cell>
          <cell r="H3129" t="str">
            <v>60/61</v>
          </cell>
        </row>
        <row r="3130">
          <cell r="F3130">
            <v>616.73</v>
          </cell>
          <cell r="G3130">
            <v>0</v>
          </cell>
          <cell r="H3130" t="str">
            <v>60/61</v>
          </cell>
        </row>
        <row r="3131">
          <cell r="F3131">
            <v>51.259999999999991</v>
          </cell>
          <cell r="G3131">
            <v>0</v>
          </cell>
          <cell r="H3131" t="str">
            <v>60/61</v>
          </cell>
        </row>
        <row r="3132">
          <cell r="F3132">
            <v>390.58</v>
          </cell>
          <cell r="G3132">
            <v>0</v>
          </cell>
          <cell r="H3132" t="str">
            <v>60/61</v>
          </cell>
        </row>
        <row r="3133">
          <cell r="F3133">
            <v>32.4</v>
          </cell>
          <cell r="G3133">
            <v>0</v>
          </cell>
          <cell r="H3133" t="str">
            <v>60/61</v>
          </cell>
        </row>
        <row r="3134">
          <cell r="F3134">
            <v>15.42</v>
          </cell>
          <cell r="G3134">
            <v>0</v>
          </cell>
          <cell r="H3134" t="str">
            <v>60/61</v>
          </cell>
        </row>
        <row r="3135">
          <cell r="F3135">
            <v>528.16999999999996</v>
          </cell>
          <cell r="G3135">
            <v>0</v>
          </cell>
          <cell r="H3135" t="str">
            <v>60/61</v>
          </cell>
        </row>
        <row r="3136">
          <cell r="F3136">
            <v>27.38</v>
          </cell>
          <cell r="G3136">
            <v>0</v>
          </cell>
          <cell r="H3136" t="str">
            <v>60/61</v>
          </cell>
        </row>
        <row r="3137">
          <cell r="F3137">
            <v>71.930000000000007</v>
          </cell>
          <cell r="G3137">
            <v>0</v>
          </cell>
          <cell r="H3137" t="str">
            <v>60/61</v>
          </cell>
        </row>
        <row r="3138">
          <cell r="F3138">
            <v>444.24</v>
          </cell>
          <cell r="G3138">
            <v>0</v>
          </cell>
          <cell r="H3138" t="str">
            <v>60/61</v>
          </cell>
        </row>
        <row r="3139">
          <cell r="F3139">
            <v>280.13</v>
          </cell>
          <cell r="G3139">
            <v>0</v>
          </cell>
          <cell r="H3139" t="str">
            <v>60/61</v>
          </cell>
        </row>
        <row r="3140">
          <cell r="F3140">
            <v>502.56</v>
          </cell>
          <cell r="G3140">
            <v>0</v>
          </cell>
          <cell r="H3140" t="str">
            <v>60/61</v>
          </cell>
        </row>
        <row r="3141">
          <cell r="F3141">
            <v>294.02999999999997</v>
          </cell>
          <cell r="G3141">
            <v>0</v>
          </cell>
          <cell r="H3141" t="str">
            <v>60/61</v>
          </cell>
        </row>
        <row r="3142">
          <cell r="F3142">
            <v>18.510000000000002</v>
          </cell>
          <cell r="G3142">
            <v>0</v>
          </cell>
          <cell r="H3142" t="str">
            <v>60/61</v>
          </cell>
        </row>
        <row r="3143">
          <cell r="F3143">
            <v>35.19</v>
          </cell>
          <cell r="G3143">
            <v>0</v>
          </cell>
          <cell r="H3143" t="str">
            <v>60/61</v>
          </cell>
        </row>
        <row r="3144">
          <cell r="F3144">
            <v>67.3</v>
          </cell>
          <cell r="G3144">
            <v>0</v>
          </cell>
          <cell r="H3144" t="str">
            <v>60/61</v>
          </cell>
        </row>
        <row r="3145">
          <cell r="F3145">
            <v>80.5</v>
          </cell>
          <cell r="G3145">
            <v>0</v>
          </cell>
          <cell r="H3145" t="str">
            <v>60/61</v>
          </cell>
        </row>
        <row r="3146">
          <cell r="F3146">
            <v>11.01</v>
          </cell>
          <cell r="G3146">
            <v>0</v>
          </cell>
          <cell r="H3146" t="str">
            <v>60/61</v>
          </cell>
        </row>
        <row r="3147">
          <cell r="F3147">
            <v>10.74</v>
          </cell>
          <cell r="G3147">
            <v>0</v>
          </cell>
          <cell r="H3147" t="str">
            <v>60/61</v>
          </cell>
        </row>
        <row r="3148">
          <cell r="F3148">
            <v>6.79</v>
          </cell>
          <cell r="G3148">
            <v>0</v>
          </cell>
          <cell r="H3148" t="str">
            <v>60/61</v>
          </cell>
        </row>
        <row r="3149">
          <cell r="F3149">
            <v>75.03</v>
          </cell>
          <cell r="G3149">
            <v>0</v>
          </cell>
          <cell r="H3149" t="str">
            <v>60/61</v>
          </cell>
        </row>
        <row r="3150">
          <cell r="F3150">
            <v>6.71</v>
          </cell>
          <cell r="G3150">
            <v>0</v>
          </cell>
          <cell r="H3150" t="str">
            <v>60/61</v>
          </cell>
        </row>
        <row r="3151">
          <cell r="F3151">
            <v>317.08</v>
          </cell>
          <cell r="G3151">
            <v>0</v>
          </cell>
          <cell r="H3151" t="str">
            <v>60/61</v>
          </cell>
        </row>
        <row r="3152">
          <cell r="F3152">
            <v>4.5599999999999996</v>
          </cell>
          <cell r="G3152">
            <v>0</v>
          </cell>
          <cell r="H3152" t="str">
            <v>60/61</v>
          </cell>
        </row>
        <row r="3153">
          <cell r="F3153">
            <v>77.47</v>
          </cell>
          <cell r="G3153">
            <v>0</v>
          </cell>
          <cell r="H3153" t="str">
            <v>60/61</v>
          </cell>
        </row>
        <row r="3154">
          <cell r="F3154">
            <v>48.9</v>
          </cell>
          <cell r="G3154">
            <v>0</v>
          </cell>
          <cell r="H3154" t="str">
            <v>60/61</v>
          </cell>
        </row>
        <row r="3155">
          <cell r="F3155">
            <v>277.74</v>
          </cell>
          <cell r="G3155">
            <v>0</v>
          </cell>
          <cell r="H3155" t="str">
            <v>60/61</v>
          </cell>
        </row>
        <row r="3156">
          <cell r="F3156">
            <v>520.30999999999995</v>
          </cell>
          <cell r="G3156">
            <v>0</v>
          </cell>
          <cell r="H3156" t="str">
            <v>60/61</v>
          </cell>
        </row>
        <row r="3157">
          <cell r="F3157">
            <v>137.47</v>
          </cell>
          <cell r="G3157">
            <v>0</v>
          </cell>
          <cell r="H3157" t="str">
            <v>60/61</v>
          </cell>
        </row>
        <row r="3158">
          <cell r="F3158">
            <v>37.5</v>
          </cell>
          <cell r="G3158">
            <v>0</v>
          </cell>
          <cell r="H3158" t="str">
            <v>60/61</v>
          </cell>
        </row>
        <row r="3159">
          <cell r="F3159">
            <v>7.63</v>
          </cell>
          <cell r="G3159">
            <v>0</v>
          </cell>
          <cell r="H3159" t="str">
            <v>60/61</v>
          </cell>
        </row>
        <row r="3160">
          <cell r="F3160">
            <v>103.75</v>
          </cell>
          <cell r="G3160">
            <v>0</v>
          </cell>
          <cell r="H3160" t="str">
            <v>60/61</v>
          </cell>
        </row>
        <row r="3161">
          <cell r="F3161">
            <v>16.91</v>
          </cell>
          <cell r="G3161">
            <v>0</v>
          </cell>
          <cell r="H3161" t="str">
            <v>60/61</v>
          </cell>
        </row>
        <row r="3162">
          <cell r="F3162">
            <v>19.43</v>
          </cell>
          <cell r="G3162">
            <v>0</v>
          </cell>
          <cell r="H3162" t="str">
            <v>60/61</v>
          </cell>
        </row>
        <row r="3163">
          <cell r="F3163">
            <v>54.42</v>
          </cell>
          <cell r="G3163">
            <v>0</v>
          </cell>
          <cell r="H3163" t="str">
            <v>60/61</v>
          </cell>
        </row>
        <row r="3164">
          <cell r="F3164">
            <v>57.9</v>
          </cell>
          <cell r="G3164">
            <v>0</v>
          </cell>
          <cell r="H3164" t="str">
            <v>60/61</v>
          </cell>
        </row>
        <row r="3165">
          <cell r="F3165">
            <v>10.77</v>
          </cell>
          <cell r="G3165">
            <v>0</v>
          </cell>
          <cell r="H3165" t="str">
            <v>60/61</v>
          </cell>
        </row>
        <row r="3166">
          <cell r="F3166">
            <v>23.8</v>
          </cell>
          <cell r="G3166">
            <v>0</v>
          </cell>
          <cell r="H3166" t="str">
            <v>60/61</v>
          </cell>
        </row>
        <row r="3167">
          <cell r="F3167">
            <v>79.41</v>
          </cell>
          <cell r="G3167">
            <v>0</v>
          </cell>
          <cell r="H3167" t="str">
            <v>60/61</v>
          </cell>
        </row>
        <row r="3168">
          <cell r="F3168">
            <v>208.38</v>
          </cell>
          <cell r="G3168">
            <v>0</v>
          </cell>
          <cell r="H3168" t="str">
            <v>60/61</v>
          </cell>
        </row>
        <row r="3169">
          <cell r="F3169">
            <v>22.32</v>
          </cell>
          <cell r="G3169">
            <v>0</v>
          </cell>
          <cell r="H3169" t="str">
            <v>60/61</v>
          </cell>
        </row>
        <row r="3170">
          <cell r="F3170">
            <v>88.01</v>
          </cell>
          <cell r="G3170">
            <v>0</v>
          </cell>
          <cell r="H3170" t="str">
            <v>60/61</v>
          </cell>
        </row>
        <row r="3171">
          <cell r="F3171">
            <v>35.61</v>
          </cell>
          <cell r="G3171">
            <v>0</v>
          </cell>
          <cell r="H3171" t="str">
            <v>60/61</v>
          </cell>
        </row>
        <row r="3172">
          <cell r="F3172">
            <v>1.08</v>
          </cell>
          <cell r="G3172">
            <v>0</v>
          </cell>
          <cell r="H3172" t="str">
            <v>60/61</v>
          </cell>
        </row>
        <row r="3173">
          <cell r="F3173">
            <v>33.65</v>
          </cell>
          <cell r="G3173">
            <v>0</v>
          </cell>
          <cell r="H3173" t="str">
            <v>60/61</v>
          </cell>
        </row>
        <row r="3174">
          <cell r="F3174">
            <v>92.11</v>
          </cell>
          <cell r="G3174">
            <v>0</v>
          </cell>
          <cell r="H3174" t="str">
            <v>60/61</v>
          </cell>
        </row>
        <row r="3175">
          <cell r="F3175">
            <v>208.79</v>
          </cell>
          <cell r="G3175">
            <v>0</v>
          </cell>
          <cell r="H3175" t="str">
            <v>60/61</v>
          </cell>
        </row>
        <row r="3176">
          <cell r="F3176">
            <v>93.77</v>
          </cell>
          <cell r="G3176">
            <v>0</v>
          </cell>
          <cell r="H3176" t="str">
            <v>60/61</v>
          </cell>
        </row>
        <row r="3177">
          <cell r="F3177">
            <v>129.93</v>
          </cell>
          <cell r="G3177">
            <v>0</v>
          </cell>
          <cell r="H3177" t="str">
            <v>60/61</v>
          </cell>
        </row>
        <row r="3178">
          <cell r="F3178">
            <v>2.52</v>
          </cell>
          <cell r="G3178">
            <v>0</v>
          </cell>
          <cell r="H3178" t="str">
            <v>60/61</v>
          </cell>
        </row>
        <row r="3179">
          <cell r="F3179">
            <v>71.7</v>
          </cell>
          <cell r="G3179">
            <v>0</v>
          </cell>
          <cell r="H3179" t="str">
            <v>60/61</v>
          </cell>
        </row>
        <row r="3180">
          <cell r="F3180">
            <v>20.77</v>
          </cell>
          <cell r="G3180">
            <v>0</v>
          </cell>
          <cell r="H3180" t="str">
            <v>60/61</v>
          </cell>
        </row>
        <row r="3181">
          <cell r="F3181">
            <v>63.76</v>
          </cell>
          <cell r="G3181">
            <v>0</v>
          </cell>
          <cell r="H3181" t="str">
            <v>60/61</v>
          </cell>
        </row>
        <row r="3182">
          <cell r="F3182">
            <v>399.09</v>
          </cell>
          <cell r="G3182">
            <v>0</v>
          </cell>
          <cell r="H3182" t="str">
            <v>60/61</v>
          </cell>
        </row>
        <row r="3183">
          <cell r="F3183">
            <v>53.29</v>
          </cell>
          <cell r="G3183">
            <v>0</v>
          </cell>
          <cell r="H3183" t="str">
            <v>60/61</v>
          </cell>
        </row>
        <row r="3184">
          <cell r="F3184">
            <v>9.49</v>
          </cell>
          <cell r="G3184">
            <v>0</v>
          </cell>
          <cell r="H3184" t="str">
            <v>60/61</v>
          </cell>
        </row>
        <row r="3185">
          <cell r="F3185">
            <v>24.63</v>
          </cell>
          <cell r="G3185">
            <v>0</v>
          </cell>
          <cell r="H3185" t="str">
            <v>60/61</v>
          </cell>
        </row>
        <row r="3186">
          <cell r="F3186">
            <v>8.02</v>
          </cell>
          <cell r="G3186">
            <v>0</v>
          </cell>
          <cell r="H3186" t="str">
            <v>60/61</v>
          </cell>
        </row>
        <row r="3187">
          <cell r="F3187">
            <v>78.39</v>
          </cell>
          <cell r="G3187">
            <v>0</v>
          </cell>
          <cell r="H3187" t="str">
            <v>60/61</v>
          </cell>
        </row>
        <row r="3188">
          <cell r="F3188">
            <v>170.99</v>
          </cell>
          <cell r="G3188">
            <v>0</v>
          </cell>
          <cell r="H3188" t="str">
            <v>60/61</v>
          </cell>
        </row>
        <row r="3189">
          <cell r="F3189">
            <v>118.53</v>
          </cell>
          <cell r="G3189">
            <v>0</v>
          </cell>
          <cell r="H3189" t="str">
            <v>60/61</v>
          </cell>
        </row>
        <row r="3190">
          <cell r="F3190">
            <v>29.45</v>
          </cell>
          <cell r="G3190">
            <v>0</v>
          </cell>
          <cell r="H3190" t="str">
            <v>60/61</v>
          </cell>
        </row>
        <row r="3191">
          <cell r="F3191">
            <v>107.89</v>
          </cell>
          <cell r="G3191">
            <v>0</v>
          </cell>
          <cell r="H3191" t="str">
            <v>60/61</v>
          </cell>
        </row>
        <row r="3192">
          <cell r="F3192">
            <v>67.010000000000005</v>
          </cell>
          <cell r="G3192">
            <v>0</v>
          </cell>
          <cell r="H3192" t="str">
            <v>60/61</v>
          </cell>
        </row>
        <row r="3193">
          <cell r="F3193">
            <v>80.12</v>
          </cell>
          <cell r="G3193">
            <v>0</v>
          </cell>
          <cell r="H3193" t="str">
            <v>60/61</v>
          </cell>
        </row>
        <row r="3194">
          <cell r="F3194">
            <v>97.7</v>
          </cell>
          <cell r="G3194">
            <v>0</v>
          </cell>
          <cell r="H3194" t="str">
            <v>60/61</v>
          </cell>
        </row>
        <row r="3195">
          <cell r="F3195">
            <v>12.99</v>
          </cell>
          <cell r="G3195">
            <v>0</v>
          </cell>
          <cell r="H3195" t="str">
            <v>60/61</v>
          </cell>
        </row>
        <row r="3196">
          <cell r="F3196">
            <v>82.11</v>
          </cell>
          <cell r="G3196">
            <v>0</v>
          </cell>
          <cell r="H3196" t="str">
            <v>60/61</v>
          </cell>
        </row>
        <row r="3197">
          <cell r="F3197">
            <v>11.9</v>
          </cell>
          <cell r="G3197">
            <v>0</v>
          </cell>
          <cell r="H3197" t="str">
            <v>60/61</v>
          </cell>
        </row>
        <row r="3198">
          <cell r="F3198">
            <v>83.6</v>
          </cell>
          <cell r="G3198">
            <v>0</v>
          </cell>
          <cell r="H3198" t="str">
            <v>60/61</v>
          </cell>
        </row>
        <row r="3199">
          <cell r="F3199">
            <v>82.21</v>
          </cell>
          <cell r="G3199">
            <v>0</v>
          </cell>
          <cell r="H3199" t="str">
            <v>60/61</v>
          </cell>
        </row>
        <row r="3200">
          <cell r="F3200">
            <v>97.94</v>
          </cell>
          <cell r="G3200">
            <v>0</v>
          </cell>
          <cell r="H3200" t="str">
            <v>60/61</v>
          </cell>
        </row>
        <row r="3201">
          <cell r="F3201">
            <v>9.52</v>
          </cell>
          <cell r="G3201">
            <v>0</v>
          </cell>
          <cell r="H3201" t="str">
            <v>60/61</v>
          </cell>
        </row>
        <row r="3202">
          <cell r="F3202">
            <v>14.18</v>
          </cell>
          <cell r="G3202">
            <v>0</v>
          </cell>
          <cell r="H3202" t="str">
            <v>60/61</v>
          </cell>
        </row>
        <row r="3203">
          <cell r="F3203">
            <v>99.25</v>
          </cell>
          <cell r="G3203">
            <v>0</v>
          </cell>
          <cell r="H3203" t="str">
            <v>60/61</v>
          </cell>
        </row>
        <row r="3204">
          <cell r="F3204">
            <v>8.39</v>
          </cell>
          <cell r="G3204">
            <v>0</v>
          </cell>
          <cell r="H3204" t="str">
            <v>60/61</v>
          </cell>
        </row>
        <row r="3205">
          <cell r="F3205">
            <v>111.67</v>
          </cell>
          <cell r="G3205">
            <v>0</v>
          </cell>
          <cell r="H3205" t="str">
            <v>60/61</v>
          </cell>
        </row>
        <row r="3206">
          <cell r="F3206">
            <v>18.63</v>
          </cell>
          <cell r="G3206">
            <v>0</v>
          </cell>
          <cell r="H3206" t="str">
            <v>60/61</v>
          </cell>
        </row>
        <row r="3207">
          <cell r="F3207">
            <v>174.5</v>
          </cell>
          <cell r="G3207">
            <v>0</v>
          </cell>
          <cell r="H3207" t="str">
            <v>60/61</v>
          </cell>
        </row>
        <row r="3208">
          <cell r="F3208">
            <v>1477.87</v>
          </cell>
          <cell r="G3208">
            <v>0</v>
          </cell>
          <cell r="H3208" t="str">
            <v>60/61</v>
          </cell>
        </row>
        <row r="3209">
          <cell r="F3209">
            <v>20.059999999999999</v>
          </cell>
          <cell r="G3209">
            <v>0</v>
          </cell>
          <cell r="H3209" t="str">
            <v>60/61</v>
          </cell>
        </row>
        <row r="3210">
          <cell r="F3210">
            <v>75.12</v>
          </cell>
          <cell r="G3210">
            <v>0</v>
          </cell>
          <cell r="H3210" t="str">
            <v>60/61</v>
          </cell>
        </row>
        <row r="3211">
          <cell r="F3211">
            <v>53.63</v>
          </cell>
          <cell r="G3211">
            <v>0</v>
          </cell>
          <cell r="H3211" t="str">
            <v>60/61</v>
          </cell>
        </row>
        <row r="3212">
          <cell r="F3212">
            <v>98</v>
          </cell>
          <cell r="G3212">
            <v>0</v>
          </cell>
          <cell r="H3212" t="str">
            <v>60/61</v>
          </cell>
        </row>
        <row r="3213">
          <cell r="F3213">
            <v>42.01</v>
          </cell>
          <cell r="G3213">
            <v>0</v>
          </cell>
          <cell r="H3213" t="str">
            <v>60/61</v>
          </cell>
        </row>
        <row r="3214">
          <cell r="F3214">
            <v>11.89</v>
          </cell>
          <cell r="G3214">
            <v>0</v>
          </cell>
          <cell r="H3214" t="str">
            <v>60/61</v>
          </cell>
        </row>
        <row r="3215">
          <cell r="F3215">
            <v>36.229999999999997</v>
          </cell>
          <cell r="G3215">
            <v>0</v>
          </cell>
          <cell r="H3215" t="str">
            <v>60/61</v>
          </cell>
        </row>
        <row r="3216">
          <cell r="F3216">
            <v>15.98</v>
          </cell>
          <cell r="G3216">
            <v>0</v>
          </cell>
          <cell r="H3216" t="str">
            <v>60/61</v>
          </cell>
        </row>
        <row r="3217">
          <cell r="F3217">
            <v>53.34</v>
          </cell>
          <cell r="G3217">
            <v>0</v>
          </cell>
          <cell r="H3217" t="str">
            <v>60/61</v>
          </cell>
        </row>
        <row r="3218">
          <cell r="F3218">
            <v>53.81</v>
          </cell>
          <cell r="G3218">
            <v>0</v>
          </cell>
          <cell r="H3218" t="str">
            <v>60/61</v>
          </cell>
        </row>
        <row r="3219">
          <cell r="F3219">
            <v>30.12</v>
          </cell>
          <cell r="G3219">
            <v>0</v>
          </cell>
          <cell r="H3219" t="str">
            <v>60/61</v>
          </cell>
        </row>
        <row r="3220">
          <cell r="F3220">
            <v>102.41</v>
          </cell>
          <cell r="G3220">
            <v>0</v>
          </cell>
          <cell r="H3220" t="str">
            <v>60/61</v>
          </cell>
        </row>
        <row r="3221">
          <cell r="F3221">
            <v>136.66</v>
          </cell>
          <cell r="G3221">
            <v>0</v>
          </cell>
          <cell r="H3221" t="str">
            <v>60/61</v>
          </cell>
        </row>
        <row r="3222">
          <cell r="F3222">
            <v>83.22</v>
          </cell>
          <cell r="G3222">
            <v>0</v>
          </cell>
          <cell r="H3222" t="str">
            <v>60/61</v>
          </cell>
        </row>
        <row r="3223">
          <cell r="F3223">
            <v>323.33999999999997</v>
          </cell>
          <cell r="G3223">
            <v>0</v>
          </cell>
          <cell r="H3223" t="str">
            <v>60/61</v>
          </cell>
        </row>
        <row r="3224">
          <cell r="F3224">
            <v>274.42</v>
          </cell>
          <cell r="G3224">
            <v>0</v>
          </cell>
          <cell r="H3224" t="str">
            <v>60/61</v>
          </cell>
        </row>
        <row r="3225">
          <cell r="F3225">
            <v>265.42</v>
          </cell>
          <cell r="G3225">
            <v>0</v>
          </cell>
          <cell r="H3225" t="str">
            <v>60/61</v>
          </cell>
        </row>
        <row r="3226">
          <cell r="F3226">
            <v>98.58</v>
          </cell>
          <cell r="G3226">
            <v>0</v>
          </cell>
          <cell r="H3226" t="str">
            <v>60/61</v>
          </cell>
        </row>
        <row r="3227">
          <cell r="F3227">
            <v>215.34</v>
          </cell>
          <cell r="G3227">
            <v>0</v>
          </cell>
          <cell r="H3227" t="str">
            <v>60/61</v>
          </cell>
        </row>
        <row r="3228">
          <cell r="F3228">
            <v>106.38</v>
          </cell>
          <cell r="G3228">
            <v>0</v>
          </cell>
          <cell r="H3228" t="str">
            <v>60/61</v>
          </cell>
        </row>
        <row r="3229">
          <cell r="F3229">
            <v>10.220000000000001</v>
          </cell>
          <cell r="G3229">
            <v>0</v>
          </cell>
          <cell r="H3229" t="str">
            <v>60/61</v>
          </cell>
        </row>
        <row r="3230">
          <cell r="F3230">
            <v>104.59</v>
          </cell>
          <cell r="G3230">
            <v>0</v>
          </cell>
          <cell r="H3230" t="str">
            <v>60/61</v>
          </cell>
        </row>
        <row r="3231">
          <cell r="F3231">
            <v>25.92</v>
          </cell>
          <cell r="G3231">
            <v>0</v>
          </cell>
          <cell r="H3231" t="str">
            <v>60/61</v>
          </cell>
        </row>
        <row r="3232">
          <cell r="F3232">
            <v>91.64</v>
          </cell>
          <cell r="G3232">
            <v>0</v>
          </cell>
          <cell r="H3232" t="str">
            <v>60/61</v>
          </cell>
        </row>
        <row r="3233">
          <cell r="F3233">
            <v>40.33</v>
          </cell>
          <cell r="G3233">
            <v>0</v>
          </cell>
          <cell r="H3233" t="str">
            <v>60/61</v>
          </cell>
        </row>
        <row r="3234">
          <cell r="F3234">
            <v>11.89</v>
          </cell>
          <cell r="G3234">
            <v>0</v>
          </cell>
          <cell r="H3234" t="str">
            <v>60/61</v>
          </cell>
        </row>
        <row r="3235">
          <cell r="F3235">
            <v>113.54</v>
          </cell>
          <cell r="G3235">
            <v>0</v>
          </cell>
          <cell r="H3235" t="str">
            <v>60/61</v>
          </cell>
        </row>
        <row r="3236">
          <cell r="F3236">
            <v>23.8</v>
          </cell>
          <cell r="G3236">
            <v>0</v>
          </cell>
          <cell r="H3236" t="str">
            <v>60/61</v>
          </cell>
        </row>
        <row r="3237">
          <cell r="F3237">
            <v>19.63</v>
          </cell>
          <cell r="G3237">
            <v>0</v>
          </cell>
          <cell r="H3237" t="str">
            <v>60/61</v>
          </cell>
        </row>
        <row r="3238">
          <cell r="F3238">
            <v>28.31</v>
          </cell>
          <cell r="G3238">
            <v>0</v>
          </cell>
          <cell r="H3238" t="str">
            <v>60/61</v>
          </cell>
        </row>
        <row r="3239">
          <cell r="F3239">
            <v>97.13</v>
          </cell>
          <cell r="G3239">
            <v>0</v>
          </cell>
          <cell r="H3239" t="str">
            <v>60/61</v>
          </cell>
        </row>
        <row r="3240">
          <cell r="F3240">
            <v>12.87</v>
          </cell>
          <cell r="G3240">
            <v>0</v>
          </cell>
          <cell r="H3240" t="str">
            <v>60/61</v>
          </cell>
        </row>
        <row r="3241">
          <cell r="F3241">
            <v>329.54</v>
          </cell>
          <cell r="G3241">
            <v>0</v>
          </cell>
          <cell r="H3241" t="str">
            <v>60/61</v>
          </cell>
        </row>
        <row r="3242">
          <cell r="F3242">
            <v>51</v>
          </cell>
          <cell r="G3242">
            <v>0</v>
          </cell>
          <cell r="H3242" t="str">
            <v>60/61</v>
          </cell>
        </row>
        <row r="3243">
          <cell r="F3243">
            <v>19.29</v>
          </cell>
          <cell r="G3243">
            <v>0</v>
          </cell>
          <cell r="H3243" t="str">
            <v>60/61</v>
          </cell>
        </row>
        <row r="3244">
          <cell r="F3244">
            <v>22.05</v>
          </cell>
          <cell r="G3244">
            <v>0</v>
          </cell>
          <cell r="H3244" t="str">
            <v>60/61</v>
          </cell>
        </row>
        <row r="3245">
          <cell r="F3245">
            <v>84.98</v>
          </cell>
          <cell r="G3245">
            <v>0</v>
          </cell>
          <cell r="H3245" t="str">
            <v>60/61</v>
          </cell>
        </row>
        <row r="3246">
          <cell r="F3246">
            <v>23.43</v>
          </cell>
          <cell r="G3246">
            <v>0</v>
          </cell>
          <cell r="H3246" t="str">
            <v>60/61</v>
          </cell>
        </row>
        <row r="3247">
          <cell r="F3247">
            <v>8.75</v>
          </cell>
          <cell r="G3247">
            <v>0</v>
          </cell>
          <cell r="H3247" t="str">
            <v>60/61</v>
          </cell>
        </row>
        <row r="3248">
          <cell r="F3248">
            <v>130.72999999999999</v>
          </cell>
          <cell r="G3248">
            <v>0</v>
          </cell>
          <cell r="H3248" t="str">
            <v>60/61</v>
          </cell>
        </row>
        <row r="3249">
          <cell r="F3249">
            <v>131.21</v>
          </cell>
          <cell r="G3249">
            <v>0</v>
          </cell>
          <cell r="H3249" t="str">
            <v>60/61</v>
          </cell>
        </row>
        <row r="3250">
          <cell r="F3250">
            <v>7.64</v>
          </cell>
          <cell r="G3250">
            <v>0</v>
          </cell>
          <cell r="H3250" t="str">
            <v>60/61</v>
          </cell>
        </row>
        <row r="3251">
          <cell r="F3251">
            <v>23.79</v>
          </cell>
          <cell r="G3251">
            <v>0</v>
          </cell>
          <cell r="H3251" t="str">
            <v>60/61</v>
          </cell>
        </row>
        <row r="3252">
          <cell r="F3252">
            <v>17.87</v>
          </cell>
          <cell r="G3252">
            <v>0</v>
          </cell>
          <cell r="H3252" t="str">
            <v>60/61</v>
          </cell>
        </row>
        <row r="3253">
          <cell r="F3253">
            <v>14.29</v>
          </cell>
          <cell r="G3253">
            <v>0</v>
          </cell>
          <cell r="H3253" t="str">
            <v>60/61</v>
          </cell>
        </row>
        <row r="3254">
          <cell r="F3254">
            <v>51.41</v>
          </cell>
          <cell r="G3254">
            <v>0</v>
          </cell>
          <cell r="H3254" t="str">
            <v>60/61</v>
          </cell>
        </row>
        <row r="3255">
          <cell r="F3255">
            <v>10.69</v>
          </cell>
          <cell r="G3255">
            <v>0</v>
          </cell>
          <cell r="H3255" t="str">
            <v>60/61</v>
          </cell>
        </row>
        <row r="3256">
          <cell r="F3256">
            <v>34.6</v>
          </cell>
          <cell r="G3256">
            <v>0</v>
          </cell>
          <cell r="H3256" t="str">
            <v>60/61</v>
          </cell>
        </row>
        <row r="3257">
          <cell r="F3257">
            <v>306.32</v>
          </cell>
          <cell r="G3257">
            <v>0</v>
          </cell>
          <cell r="H3257" t="str">
            <v>60/61</v>
          </cell>
        </row>
        <row r="3258">
          <cell r="F3258">
            <v>71.77</v>
          </cell>
          <cell r="G3258">
            <v>0</v>
          </cell>
          <cell r="H3258" t="str">
            <v>60/61</v>
          </cell>
        </row>
        <row r="3259">
          <cell r="F3259">
            <v>1.89</v>
          </cell>
          <cell r="G3259">
            <v>0</v>
          </cell>
          <cell r="H3259" t="str">
            <v>60/61</v>
          </cell>
        </row>
        <row r="3260">
          <cell r="F3260">
            <v>0</v>
          </cell>
          <cell r="G3260">
            <v>0</v>
          </cell>
          <cell r="H3260" t="str">
            <v>60/61</v>
          </cell>
        </row>
        <row r="3261">
          <cell r="F3261">
            <v>271.32</v>
          </cell>
          <cell r="G3261">
            <v>0</v>
          </cell>
          <cell r="H3261" t="str">
            <v>60/61</v>
          </cell>
        </row>
        <row r="3262">
          <cell r="F3262">
            <v>94.12</v>
          </cell>
          <cell r="G3262">
            <v>0</v>
          </cell>
          <cell r="H3262" t="str">
            <v>60/61</v>
          </cell>
        </row>
        <row r="3263">
          <cell r="F3263">
            <v>28.18</v>
          </cell>
          <cell r="G3263">
            <v>0</v>
          </cell>
          <cell r="H3263" t="str">
            <v>60/61</v>
          </cell>
        </row>
        <row r="3264">
          <cell r="F3264">
            <v>55.71</v>
          </cell>
          <cell r="G3264">
            <v>0</v>
          </cell>
          <cell r="H3264" t="str">
            <v>60/61</v>
          </cell>
        </row>
        <row r="3265">
          <cell r="F3265">
            <v>33.21</v>
          </cell>
          <cell r="G3265">
            <v>0</v>
          </cell>
          <cell r="H3265" t="str">
            <v>60/61</v>
          </cell>
        </row>
        <row r="3266">
          <cell r="F3266">
            <v>15.61</v>
          </cell>
          <cell r="G3266">
            <v>0</v>
          </cell>
          <cell r="H3266" t="str">
            <v>60/61</v>
          </cell>
        </row>
        <row r="3267">
          <cell r="F3267">
            <v>11.81</v>
          </cell>
          <cell r="G3267">
            <v>0</v>
          </cell>
          <cell r="H3267" t="str">
            <v>60/61</v>
          </cell>
        </row>
        <row r="3268">
          <cell r="F3268">
            <v>45.98</v>
          </cell>
          <cell r="G3268">
            <v>0</v>
          </cell>
          <cell r="H3268" t="str">
            <v>60/61</v>
          </cell>
        </row>
        <row r="3269">
          <cell r="F3269">
            <v>3.49</v>
          </cell>
          <cell r="G3269">
            <v>0</v>
          </cell>
          <cell r="H3269" t="str">
            <v>60/61</v>
          </cell>
        </row>
        <row r="3270">
          <cell r="F3270">
            <v>30.56</v>
          </cell>
          <cell r="G3270">
            <v>0</v>
          </cell>
          <cell r="H3270" t="str">
            <v>60/61</v>
          </cell>
        </row>
        <row r="3271">
          <cell r="F3271">
            <v>153.97999999999999</v>
          </cell>
          <cell r="G3271">
            <v>0</v>
          </cell>
          <cell r="H3271" t="str">
            <v>60/61</v>
          </cell>
        </row>
        <row r="3272">
          <cell r="F3272">
            <v>29.48</v>
          </cell>
          <cell r="G3272">
            <v>0</v>
          </cell>
          <cell r="H3272" t="str">
            <v>60/61</v>
          </cell>
        </row>
        <row r="3273">
          <cell r="F3273">
            <v>137.94</v>
          </cell>
          <cell r="G3273">
            <v>0</v>
          </cell>
          <cell r="H3273" t="str">
            <v>60/61</v>
          </cell>
        </row>
        <row r="3274">
          <cell r="F3274">
            <v>270.68</v>
          </cell>
          <cell r="G3274">
            <v>0</v>
          </cell>
          <cell r="H3274" t="str">
            <v>60/61</v>
          </cell>
        </row>
        <row r="3275">
          <cell r="F3275">
            <v>5.98</v>
          </cell>
          <cell r="G3275">
            <v>0</v>
          </cell>
          <cell r="H3275" t="str">
            <v>60/61</v>
          </cell>
        </row>
        <row r="3276">
          <cell r="F3276">
            <v>7.84</v>
          </cell>
          <cell r="G3276">
            <v>0</v>
          </cell>
          <cell r="H3276" t="str">
            <v>60/61</v>
          </cell>
        </row>
        <row r="3277">
          <cell r="F3277">
            <v>43.13</v>
          </cell>
          <cell r="G3277">
            <v>0</v>
          </cell>
          <cell r="H3277" t="str">
            <v>60/61</v>
          </cell>
        </row>
        <row r="3278">
          <cell r="F3278">
            <v>10.31</v>
          </cell>
          <cell r="G3278">
            <v>0</v>
          </cell>
          <cell r="H3278" t="str">
            <v>60/61</v>
          </cell>
        </row>
        <row r="3279">
          <cell r="F3279">
            <v>48.12</v>
          </cell>
          <cell r="G3279">
            <v>0</v>
          </cell>
          <cell r="H3279" t="str">
            <v>60/61</v>
          </cell>
        </row>
        <row r="3280">
          <cell r="F3280">
            <v>1.93</v>
          </cell>
          <cell r="G3280">
            <v>0</v>
          </cell>
          <cell r="H3280" t="str">
            <v>60/61</v>
          </cell>
        </row>
        <row r="3281">
          <cell r="F3281">
            <v>200.18</v>
          </cell>
          <cell r="G3281">
            <v>0</v>
          </cell>
          <cell r="H3281" t="str">
            <v>60/61</v>
          </cell>
        </row>
        <row r="3282">
          <cell r="F3282">
            <v>23.84</v>
          </cell>
          <cell r="G3282">
            <v>0</v>
          </cell>
          <cell r="H3282" t="str">
            <v>60/61</v>
          </cell>
        </row>
        <row r="3283">
          <cell r="F3283">
            <v>108.29</v>
          </cell>
          <cell r="G3283">
            <v>0</v>
          </cell>
          <cell r="H3283" t="str">
            <v>60/61</v>
          </cell>
        </row>
        <row r="3284">
          <cell r="F3284">
            <v>24.68</v>
          </cell>
          <cell r="G3284">
            <v>0</v>
          </cell>
          <cell r="H3284" t="str">
            <v>60/61</v>
          </cell>
        </row>
        <row r="3285">
          <cell r="F3285">
            <v>145.30000000000001</v>
          </cell>
          <cell r="G3285">
            <v>0</v>
          </cell>
          <cell r="H3285" t="str">
            <v>60/61</v>
          </cell>
        </row>
        <row r="3286">
          <cell r="F3286">
            <v>6.23</v>
          </cell>
          <cell r="G3286">
            <v>0</v>
          </cell>
          <cell r="H3286" t="str">
            <v>60/61</v>
          </cell>
        </row>
        <row r="3287">
          <cell r="F3287">
            <v>12.75</v>
          </cell>
          <cell r="G3287">
            <v>0</v>
          </cell>
          <cell r="H3287" t="str">
            <v>60/61</v>
          </cell>
        </row>
        <row r="3288">
          <cell r="F3288">
            <v>183.19</v>
          </cell>
          <cell r="G3288">
            <v>0</v>
          </cell>
          <cell r="H3288" t="str">
            <v>60/61</v>
          </cell>
        </row>
        <row r="3289">
          <cell r="F3289">
            <v>59.35</v>
          </cell>
          <cell r="G3289">
            <v>0</v>
          </cell>
          <cell r="H3289" t="str">
            <v>60/61</v>
          </cell>
        </row>
        <row r="3290">
          <cell r="F3290">
            <v>1292.6199999999999</v>
          </cell>
          <cell r="G3290">
            <v>0</v>
          </cell>
          <cell r="H3290" t="str">
            <v>60/61</v>
          </cell>
        </row>
        <row r="3291">
          <cell r="F3291">
            <v>2079.84</v>
          </cell>
          <cell r="G3291">
            <v>0</v>
          </cell>
          <cell r="H3291" t="str">
            <v>60/61</v>
          </cell>
        </row>
        <row r="3292">
          <cell r="F3292">
            <v>224.22</v>
          </cell>
          <cell r="G3292">
            <v>0</v>
          </cell>
          <cell r="H3292" t="str">
            <v>60/61</v>
          </cell>
        </row>
        <row r="3293">
          <cell r="F3293">
            <v>4133.1899999999996</v>
          </cell>
          <cell r="G3293">
            <v>0</v>
          </cell>
          <cell r="H3293" t="str">
            <v>60/61</v>
          </cell>
        </row>
        <row r="3294">
          <cell r="F3294">
            <v>422.93</v>
          </cell>
          <cell r="G3294">
            <v>0</v>
          </cell>
          <cell r="H3294" t="str">
            <v>60/61</v>
          </cell>
        </row>
        <row r="3295">
          <cell r="F3295">
            <v>3.07</v>
          </cell>
          <cell r="G3295">
            <v>0</v>
          </cell>
          <cell r="H3295" t="str">
            <v>60/61</v>
          </cell>
        </row>
        <row r="3296">
          <cell r="F3296">
            <v>13.72</v>
          </cell>
          <cell r="G3296">
            <v>0</v>
          </cell>
          <cell r="H3296" t="str">
            <v>60/61</v>
          </cell>
        </row>
        <row r="3297">
          <cell r="F3297">
            <v>90.42</v>
          </cell>
          <cell r="G3297">
            <v>0</v>
          </cell>
          <cell r="H3297" t="str">
            <v>60/61</v>
          </cell>
        </row>
        <row r="3298">
          <cell r="F3298">
            <v>5.92</v>
          </cell>
          <cell r="G3298">
            <v>0</v>
          </cell>
          <cell r="H3298" t="str">
            <v>60/61</v>
          </cell>
        </row>
        <row r="3299">
          <cell r="F3299">
            <v>79.2</v>
          </cell>
          <cell r="G3299">
            <v>0</v>
          </cell>
          <cell r="H3299" t="str">
            <v>60/61</v>
          </cell>
        </row>
        <row r="3300">
          <cell r="F3300">
            <v>1.71</v>
          </cell>
          <cell r="G3300">
            <v>0</v>
          </cell>
          <cell r="H3300" t="str">
            <v>60/61</v>
          </cell>
        </row>
        <row r="3301">
          <cell r="F3301">
            <v>5.5</v>
          </cell>
          <cell r="G3301">
            <v>0</v>
          </cell>
          <cell r="H3301" t="str">
            <v>60/61</v>
          </cell>
        </row>
        <row r="3302">
          <cell r="F3302">
            <v>92.21</v>
          </cell>
          <cell r="G3302">
            <v>0</v>
          </cell>
          <cell r="H3302" t="str">
            <v>60/61</v>
          </cell>
        </row>
        <row r="3303">
          <cell r="F3303">
            <v>37.29</v>
          </cell>
          <cell r="G3303">
            <v>0</v>
          </cell>
          <cell r="H3303" t="str">
            <v>60/61</v>
          </cell>
        </row>
        <row r="3304">
          <cell r="F3304">
            <v>6.37</v>
          </cell>
          <cell r="G3304">
            <v>0</v>
          </cell>
          <cell r="H3304" t="str">
            <v>60/61</v>
          </cell>
        </row>
        <row r="3305">
          <cell r="F3305">
            <v>2.29</v>
          </cell>
          <cell r="G3305">
            <v>0</v>
          </cell>
          <cell r="H3305" t="str">
            <v>60/61</v>
          </cell>
        </row>
        <row r="3306">
          <cell r="F3306">
            <v>6.79</v>
          </cell>
          <cell r="G3306">
            <v>0</v>
          </cell>
          <cell r="H3306" t="str">
            <v>60/61</v>
          </cell>
        </row>
        <row r="3307">
          <cell r="F3307">
            <v>1.77</v>
          </cell>
          <cell r="G3307">
            <v>0</v>
          </cell>
          <cell r="H3307" t="str">
            <v>60/61</v>
          </cell>
        </row>
        <row r="3308">
          <cell r="F3308">
            <v>4.07</v>
          </cell>
          <cell r="G3308">
            <v>0</v>
          </cell>
          <cell r="H3308" t="str">
            <v>60/61</v>
          </cell>
        </row>
        <row r="3309">
          <cell r="F3309">
            <v>3.67</v>
          </cell>
          <cell r="G3309">
            <v>0</v>
          </cell>
          <cell r="H3309" t="str">
            <v>60/61</v>
          </cell>
        </row>
        <row r="3310">
          <cell r="F3310">
            <v>6.79</v>
          </cell>
          <cell r="G3310">
            <v>0</v>
          </cell>
          <cell r="H3310" t="str">
            <v>60/61</v>
          </cell>
        </row>
        <row r="3311">
          <cell r="F3311">
            <v>39.200000000000003</v>
          </cell>
          <cell r="G3311">
            <v>0</v>
          </cell>
          <cell r="H3311" t="str">
            <v>60/61</v>
          </cell>
        </row>
        <row r="3312">
          <cell r="F3312">
            <v>15.2</v>
          </cell>
          <cell r="G3312">
            <v>0</v>
          </cell>
          <cell r="H3312" t="str">
            <v>60/61</v>
          </cell>
        </row>
        <row r="3313">
          <cell r="F3313">
            <v>8.59</v>
          </cell>
          <cell r="G3313">
            <v>0</v>
          </cell>
          <cell r="H3313" t="str">
            <v>60/61</v>
          </cell>
        </row>
        <row r="3314">
          <cell r="F3314">
            <v>13.11</v>
          </cell>
          <cell r="G3314">
            <v>0</v>
          </cell>
          <cell r="H3314" t="str">
            <v>60/61</v>
          </cell>
        </row>
        <row r="3315">
          <cell r="F3315">
            <v>14.65</v>
          </cell>
          <cell r="G3315">
            <v>0</v>
          </cell>
          <cell r="H3315" t="str">
            <v>60/61</v>
          </cell>
        </row>
        <row r="3316">
          <cell r="F3316">
            <v>27.95</v>
          </cell>
          <cell r="G3316">
            <v>0</v>
          </cell>
          <cell r="H3316" t="str">
            <v>60/61</v>
          </cell>
        </row>
        <row r="3317">
          <cell r="F3317">
            <v>20.47</v>
          </cell>
          <cell r="G3317">
            <v>0</v>
          </cell>
          <cell r="H3317" t="str">
            <v>60/61</v>
          </cell>
        </row>
        <row r="3318">
          <cell r="F3318">
            <v>113.79</v>
          </cell>
          <cell r="G3318">
            <v>0</v>
          </cell>
          <cell r="H3318" t="str">
            <v>60/61</v>
          </cell>
        </row>
        <row r="3319">
          <cell r="F3319">
            <v>93.95</v>
          </cell>
          <cell r="G3319">
            <v>0</v>
          </cell>
          <cell r="H3319" t="str">
            <v>60/61</v>
          </cell>
        </row>
        <row r="3320">
          <cell r="F3320">
            <v>15.2</v>
          </cell>
          <cell r="G3320">
            <v>0</v>
          </cell>
          <cell r="H3320" t="str">
            <v>60/61</v>
          </cell>
        </row>
        <row r="3321">
          <cell r="F3321">
            <v>24.24</v>
          </cell>
          <cell r="G3321">
            <v>0</v>
          </cell>
          <cell r="H3321" t="str">
            <v>60/61</v>
          </cell>
        </row>
        <row r="3322">
          <cell r="F3322">
            <v>148.38</v>
          </cell>
          <cell r="G3322">
            <v>0</v>
          </cell>
          <cell r="H3322" t="str">
            <v>60/61</v>
          </cell>
        </row>
        <row r="3323">
          <cell r="F3323">
            <v>4.5599999999999996</v>
          </cell>
          <cell r="G3323">
            <v>0</v>
          </cell>
          <cell r="H3323" t="str">
            <v>60/61</v>
          </cell>
        </row>
        <row r="3324">
          <cell r="F3324">
            <v>0.31</v>
          </cell>
          <cell r="G3324">
            <v>0</v>
          </cell>
          <cell r="H3324" t="str">
            <v>60/61</v>
          </cell>
        </row>
        <row r="3325">
          <cell r="F3325">
            <v>0.54</v>
          </cell>
          <cell r="G3325">
            <v>0</v>
          </cell>
          <cell r="H3325" t="str">
            <v>60/61</v>
          </cell>
        </row>
        <row r="3326">
          <cell r="F3326">
            <v>2.94</v>
          </cell>
          <cell r="G3326">
            <v>0</v>
          </cell>
          <cell r="H3326" t="str">
            <v>60/61</v>
          </cell>
        </row>
        <row r="3327">
          <cell r="F3327">
            <v>29.21</v>
          </cell>
          <cell r="G3327">
            <v>0</v>
          </cell>
          <cell r="H3327" t="str">
            <v>60/61</v>
          </cell>
        </row>
        <row r="3328">
          <cell r="F3328">
            <v>15.89</v>
          </cell>
          <cell r="G3328">
            <v>0</v>
          </cell>
          <cell r="H3328" t="str">
            <v>60/61</v>
          </cell>
        </row>
        <row r="3329">
          <cell r="F3329">
            <v>41.43</v>
          </cell>
          <cell r="G3329">
            <v>0</v>
          </cell>
          <cell r="H3329" t="str">
            <v>60/61</v>
          </cell>
        </row>
        <row r="3330">
          <cell r="F3330">
            <v>4.05</v>
          </cell>
          <cell r="G3330">
            <v>0</v>
          </cell>
          <cell r="H3330" t="str">
            <v>60/61</v>
          </cell>
        </row>
        <row r="3331">
          <cell r="F3331">
            <v>29.83</v>
          </cell>
          <cell r="G3331">
            <v>0</v>
          </cell>
          <cell r="H3331" t="str">
            <v>60/61</v>
          </cell>
        </row>
        <row r="3332">
          <cell r="F3332">
            <v>2.1800000000000002</v>
          </cell>
          <cell r="G3332">
            <v>0</v>
          </cell>
          <cell r="H3332" t="str">
            <v>60/61</v>
          </cell>
        </row>
        <row r="3333">
          <cell r="F3333">
            <v>22.35</v>
          </cell>
          <cell r="G3333">
            <v>0</v>
          </cell>
          <cell r="H3333" t="str">
            <v>60/61</v>
          </cell>
        </row>
        <row r="3334">
          <cell r="F3334">
            <v>33.799999999999997</v>
          </cell>
          <cell r="G3334">
            <v>0</v>
          </cell>
          <cell r="H3334" t="str">
            <v>60/61</v>
          </cell>
        </row>
        <row r="3335">
          <cell r="F3335">
            <v>26.12</v>
          </cell>
          <cell r="G3335">
            <v>0</v>
          </cell>
          <cell r="H3335" t="str">
            <v>60/61</v>
          </cell>
        </row>
        <row r="3336">
          <cell r="F3336">
            <v>0.55000000000000004</v>
          </cell>
          <cell r="G3336">
            <v>0</v>
          </cell>
          <cell r="H3336" t="str">
            <v>60/61</v>
          </cell>
        </row>
        <row r="3337">
          <cell r="F3337">
            <v>57.08</v>
          </cell>
          <cell r="G3337">
            <v>0</v>
          </cell>
          <cell r="H3337" t="str">
            <v>60/61</v>
          </cell>
        </row>
        <row r="3338">
          <cell r="F3338">
            <v>28.11</v>
          </cell>
          <cell r="G3338">
            <v>0</v>
          </cell>
          <cell r="H3338" t="str">
            <v>60/61</v>
          </cell>
        </row>
        <row r="3339">
          <cell r="F3339">
            <v>8.0399999999999991</v>
          </cell>
          <cell r="G3339">
            <v>0</v>
          </cell>
          <cell r="H3339" t="str">
            <v>60/61</v>
          </cell>
        </row>
        <row r="3340">
          <cell r="F3340">
            <v>23.74</v>
          </cell>
          <cell r="G3340">
            <v>0</v>
          </cell>
          <cell r="H3340" t="str">
            <v>60/61</v>
          </cell>
        </row>
        <row r="3341">
          <cell r="F3341">
            <v>6.8</v>
          </cell>
          <cell r="G3341">
            <v>0</v>
          </cell>
          <cell r="H3341" t="str">
            <v>60/61</v>
          </cell>
        </row>
        <row r="3342">
          <cell r="F3342">
            <v>7.04</v>
          </cell>
          <cell r="G3342">
            <v>0</v>
          </cell>
          <cell r="H3342" t="str">
            <v>60/61</v>
          </cell>
        </row>
        <row r="3343">
          <cell r="F3343">
            <v>61.41</v>
          </cell>
          <cell r="G3343">
            <v>0</v>
          </cell>
          <cell r="H3343" t="str">
            <v>60/61</v>
          </cell>
        </row>
        <row r="3344">
          <cell r="F3344">
            <v>26.75</v>
          </cell>
          <cell r="G3344">
            <v>0</v>
          </cell>
          <cell r="H3344" t="str">
            <v>60/61</v>
          </cell>
        </row>
        <row r="3345">
          <cell r="F3345">
            <v>10.16</v>
          </cell>
          <cell r="G3345">
            <v>0</v>
          </cell>
          <cell r="H3345" t="str">
            <v>60/61</v>
          </cell>
        </row>
        <row r="3346">
          <cell r="F3346">
            <v>37.06</v>
          </cell>
          <cell r="G3346">
            <v>0</v>
          </cell>
          <cell r="H3346" t="str">
            <v>60/61</v>
          </cell>
        </row>
        <row r="3347">
          <cell r="F3347">
            <v>2.91</v>
          </cell>
          <cell r="G3347">
            <v>0</v>
          </cell>
          <cell r="H3347" t="str">
            <v>60/61</v>
          </cell>
        </row>
        <row r="3348">
          <cell r="F3348">
            <v>48.76</v>
          </cell>
          <cell r="G3348">
            <v>0</v>
          </cell>
          <cell r="H3348" t="str">
            <v>60/61</v>
          </cell>
        </row>
        <row r="3349">
          <cell r="F3349">
            <v>4.45</v>
          </cell>
          <cell r="G3349">
            <v>0</v>
          </cell>
          <cell r="H3349" t="str">
            <v>60/61</v>
          </cell>
        </row>
        <row r="3350">
          <cell r="F3350">
            <v>2.17</v>
          </cell>
          <cell r="G3350">
            <v>0</v>
          </cell>
          <cell r="H3350" t="str">
            <v>60/61</v>
          </cell>
        </row>
        <row r="3351">
          <cell r="F3351">
            <v>5.31</v>
          </cell>
          <cell r="G3351">
            <v>0</v>
          </cell>
          <cell r="H3351" t="str">
            <v>60/61</v>
          </cell>
        </row>
        <row r="3352">
          <cell r="F3352">
            <v>21.39</v>
          </cell>
          <cell r="G3352">
            <v>0</v>
          </cell>
          <cell r="H3352" t="str">
            <v>60/61</v>
          </cell>
        </row>
        <row r="3353">
          <cell r="F3353">
            <v>9.86</v>
          </cell>
          <cell r="G3353">
            <v>0</v>
          </cell>
          <cell r="H3353" t="str">
            <v>60/61</v>
          </cell>
        </row>
        <row r="3354">
          <cell r="F3354">
            <v>87.34</v>
          </cell>
          <cell r="G3354">
            <v>0</v>
          </cell>
          <cell r="H3354" t="str">
            <v>60/61</v>
          </cell>
        </row>
        <row r="3355">
          <cell r="F3355">
            <v>5.54</v>
          </cell>
          <cell r="G3355">
            <v>0</v>
          </cell>
          <cell r="H3355" t="str">
            <v>60/61</v>
          </cell>
        </row>
        <row r="3356">
          <cell r="F3356">
            <v>8.08</v>
          </cell>
          <cell r="G3356">
            <v>0</v>
          </cell>
          <cell r="H3356" t="str">
            <v>60/61</v>
          </cell>
        </row>
        <row r="3357">
          <cell r="F3357">
            <v>6.69</v>
          </cell>
          <cell r="G3357">
            <v>0</v>
          </cell>
          <cell r="H3357" t="str">
            <v>60/61</v>
          </cell>
        </row>
        <row r="3358">
          <cell r="F3358">
            <v>10.7</v>
          </cell>
          <cell r="G3358">
            <v>0</v>
          </cell>
          <cell r="H3358" t="str">
            <v>60/61</v>
          </cell>
        </row>
        <row r="3359">
          <cell r="F3359">
            <v>0</v>
          </cell>
          <cell r="G3359">
            <v>0</v>
          </cell>
          <cell r="H3359" t="str">
            <v>60/61</v>
          </cell>
        </row>
        <row r="3360">
          <cell r="F3360">
            <v>6.79</v>
          </cell>
          <cell r="G3360">
            <v>0</v>
          </cell>
          <cell r="H3360" t="str">
            <v>60/61</v>
          </cell>
        </row>
        <row r="3361">
          <cell r="F3361">
            <v>78.260000000000005</v>
          </cell>
          <cell r="G3361">
            <v>0</v>
          </cell>
          <cell r="H3361" t="str">
            <v>60/61</v>
          </cell>
        </row>
        <row r="3362">
          <cell r="F3362">
            <v>75.69</v>
          </cell>
          <cell r="G3362">
            <v>0</v>
          </cell>
          <cell r="H3362" t="str">
            <v>60/61</v>
          </cell>
        </row>
        <row r="3363">
          <cell r="F3363">
            <v>19.190000000000001</v>
          </cell>
          <cell r="G3363">
            <v>0</v>
          </cell>
          <cell r="H3363" t="str">
            <v>60/61</v>
          </cell>
        </row>
        <row r="3364">
          <cell r="F3364">
            <v>3.15</v>
          </cell>
          <cell r="G3364">
            <v>0</v>
          </cell>
          <cell r="H3364" t="str">
            <v>60/61</v>
          </cell>
        </row>
        <row r="3365">
          <cell r="F3365">
            <v>2.4</v>
          </cell>
          <cell r="G3365">
            <v>0</v>
          </cell>
          <cell r="H3365" t="str">
            <v>60/61</v>
          </cell>
        </row>
        <row r="3366">
          <cell r="F3366">
            <v>7.39</v>
          </cell>
          <cell r="G3366">
            <v>0</v>
          </cell>
          <cell r="H3366" t="str">
            <v>60/61</v>
          </cell>
        </row>
        <row r="3367">
          <cell r="F3367">
            <v>30.77</v>
          </cell>
          <cell r="G3367">
            <v>0</v>
          </cell>
          <cell r="H3367" t="str">
            <v>60/61</v>
          </cell>
        </row>
        <row r="3368">
          <cell r="F3368">
            <v>15.29</v>
          </cell>
          <cell r="G3368">
            <v>0</v>
          </cell>
          <cell r="H3368" t="str">
            <v>60/61</v>
          </cell>
        </row>
        <row r="3369">
          <cell r="F3369">
            <v>22.85</v>
          </cell>
          <cell r="G3369">
            <v>0</v>
          </cell>
          <cell r="H3369" t="str">
            <v>60/61</v>
          </cell>
        </row>
        <row r="3370">
          <cell r="F3370">
            <v>1.3</v>
          </cell>
          <cell r="G3370">
            <v>0</v>
          </cell>
          <cell r="H3370" t="str">
            <v>60/61</v>
          </cell>
        </row>
        <row r="3371">
          <cell r="F3371">
            <v>10.33</v>
          </cell>
          <cell r="G3371">
            <v>0</v>
          </cell>
          <cell r="H3371" t="str">
            <v>60/61</v>
          </cell>
        </row>
        <row r="3372">
          <cell r="F3372">
            <v>2.7</v>
          </cell>
          <cell r="G3372">
            <v>0</v>
          </cell>
          <cell r="H3372" t="str">
            <v>60/61</v>
          </cell>
        </row>
        <row r="3373">
          <cell r="F3373">
            <v>16.510000000000002</v>
          </cell>
          <cell r="G3373">
            <v>0</v>
          </cell>
          <cell r="H3373" t="str">
            <v>60/61</v>
          </cell>
        </row>
        <row r="3374">
          <cell r="F3374">
            <v>9.58</v>
          </cell>
          <cell r="G3374">
            <v>0</v>
          </cell>
          <cell r="H3374" t="str">
            <v>60/61</v>
          </cell>
        </row>
        <row r="3375">
          <cell r="F3375">
            <v>22.65</v>
          </cell>
          <cell r="G3375">
            <v>0</v>
          </cell>
          <cell r="H3375" t="str">
            <v>60/61</v>
          </cell>
        </row>
        <row r="3376">
          <cell r="F3376">
            <v>30.88</v>
          </cell>
          <cell r="G3376">
            <v>0</v>
          </cell>
          <cell r="H3376" t="str">
            <v>60/61</v>
          </cell>
        </row>
        <row r="3377">
          <cell r="F3377">
            <v>59.55</v>
          </cell>
          <cell r="G3377">
            <v>0</v>
          </cell>
          <cell r="H3377" t="str">
            <v>60/61</v>
          </cell>
        </row>
        <row r="3378">
          <cell r="F3378">
            <v>22.95</v>
          </cell>
          <cell r="G3378">
            <v>0</v>
          </cell>
          <cell r="H3378" t="str">
            <v>60/61</v>
          </cell>
        </row>
        <row r="3379">
          <cell r="F3379">
            <v>30.34</v>
          </cell>
          <cell r="G3379">
            <v>0</v>
          </cell>
          <cell r="H3379" t="str">
            <v>60/61</v>
          </cell>
        </row>
        <row r="3380">
          <cell r="F3380">
            <v>37.42</v>
          </cell>
          <cell r="G3380">
            <v>0</v>
          </cell>
          <cell r="H3380" t="str">
            <v>60/61</v>
          </cell>
        </row>
        <row r="3381">
          <cell r="F3381">
            <v>28.31</v>
          </cell>
          <cell r="G3381">
            <v>0</v>
          </cell>
          <cell r="H3381" t="str">
            <v>60/61</v>
          </cell>
        </row>
        <row r="3382">
          <cell r="F3382">
            <v>25.09</v>
          </cell>
          <cell r="G3382">
            <v>0</v>
          </cell>
          <cell r="H3382" t="str">
            <v>60/61</v>
          </cell>
        </row>
        <row r="3383">
          <cell r="F3383">
            <v>8.39</v>
          </cell>
          <cell r="G3383">
            <v>0</v>
          </cell>
          <cell r="H3383" t="str">
            <v>60/61</v>
          </cell>
        </row>
        <row r="3384">
          <cell r="F3384">
            <v>3.37</v>
          </cell>
          <cell r="G3384">
            <v>0</v>
          </cell>
          <cell r="H3384" t="str">
            <v>60/61</v>
          </cell>
        </row>
        <row r="3385">
          <cell r="F3385">
            <v>1.93</v>
          </cell>
          <cell r="G3385">
            <v>0</v>
          </cell>
          <cell r="H3385" t="str">
            <v>60/61</v>
          </cell>
        </row>
        <row r="3386">
          <cell r="F3386">
            <v>0.71</v>
          </cell>
          <cell r="G3386">
            <v>0</v>
          </cell>
          <cell r="H3386" t="str">
            <v>60/61</v>
          </cell>
        </row>
        <row r="3387">
          <cell r="F3387">
            <v>3.04</v>
          </cell>
          <cell r="G3387">
            <v>0</v>
          </cell>
          <cell r="H3387" t="str">
            <v>60/61</v>
          </cell>
        </row>
        <row r="3388">
          <cell r="F3388">
            <v>11.98</v>
          </cell>
          <cell r="G3388">
            <v>0</v>
          </cell>
          <cell r="H3388" t="str">
            <v>60/61</v>
          </cell>
        </row>
        <row r="3389">
          <cell r="F3389">
            <v>39.340000000000003</v>
          </cell>
          <cell r="G3389">
            <v>0</v>
          </cell>
          <cell r="H3389" t="str">
            <v>60/61</v>
          </cell>
        </row>
        <row r="3390">
          <cell r="F3390">
            <v>11.5</v>
          </cell>
          <cell r="G3390">
            <v>0</v>
          </cell>
          <cell r="H3390" t="str">
            <v>60/61</v>
          </cell>
        </row>
        <row r="3391">
          <cell r="F3391">
            <v>77.2</v>
          </cell>
          <cell r="G3391">
            <v>0</v>
          </cell>
          <cell r="H3391" t="str">
            <v>60/61</v>
          </cell>
        </row>
        <row r="3392">
          <cell r="F3392">
            <v>27.87</v>
          </cell>
          <cell r="G3392">
            <v>0</v>
          </cell>
          <cell r="H3392" t="str">
            <v>60/61</v>
          </cell>
        </row>
        <row r="3393">
          <cell r="F3393">
            <v>5.59</v>
          </cell>
          <cell r="G3393">
            <v>0</v>
          </cell>
          <cell r="H3393" t="str">
            <v>60/61</v>
          </cell>
        </row>
        <row r="3394">
          <cell r="F3394">
            <v>7.03</v>
          </cell>
          <cell r="G3394">
            <v>0</v>
          </cell>
          <cell r="H3394" t="str">
            <v>60/61</v>
          </cell>
        </row>
        <row r="3395">
          <cell r="F3395">
            <v>31.85</v>
          </cell>
          <cell r="G3395">
            <v>0</v>
          </cell>
          <cell r="H3395" t="str">
            <v>60/61</v>
          </cell>
        </row>
        <row r="3396">
          <cell r="F3396">
            <v>19.11</v>
          </cell>
          <cell r="G3396">
            <v>0</v>
          </cell>
          <cell r="H3396" t="str">
            <v>60/61</v>
          </cell>
        </row>
        <row r="3397">
          <cell r="F3397">
            <v>8.7200000000000006</v>
          </cell>
          <cell r="G3397">
            <v>0</v>
          </cell>
          <cell r="H3397" t="str">
            <v>60/61</v>
          </cell>
        </row>
        <row r="3398">
          <cell r="F3398">
            <v>43.92</v>
          </cell>
          <cell r="G3398">
            <v>0</v>
          </cell>
          <cell r="H3398" t="str">
            <v>60/61</v>
          </cell>
        </row>
        <row r="3399">
          <cell r="F3399">
            <v>18.170000000000002</v>
          </cell>
          <cell r="G3399">
            <v>0</v>
          </cell>
          <cell r="H3399" t="str">
            <v>60/61</v>
          </cell>
        </row>
        <row r="3400">
          <cell r="F3400">
            <v>22.1</v>
          </cell>
          <cell r="G3400">
            <v>0</v>
          </cell>
          <cell r="H3400" t="str">
            <v>60/61</v>
          </cell>
        </row>
        <row r="3401">
          <cell r="F3401">
            <v>32.380000000000003</v>
          </cell>
          <cell r="G3401">
            <v>0</v>
          </cell>
          <cell r="H3401" t="str">
            <v>60/61</v>
          </cell>
        </row>
        <row r="3402">
          <cell r="F3402">
            <v>2.25</v>
          </cell>
          <cell r="G3402">
            <v>0</v>
          </cell>
          <cell r="H3402" t="str">
            <v>60/61</v>
          </cell>
        </row>
        <row r="3403">
          <cell r="F3403">
            <v>6.29</v>
          </cell>
          <cell r="G3403">
            <v>0</v>
          </cell>
          <cell r="H3403" t="str">
            <v>60/61</v>
          </cell>
        </row>
        <row r="3404">
          <cell r="F3404">
            <v>15.34</v>
          </cell>
          <cell r="G3404">
            <v>0</v>
          </cell>
          <cell r="H3404" t="str">
            <v>60/61</v>
          </cell>
        </row>
        <row r="3405">
          <cell r="F3405">
            <v>15.52</v>
          </cell>
          <cell r="G3405">
            <v>0</v>
          </cell>
          <cell r="H3405" t="str">
            <v>60/61</v>
          </cell>
        </row>
        <row r="3406">
          <cell r="F3406">
            <v>27.71</v>
          </cell>
          <cell r="G3406">
            <v>0</v>
          </cell>
          <cell r="H3406" t="str">
            <v>60/61</v>
          </cell>
        </row>
        <row r="3407">
          <cell r="F3407">
            <v>77.37</v>
          </cell>
          <cell r="G3407">
            <v>0</v>
          </cell>
          <cell r="H3407" t="str">
            <v>60/61</v>
          </cell>
        </row>
        <row r="3408">
          <cell r="F3408">
            <v>26.84</v>
          </cell>
          <cell r="G3408">
            <v>0</v>
          </cell>
          <cell r="H3408" t="str">
            <v>60/61</v>
          </cell>
        </row>
        <row r="3409">
          <cell r="F3409">
            <v>59.42</v>
          </cell>
          <cell r="G3409">
            <v>0</v>
          </cell>
          <cell r="H3409" t="str">
            <v>60/61</v>
          </cell>
        </row>
        <row r="3410">
          <cell r="F3410">
            <v>26.27</v>
          </cell>
          <cell r="G3410">
            <v>0</v>
          </cell>
          <cell r="H3410" t="str">
            <v>60/61</v>
          </cell>
        </row>
        <row r="3411">
          <cell r="F3411">
            <v>27.94</v>
          </cell>
          <cell r="G3411">
            <v>0</v>
          </cell>
          <cell r="H3411" t="str">
            <v>60/61</v>
          </cell>
        </row>
        <row r="3412">
          <cell r="F3412">
            <v>9.48</v>
          </cell>
          <cell r="G3412">
            <v>0</v>
          </cell>
          <cell r="H3412" t="str">
            <v>60/61</v>
          </cell>
        </row>
        <row r="3413">
          <cell r="F3413">
            <v>3.06</v>
          </cell>
          <cell r="G3413">
            <v>0</v>
          </cell>
          <cell r="H3413" t="str">
            <v>60/61</v>
          </cell>
        </row>
        <row r="3414">
          <cell r="F3414">
            <v>5.73</v>
          </cell>
          <cell r="G3414">
            <v>0</v>
          </cell>
          <cell r="H3414" t="str">
            <v>60/61</v>
          </cell>
        </row>
        <row r="3415">
          <cell r="F3415">
            <v>8.41</v>
          </cell>
          <cell r="G3415">
            <v>0</v>
          </cell>
          <cell r="H3415" t="str">
            <v>60/61</v>
          </cell>
        </row>
        <row r="3416">
          <cell r="F3416">
            <v>3.4</v>
          </cell>
          <cell r="G3416">
            <v>0</v>
          </cell>
          <cell r="H3416" t="str">
            <v>60/61</v>
          </cell>
        </row>
        <row r="3417">
          <cell r="F3417">
            <v>13.95</v>
          </cell>
          <cell r="G3417">
            <v>0</v>
          </cell>
          <cell r="H3417" t="str">
            <v>60/61</v>
          </cell>
        </row>
        <row r="3418">
          <cell r="F3418">
            <v>3.4</v>
          </cell>
          <cell r="G3418">
            <v>0</v>
          </cell>
          <cell r="H3418" t="str">
            <v>60/61</v>
          </cell>
        </row>
        <row r="3419">
          <cell r="F3419">
            <v>3.71</v>
          </cell>
          <cell r="G3419">
            <v>0</v>
          </cell>
          <cell r="H3419" t="str">
            <v>60/61</v>
          </cell>
        </row>
        <row r="3420">
          <cell r="F3420">
            <v>12.3</v>
          </cell>
          <cell r="G3420">
            <v>0</v>
          </cell>
          <cell r="H3420" t="str">
            <v>60/61</v>
          </cell>
        </row>
        <row r="3421">
          <cell r="F3421">
            <v>3.4</v>
          </cell>
          <cell r="G3421">
            <v>0</v>
          </cell>
          <cell r="H3421" t="str">
            <v>60/61</v>
          </cell>
        </row>
        <row r="3422">
          <cell r="F3422">
            <v>2.5</v>
          </cell>
          <cell r="G3422">
            <v>0</v>
          </cell>
          <cell r="H3422" t="str">
            <v>60/61</v>
          </cell>
        </row>
        <row r="3423">
          <cell r="F3423">
            <v>23.84</v>
          </cell>
          <cell r="G3423">
            <v>0</v>
          </cell>
          <cell r="H3423" t="str">
            <v>60/61</v>
          </cell>
        </row>
        <row r="3424">
          <cell r="F3424">
            <v>38.979999999999997</v>
          </cell>
          <cell r="G3424">
            <v>0</v>
          </cell>
          <cell r="H3424" t="str">
            <v>60/61</v>
          </cell>
        </row>
        <row r="3425">
          <cell r="F3425">
            <v>23.45</v>
          </cell>
          <cell r="G3425">
            <v>0</v>
          </cell>
          <cell r="H3425" t="str">
            <v>60/61</v>
          </cell>
        </row>
        <row r="3426">
          <cell r="F3426">
            <v>2.72</v>
          </cell>
          <cell r="G3426">
            <v>0</v>
          </cell>
          <cell r="H3426" t="str">
            <v>60/61</v>
          </cell>
        </row>
        <row r="3427">
          <cell r="F3427">
            <v>5.09</v>
          </cell>
          <cell r="G3427">
            <v>0</v>
          </cell>
          <cell r="H3427" t="str">
            <v>60/61</v>
          </cell>
        </row>
        <row r="3428">
          <cell r="F3428">
            <v>0.99</v>
          </cell>
          <cell r="G3428">
            <v>0</v>
          </cell>
          <cell r="H3428" t="str">
            <v>60/61</v>
          </cell>
        </row>
        <row r="3429">
          <cell r="F3429">
            <v>1.91</v>
          </cell>
          <cell r="G3429">
            <v>0</v>
          </cell>
          <cell r="H3429" t="str">
            <v>60/61</v>
          </cell>
        </row>
        <row r="3430">
          <cell r="F3430">
            <v>74.11</v>
          </cell>
          <cell r="G3430">
            <v>0</v>
          </cell>
          <cell r="H3430" t="str">
            <v>60/61</v>
          </cell>
        </row>
        <row r="3431">
          <cell r="F3431">
            <v>29.58</v>
          </cell>
          <cell r="G3431">
            <v>0</v>
          </cell>
          <cell r="H3431" t="str">
            <v>60/61</v>
          </cell>
        </row>
        <row r="3432">
          <cell r="F3432">
            <v>49.76</v>
          </cell>
          <cell r="G3432">
            <v>0</v>
          </cell>
          <cell r="H3432" t="str">
            <v>60/61</v>
          </cell>
        </row>
        <row r="3433">
          <cell r="F3433">
            <v>4.83</v>
          </cell>
          <cell r="G3433">
            <v>0</v>
          </cell>
          <cell r="H3433" t="str">
            <v>60/61</v>
          </cell>
        </row>
        <row r="3434">
          <cell r="F3434">
            <v>21.41</v>
          </cell>
          <cell r="G3434">
            <v>0</v>
          </cell>
          <cell r="H3434" t="str">
            <v>60/61</v>
          </cell>
        </row>
        <row r="3435">
          <cell r="F3435">
            <v>20.45</v>
          </cell>
          <cell r="G3435">
            <v>0</v>
          </cell>
          <cell r="H3435" t="str">
            <v>60/61</v>
          </cell>
        </row>
        <row r="3436">
          <cell r="F3436">
            <v>14.54</v>
          </cell>
          <cell r="G3436">
            <v>0</v>
          </cell>
          <cell r="H3436" t="str">
            <v>60/61</v>
          </cell>
        </row>
        <row r="3437">
          <cell r="F3437">
            <v>23.43</v>
          </cell>
          <cell r="G3437">
            <v>0</v>
          </cell>
          <cell r="H3437" t="str">
            <v>60/61</v>
          </cell>
        </row>
        <row r="3438">
          <cell r="F3438">
            <v>15.68</v>
          </cell>
          <cell r="G3438">
            <v>0</v>
          </cell>
          <cell r="H3438" t="str">
            <v>60/61</v>
          </cell>
        </row>
        <row r="3439">
          <cell r="F3439">
            <v>4.6900000000000013</v>
          </cell>
          <cell r="G3439">
            <v>0</v>
          </cell>
          <cell r="H3439" t="str">
            <v>60/61</v>
          </cell>
        </row>
        <row r="3440">
          <cell r="F3440">
            <v>6.3999999999999986</v>
          </cell>
          <cell r="G3440">
            <v>0</v>
          </cell>
          <cell r="H3440" t="str">
            <v>60/61</v>
          </cell>
        </row>
        <row r="3441">
          <cell r="F3441">
            <v>1.4499999999999997</v>
          </cell>
          <cell r="G3441">
            <v>0</v>
          </cell>
          <cell r="H3441" t="str">
            <v>60/61</v>
          </cell>
        </row>
        <row r="3442">
          <cell r="F3442">
            <v>0.6100000000000001</v>
          </cell>
          <cell r="G3442">
            <v>0</v>
          </cell>
          <cell r="H3442" t="str">
            <v>60/61</v>
          </cell>
        </row>
        <row r="3443">
          <cell r="F3443">
            <v>6.1900000000000013</v>
          </cell>
          <cell r="G3443">
            <v>0</v>
          </cell>
          <cell r="H3443" t="str">
            <v>60/61</v>
          </cell>
        </row>
        <row r="3444">
          <cell r="F3444">
            <v>4.6400000000000006</v>
          </cell>
          <cell r="G3444">
            <v>0</v>
          </cell>
          <cell r="H3444" t="str">
            <v>60/61</v>
          </cell>
        </row>
        <row r="3445">
          <cell r="F3445">
            <v>0.21000000000000002</v>
          </cell>
          <cell r="G3445">
            <v>0</v>
          </cell>
          <cell r="H3445" t="str">
            <v>60/61</v>
          </cell>
        </row>
        <row r="3446">
          <cell r="F3446">
            <v>19.5</v>
          </cell>
          <cell r="G3446">
            <v>0</v>
          </cell>
          <cell r="H3446" t="str">
            <v>60/61</v>
          </cell>
        </row>
        <row r="3447">
          <cell r="F3447">
            <v>4.25</v>
          </cell>
          <cell r="G3447">
            <v>0</v>
          </cell>
          <cell r="H3447" t="str">
            <v>60/61</v>
          </cell>
        </row>
        <row r="3448">
          <cell r="F3448">
            <v>2.8899999999999997</v>
          </cell>
          <cell r="G3448">
            <v>0</v>
          </cell>
          <cell r="H3448" t="str">
            <v>60/61</v>
          </cell>
        </row>
        <row r="3449">
          <cell r="F3449">
            <v>16.409999999999997</v>
          </cell>
          <cell r="G3449">
            <v>0</v>
          </cell>
          <cell r="H3449" t="str">
            <v>60/61</v>
          </cell>
        </row>
        <row r="3450">
          <cell r="F3450">
            <v>0.35000000000000009</v>
          </cell>
          <cell r="G3450">
            <v>0</v>
          </cell>
          <cell r="H3450" t="str">
            <v>60/61</v>
          </cell>
        </row>
        <row r="3451">
          <cell r="F3451">
            <v>8.1499999999999986</v>
          </cell>
          <cell r="G3451">
            <v>0</v>
          </cell>
          <cell r="H3451" t="str">
            <v>60/61</v>
          </cell>
        </row>
        <row r="3452">
          <cell r="F3452">
            <v>3.1399999999999997</v>
          </cell>
          <cell r="G3452">
            <v>0</v>
          </cell>
          <cell r="H3452" t="str">
            <v>60/61</v>
          </cell>
        </row>
        <row r="3453">
          <cell r="F3453">
            <v>12.719999999999999</v>
          </cell>
          <cell r="G3453">
            <v>0</v>
          </cell>
          <cell r="H3453" t="str">
            <v>60/61</v>
          </cell>
        </row>
        <row r="3454">
          <cell r="F3454">
            <v>5.870000000000001</v>
          </cell>
          <cell r="G3454">
            <v>0</v>
          </cell>
          <cell r="H3454" t="str">
            <v>60/61</v>
          </cell>
        </row>
        <row r="3455">
          <cell r="F3455">
            <v>5.4299999999999979</v>
          </cell>
          <cell r="G3455">
            <v>0</v>
          </cell>
          <cell r="H3455" t="str">
            <v>60/61</v>
          </cell>
        </row>
        <row r="3456">
          <cell r="F3456">
            <v>0.85999999999999988</v>
          </cell>
          <cell r="G3456">
            <v>0</v>
          </cell>
          <cell r="H3456" t="str">
            <v>60/61</v>
          </cell>
        </row>
        <row r="3457">
          <cell r="F3457">
            <v>5.7900000000000009</v>
          </cell>
          <cell r="G3457">
            <v>0</v>
          </cell>
          <cell r="H3457" t="str">
            <v>60/61</v>
          </cell>
        </row>
        <row r="3458">
          <cell r="F3458">
            <v>0.94000000000000017</v>
          </cell>
          <cell r="G3458">
            <v>0</v>
          </cell>
          <cell r="H3458" t="str">
            <v>60/61</v>
          </cell>
        </row>
        <row r="3459">
          <cell r="F3459">
            <v>0.75999999999999979</v>
          </cell>
          <cell r="G3459">
            <v>0</v>
          </cell>
          <cell r="H3459" t="str">
            <v>60/61</v>
          </cell>
        </row>
        <row r="3460">
          <cell r="F3460">
            <v>1.1400000000000001</v>
          </cell>
          <cell r="G3460">
            <v>0</v>
          </cell>
          <cell r="H3460" t="str">
            <v>60/61</v>
          </cell>
        </row>
        <row r="3461">
          <cell r="F3461">
            <v>0.11000000000000001</v>
          </cell>
          <cell r="G3461">
            <v>0</v>
          </cell>
          <cell r="H3461" t="str">
            <v>60/61</v>
          </cell>
        </row>
        <row r="3462">
          <cell r="F3462">
            <v>0.6100000000000001</v>
          </cell>
          <cell r="G3462">
            <v>0</v>
          </cell>
          <cell r="H3462" t="str">
            <v>60/61</v>
          </cell>
        </row>
        <row r="3463">
          <cell r="F3463">
            <v>8.1499999999999986</v>
          </cell>
          <cell r="G3463">
            <v>0</v>
          </cell>
          <cell r="H3463" t="str">
            <v>60/61</v>
          </cell>
        </row>
        <row r="3464">
          <cell r="F3464">
            <v>0.27999999999999992</v>
          </cell>
          <cell r="G3464">
            <v>0</v>
          </cell>
          <cell r="H3464" t="str">
            <v>60/61</v>
          </cell>
        </row>
        <row r="3465">
          <cell r="F3465">
            <v>2.1399999999999997</v>
          </cell>
          <cell r="G3465">
            <v>0</v>
          </cell>
          <cell r="H3465" t="str">
            <v>60/61</v>
          </cell>
        </row>
        <row r="3466">
          <cell r="F3466">
            <v>1.2999999999999998</v>
          </cell>
          <cell r="G3466">
            <v>0</v>
          </cell>
          <cell r="H3466" t="str">
            <v>60/61</v>
          </cell>
        </row>
        <row r="3467">
          <cell r="F3467">
            <v>3.2199999999999989</v>
          </cell>
          <cell r="G3467">
            <v>0</v>
          </cell>
          <cell r="H3467" t="str">
            <v>60/61</v>
          </cell>
        </row>
        <row r="3468">
          <cell r="F3468">
            <v>0.70000000000000018</v>
          </cell>
          <cell r="G3468">
            <v>0</v>
          </cell>
          <cell r="H3468" t="str">
            <v>60/61</v>
          </cell>
        </row>
        <row r="3469">
          <cell r="F3469">
            <v>3.4300000000000006</v>
          </cell>
          <cell r="G3469">
            <v>0</v>
          </cell>
          <cell r="H3469" t="str">
            <v>60/61</v>
          </cell>
        </row>
        <row r="3470">
          <cell r="F3470">
            <v>0.62999999999999989</v>
          </cell>
          <cell r="G3470">
            <v>0</v>
          </cell>
          <cell r="H3470" t="str">
            <v>60/61</v>
          </cell>
        </row>
        <row r="3471">
          <cell r="F3471">
            <v>0.74999999999999978</v>
          </cell>
          <cell r="G3471">
            <v>0</v>
          </cell>
          <cell r="H3471" t="str">
            <v>60/61</v>
          </cell>
        </row>
        <row r="3472">
          <cell r="F3472">
            <v>23.609999999999992</v>
          </cell>
          <cell r="G3472">
            <v>0</v>
          </cell>
          <cell r="H3472" t="str">
            <v>60/61</v>
          </cell>
        </row>
        <row r="3473">
          <cell r="F3473">
            <v>4.74</v>
          </cell>
          <cell r="G3473">
            <v>0</v>
          </cell>
          <cell r="H3473" t="str">
            <v>60/61</v>
          </cell>
        </row>
        <row r="3474">
          <cell r="F3474">
            <v>2.38</v>
          </cell>
          <cell r="G3474">
            <v>0</v>
          </cell>
          <cell r="H3474" t="str">
            <v>60/61</v>
          </cell>
        </row>
        <row r="3475">
          <cell r="F3475">
            <v>0.70000000000000018</v>
          </cell>
          <cell r="G3475">
            <v>0</v>
          </cell>
          <cell r="H3475" t="str">
            <v>60/61</v>
          </cell>
        </row>
        <row r="3476">
          <cell r="F3476">
            <v>6.7000000000000011</v>
          </cell>
          <cell r="G3476">
            <v>0</v>
          </cell>
          <cell r="H3476" t="str">
            <v>60/61</v>
          </cell>
        </row>
        <row r="3477">
          <cell r="F3477">
            <v>5.7799999999999994</v>
          </cell>
          <cell r="G3477">
            <v>0</v>
          </cell>
          <cell r="H3477" t="str">
            <v>60/61</v>
          </cell>
        </row>
        <row r="3478">
          <cell r="F3478">
            <v>3.01</v>
          </cell>
          <cell r="G3478">
            <v>0</v>
          </cell>
          <cell r="H3478" t="str">
            <v>60/61</v>
          </cell>
        </row>
        <row r="3479">
          <cell r="F3479">
            <v>1.1500000000000004</v>
          </cell>
          <cell r="G3479">
            <v>0</v>
          </cell>
          <cell r="H3479" t="str">
            <v>60/61</v>
          </cell>
        </row>
        <row r="3480">
          <cell r="F3480">
            <v>16.21</v>
          </cell>
          <cell r="G3480">
            <v>0</v>
          </cell>
          <cell r="H3480" t="str">
            <v>60/61</v>
          </cell>
        </row>
        <row r="3481">
          <cell r="F3481">
            <v>1.3900000000000006</v>
          </cell>
          <cell r="G3481">
            <v>0</v>
          </cell>
          <cell r="H3481" t="str">
            <v>60/61</v>
          </cell>
        </row>
        <row r="3482">
          <cell r="F3482">
            <v>10.330000000000002</v>
          </cell>
          <cell r="G3482">
            <v>0</v>
          </cell>
          <cell r="H3482" t="str">
            <v>60/61</v>
          </cell>
        </row>
        <row r="3483">
          <cell r="F3483">
            <v>0.13</v>
          </cell>
          <cell r="G3483">
            <v>0</v>
          </cell>
          <cell r="H3483" t="str">
            <v>60/61</v>
          </cell>
        </row>
        <row r="3484">
          <cell r="F3484">
            <v>0.11000000000000001</v>
          </cell>
          <cell r="G3484">
            <v>0</v>
          </cell>
          <cell r="H3484" t="str">
            <v>60/61</v>
          </cell>
        </row>
        <row r="3485">
          <cell r="F3485">
            <v>19.11</v>
          </cell>
          <cell r="G3485">
            <v>0</v>
          </cell>
          <cell r="H3485" t="str">
            <v>60/61</v>
          </cell>
        </row>
        <row r="3486">
          <cell r="F3486">
            <v>6.0499999999999989</v>
          </cell>
          <cell r="G3486">
            <v>0</v>
          </cell>
          <cell r="H3486" t="str">
            <v>60/61</v>
          </cell>
        </row>
        <row r="3487">
          <cell r="F3487">
            <v>12.340000000000003</v>
          </cell>
          <cell r="G3487">
            <v>0</v>
          </cell>
          <cell r="H3487" t="str">
            <v>60/61</v>
          </cell>
        </row>
        <row r="3488">
          <cell r="F3488">
            <v>1.3900000000000001</v>
          </cell>
          <cell r="G3488">
            <v>0</v>
          </cell>
          <cell r="H3488" t="str">
            <v>60/61</v>
          </cell>
        </row>
        <row r="3489">
          <cell r="F3489">
            <v>6.2900000000000009</v>
          </cell>
          <cell r="G3489">
            <v>0</v>
          </cell>
          <cell r="H3489" t="str">
            <v>60/61</v>
          </cell>
        </row>
        <row r="3490">
          <cell r="F3490">
            <v>3.9800000000000004</v>
          </cell>
          <cell r="G3490">
            <v>0</v>
          </cell>
          <cell r="H3490" t="str">
            <v>60/61</v>
          </cell>
        </row>
        <row r="3491">
          <cell r="F3491">
            <v>0.55000000000000004</v>
          </cell>
          <cell r="G3491">
            <v>0</v>
          </cell>
          <cell r="H3491" t="str">
            <v>60/61</v>
          </cell>
        </row>
        <row r="3492">
          <cell r="F3492">
            <v>1.9699999999999998</v>
          </cell>
          <cell r="G3492">
            <v>0</v>
          </cell>
          <cell r="H3492" t="str">
            <v>60/61</v>
          </cell>
        </row>
        <row r="3493">
          <cell r="F3493">
            <v>0.45000000000000007</v>
          </cell>
          <cell r="G3493">
            <v>0</v>
          </cell>
          <cell r="H3493" t="str">
            <v>60/61</v>
          </cell>
        </row>
        <row r="3494">
          <cell r="F3494">
            <v>1.7300000000000004</v>
          </cell>
          <cell r="G3494">
            <v>0</v>
          </cell>
          <cell r="H3494" t="str">
            <v>60/61</v>
          </cell>
        </row>
        <row r="3495">
          <cell r="F3495">
            <v>6.6000000000000014</v>
          </cell>
          <cell r="G3495">
            <v>0</v>
          </cell>
          <cell r="H3495" t="str">
            <v>60/61</v>
          </cell>
        </row>
        <row r="3496">
          <cell r="F3496">
            <v>0.70000000000000018</v>
          </cell>
          <cell r="G3496">
            <v>0</v>
          </cell>
          <cell r="H3496" t="str">
            <v>60/61</v>
          </cell>
        </row>
        <row r="3497">
          <cell r="F3497">
            <v>0.62999999999999989</v>
          </cell>
          <cell r="G3497">
            <v>0</v>
          </cell>
          <cell r="H3497" t="str">
            <v>60/61</v>
          </cell>
        </row>
        <row r="3498">
          <cell r="F3498">
            <v>0.37999999999999989</v>
          </cell>
          <cell r="G3498">
            <v>0</v>
          </cell>
          <cell r="H3498" t="str">
            <v>60/61</v>
          </cell>
        </row>
        <row r="3499">
          <cell r="F3499">
            <v>6.3699999999999992</v>
          </cell>
          <cell r="G3499">
            <v>0</v>
          </cell>
          <cell r="H3499" t="str">
            <v>60/61</v>
          </cell>
        </row>
        <row r="3500">
          <cell r="F3500">
            <v>3.9699999999999998</v>
          </cell>
          <cell r="G3500">
            <v>0</v>
          </cell>
          <cell r="H3500" t="str">
            <v>60/61</v>
          </cell>
        </row>
        <row r="3501">
          <cell r="F3501">
            <v>1.1999999999999997</v>
          </cell>
          <cell r="G3501">
            <v>0</v>
          </cell>
          <cell r="H3501" t="str">
            <v>60/61</v>
          </cell>
        </row>
        <row r="3502">
          <cell r="F3502">
            <v>1</v>
          </cell>
          <cell r="G3502">
            <v>0</v>
          </cell>
          <cell r="H3502" t="str">
            <v>60/61</v>
          </cell>
        </row>
        <row r="3503">
          <cell r="F3503">
            <v>2.4900000000000002</v>
          </cell>
          <cell r="G3503">
            <v>0</v>
          </cell>
          <cell r="H3503" t="str">
            <v>60/61</v>
          </cell>
        </row>
        <row r="3504">
          <cell r="F3504">
            <v>18.100000000000001</v>
          </cell>
          <cell r="G3504">
            <v>0</v>
          </cell>
          <cell r="H3504" t="str">
            <v>60/61</v>
          </cell>
        </row>
        <row r="3505">
          <cell r="F3505">
            <v>0</v>
          </cell>
          <cell r="G3505">
            <v>0</v>
          </cell>
          <cell r="H3505" t="str">
            <v>60/61</v>
          </cell>
        </row>
        <row r="3506">
          <cell r="F3506">
            <v>9.120000000000001</v>
          </cell>
          <cell r="G3506">
            <v>0</v>
          </cell>
          <cell r="H3506" t="str">
            <v>60/61</v>
          </cell>
        </row>
        <row r="3507">
          <cell r="F3507">
            <v>3.04</v>
          </cell>
          <cell r="G3507">
            <v>0</v>
          </cell>
          <cell r="H3507" t="str">
            <v>60/61</v>
          </cell>
        </row>
        <row r="3508">
          <cell r="F3508">
            <v>1.85</v>
          </cell>
          <cell r="G3508">
            <v>0</v>
          </cell>
          <cell r="H3508" t="str">
            <v>60/61</v>
          </cell>
        </row>
        <row r="3509">
          <cell r="F3509">
            <v>5.0300000000000011</v>
          </cell>
          <cell r="G3509">
            <v>0</v>
          </cell>
          <cell r="H3509" t="str">
            <v>60/61</v>
          </cell>
        </row>
        <row r="3510">
          <cell r="F3510">
            <v>30.730000000000004</v>
          </cell>
          <cell r="G3510">
            <v>0</v>
          </cell>
          <cell r="H3510" t="str">
            <v>60/61</v>
          </cell>
        </row>
        <row r="3511">
          <cell r="F3511">
            <v>2.5500000000000007</v>
          </cell>
          <cell r="G3511">
            <v>0</v>
          </cell>
          <cell r="H3511" t="str">
            <v>60/61</v>
          </cell>
        </row>
        <row r="3512">
          <cell r="F3512">
            <v>1.3900000000000006</v>
          </cell>
          <cell r="G3512">
            <v>0</v>
          </cell>
          <cell r="H3512" t="str">
            <v>60/61</v>
          </cell>
        </row>
        <row r="3513">
          <cell r="F3513">
            <v>1.1600000000000001</v>
          </cell>
          <cell r="G3513">
            <v>0</v>
          </cell>
          <cell r="H3513" t="str">
            <v>60/61</v>
          </cell>
        </row>
        <row r="3514">
          <cell r="F3514">
            <v>0.44999999999999996</v>
          </cell>
          <cell r="G3514">
            <v>0</v>
          </cell>
          <cell r="H3514" t="str">
            <v>60/61</v>
          </cell>
        </row>
        <row r="3515">
          <cell r="F3515">
            <v>1.7600000000000002</v>
          </cell>
          <cell r="G3515">
            <v>0</v>
          </cell>
          <cell r="H3515" t="str">
            <v>60/61</v>
          </cell>
        </row>
        <row r="3516">
          <cell r="F3516">
            <v>4.93</v>
          </cell>
          <cell r="G3516">
            <v>0</v>
          </cell>
          <cell r="H3516" t="str">
            <v>60/61</v>
          </cell>
        </row>
        <row r="3517">
          <cell r="F3517">
            <v>1.9800000000000004</v>
          </cell>
          <cell r="G3517">
            <v>0</v>
          </cell>
          <cell r="H3517" t="str">
            <v>60/61</v>
          </cell>
        </row>
        <row r="3518">
          <cell r="F3518">
            <v>16.040000000000006</v>
          </cell>
          <cell r="G3518">
            <v>0</v>
          </cell>
          <cell r="H3518" t="str">
            <v>60/61</v>
          </cell>
        </row>
        <row r="3519">
          <cell r="F3519">
            <v>1.31</v>
          </cell>
          <cell r="G3519">
            <v>0</v>
          </cell>
          <cell r="H3519" t="str">
            <v>60/61</v>
          </cell>
        </row>
        <row r="3520">
          <cell r="F3520">
            <v>5.1899999999999995</v>
          </cell>
          <cell r="G3520">
            <v>0</v>
          </cell>
          <cell r="H3520" t="str">
            <v>60/61</v>
          </cell>
        </row>
        <row r="3521">
          <cell r="F3521">
            <v>7.0200000000000014</v>
          </cell>
          <cell r="G3521">
            <v>0</v>
          </cell>
          <cell r="H3521" t="str">
            <v>60/61</v>
          </cell>
        </row>
        <row r="3522">
          <cell r="F3522">
            <v>0.45000000000000007</v>
          </cell>
          <cell r="G3522">
            <v>0</v>
          </cell>
          <cell r="H3522" t="str">
            <v>60/61</v>
          </cell>
        </row>
        <row r="3523">
          <cell r="F3523">
            <v>0.41999999999999993</v>
          </cell>
          <cell r="G3523">
            <v>0</v>
          </cell>
          <cell r="H3523" t="str">
            <v>60/61</v>
          </cell>
        </row>
        <row r="3524">
          <cell r="F3524">
            <v>4.4399999999999995</v>
          </cell>
          <cell r="G3524">
            <v>0</v>
          </cell>
          <cell r="H3524" t="str">
            <v>60/61</v>
          </cell>
        </row>
        <row r="3525">
          <cell r="F3525">
            <v>2.04</v>
          </cell>
          <cell r="G3525">
            <v>0</v>
          </cell>
          <cell r="H3525" t="str">
            <v>60/61</v>
          </cell>
        </row>
        <row r="3526">
          <cell r="F3526">
            <v>0.52</v>
          </cell>
          <cell r="G3526">
            <v>0</v>
          </cell>
          <cell r="H3526" t="str">
            <v>60/61</v>
          </cell>
        </row>
        <row r="3527">
          <cell r="F3527">
            <v>7.7299999999999986</v>
          </cell>
          <cell r="G3527">
            <v>0</v>
          </cell>
          <cell r="H3527" t="str">
            <v>60/61</v>
          </cell>
        </row>
        <row r="3528">
          <cell r="F3528">
            <v>1.6700000000000004</v>
          </cell>
          <cell r="G3528">
            <v>0</v>
          </cell>
          <cell r="H3528" t="str">
            <v>60/61</v>
          </cell>
        </row>
        <row r="3529">
          <cell r="F3529">
            <v>5.4299999999999979</v>
          </cell>
          <cell r="G3529">
            <v>0</v>
          </cell>
          <cell r="H3529" t="str">
            <v>60/61</v>
          </cell>
        </row>
        <row r="3530">
          <cell r="F3530">
            <v>8.59</v>
          </cell>
          <cell r="G3530">
            <v>0</v>
          </cell>
          <cell r="H3530" t="str">
            <v>60/61</v>
          </cell>
        </row>
        <row r="3531">
          <cell r="F3531">
            <v>5.5499999999999989</v>
          </cell>
          <cell r="G3531">
            <v>0</v>
          </cell>
          <cell r="H3531" t="str">
            <v>60/61</v>
          </cell>
        </row>
        <row r="3532">
          <cell r="F3532">
            <v>4.7699999999999996</v>
          </cell>
          <cell r="G3532">
            <v>0</v>
          </cell>
          <cell r="H3532" t="str">
            <v>60/61</v>
          </cell>
        </row>
        <row r="3533">
          <cell r="F3533">
            <v>0.48</v>
          </cell>
          <cell r="G3533">
            <v>0</v>
          </cell>
          <cell r="H3533" t="str">
            <v>60/61</v>
          </cell>
        </row>
        <row r="3534">
          <cell r="F3534">
            <v>2.7199999999999998</v>
          </cell>
          <cell r="G3534">
            <v>0</v>
          </cell>
          <cell r="H3534" t="str">
            <v>60/61</v>
          </cell>
        </row>
        <row r="3535">
          <cell r="F3535">
            <v>3.7699999999999996</v>
          </cell>
          <cell r="G3535">
            <v>0</v>
          </cell>
          <cell r="H3535" t="str">
            <v>60/61</v>
          </cell>
        </row>
        <row r="3536">
          <cell r="F3536">
            <v>18.78</v>
          </cell>
          <cell r="G3536">
            <v>0</v>
          </cell>
          <cell r="H3536" t="str">
            <v>60/61</v>
          </cell>
        </row>
        <row r="3537">
          <cell r="F3537">
            <v>4.59</v>
          </cell>
          <cell r="G3537">
            <v>0</v>
          </cell>
          <cell r="H3537" t="str">
            <v>60/61</v>
          </cell>
        </row>
        <row r="3538">
          <cell r="F3538">
            <v>0.69</v>
          </cell>
          <cell r="G3538">
            <v>0</v>
          </cell>
          <cell r="H3538" t="str">
            <v>60/61</v>
          </cell>
        </row>
        <row r="3539">
          <cell r="F3539">
            <v>1.67</v>
          </cell>
          <cell r="G3539">
            <v>0</v>
          </cell>
          <cell r="H3539" t="str">
            <v>60/61</v>
          </cell>
        </row>
        <row r="3540">
          <cell r="F3540">
            <v>0.56000000000000005</v>
          </cell>
          <cell r="G3540">
            <v>0</v>
          </cell>
          <cell r="H3540" t="str">
            <v>60/61</v>
          </cell>
        </row>
        <row r="3541">
          <cell r="F3541">
            <v>11.829999999999998</v>
          </cell>
          <cell r="G3541">
            <v>0</v>
          </cell>
          <cell r="H3541" t="str">
            <v>60/61</v>
          </cell>
        </row>
        <row r="3542">
          <cell r="F3542">
            <v>12.309999999999999</v>
          </cell>
          <cell r="G3542">
            <v>0</v>
          </cell>
          <cell r="H3542" t="str">
            <v>60/61</v>
          </cell>
        </row>
        <row r="3543">
          <cell r="F3543">
            <v>5.8000000000000007</v>
          </cell>
          <cell r="G3543">
            <v>0</v>
          </cell>
          <cell r="H3543" t="str">
            <v>60/61</v>
          </cell>
        </row>
        <row r="3544">
          <cell r="F3544">
            <v>7.67</v>
          </cell>
          <cell r="G3544">
            <v>0</v>
          </cell>
          <cell r="H3544" t="str">
            <v>60/61</v>
          </cell>
        </row>
        <row r="3545">
          <cell r="F3545">
            <v>0.83999999999999986</v>
          </cell>
          <cell r="G3545">
            <v>0</v>
          </cell>
          <cell r="H3545" t="str">
            <v>60/61</v>
          </cell>
        </row>
        <row r="3546">
          <cell r="F3546">
            <v>0.91999999999999993</v>
          </cell>
          <cell r="G3546">
            <v>0</v>
          </cell>
          <cell r="H3546" t="str">
            <v>60/61</v>
          </cell>
        </row>
        <row r="3547">
          <cell r="F3547">
            <v>1.06</v>
          </cell>
          <cell r="G3547">
            <v>0</v>
          </cell>
          <cell r="H3547" t="str">
            <v>60/61</v>
          </cell>
        </row>
        <row r="3548">
          <cell r="F3548">
            <v>1.5200000000000005</v>
          </cell>
          <cell r="G3548">
            <v>0</v>
          </cell>
          <cell r="H3548" t="str">
            <v>60/61</v>
          </cell>
        </row>
        <row r="3549">
          <cell r="F3549">
            <v>1.1099999999999999</v>
          </cell>
          <cell r="G3549">
            <v>0</v>
          </cell>
          <cell r="H3549" t="str">
            <v>60/61</v>
          </cell>
        </row>
        <row r="3550">
          <cell r="F3550">
            <v>6.1300000000000008</v>
          </cell>
          <cell r="G3550">
            <v>0</v>
          </cell>
          <cell r="H3550" t="str">
            <v>60/61</v>
          </cell>
        </row>
        <row r="3551">
          <cell r="F3551">
            <v>0.62999999999999989</v>
          </cell>
          <cell r="G3551">
            <v>0</v>
          </cell>
          <cell r="H3551" t="str">
            <v>60/61</v>
          </cell>
        </row>
        <row r="3552">
          <cell r="F3552">
            <v>3.1700000000000008</v>
          </cell>
          <cell r="G3552">
            <v>0</v>
          </cell>
          <cell r="H3552" t="str">
            <v>60/61</v>
          </cell>
        </row>
        <row r="3553">
          <cell r="F3553">
            <v>1.75</v>
          </cell>
          <cell r="G3553">
            <v>0</v>
          </cell>
          <cell r="H3553" t="str">
            <v>60/61</v>
          </cell>
        </row>
        <row r="3554">
          <cell r="F3554">
            <v>4.4400000000000013</v>
          </cell>
          <cell r="G3554">
            <v>0</v>
          </cell>
          <cell r="H3554" t="str">
            <v>60/61</v>
          </cell>
        </row>
        <row r="3555">
          <cell r="F3555">
            <v>3.1400000000000006</v>
          </cell>
          <cell r="G3555">
            <v>0</v>
          </cell>
          <cell r="H3555" t="str">
            <v>60/61</v>
          </cell>
        </row>
        <row r="3556">
          <cell r="F3556">
            <v>3.17</v>
          </cell>
          <cell r="G3556">
            <v>0</v>
          </cell>
          <cell r="H3556" t="str">
            <v>60/61</v>
          </cell>
        </row>
        <row r="3557">
          <cell r="F3557">
            <v>1.38</v>
          </cell>
          <cell r="G3557">
            <v>0</v>
          </cell>
          <cell r="H3557" t="str">
            <v>60/61</v>
          </cell>
        </row>
        <row r="3558">
          <cell r="F3558">
            <v>2.84</v>
          </cell>
          <cell r="G3558">
            <v>0</v>
          </cell>
          <cell r="H3558" t="str">
            <v>60/61</v>
          </cell>
        </row>
        <row r="3559">
          <cell r="F3559">
            <v>0.06</v>
          </cell>
          <cell r="G3559">
            <v>0</v>
          </cell>
          <cell r="H3559" t="str">
            <v>60/61</v>
          </cell>
        </row>
        <row r="3560">
          <cell r="F3560">
            <v>4.24</v>
          </cell>
          <cell r="G3560">
            <v>0</v>
          </cell>
          <cell r="H3560" t="str">
            <v>60/61</v>
          </cell>
        </row>
        <row r="3561">
          <cell r="F3561">
            <v>15.369999999999997</v>
          </cell>
          <cell r="G3561">
            <v>0</v>
          </cell>
          <cell r="H3561" t="str">
            <v>60/61</v>
          </cell>
        </row>
        <row r="3562">
          <cell r="F3562">
            <v>4.8500000000000014</v>
          </cell>
          <cell r="G3562">
            <v>0</v>
          </cell>
          <cell r="H3562" t="str">
            <v>60/61</v>
          </cell>
        </row>
        <row r="3563">
          <cell r="F3563">
            <v>5.74</v>
          </cell>
          <cell r="G3563">
            <v>0</v>
          </cell>
          <cell r="H3563" t="str">
            <v>60/61</v>
          </cell>
        </row>
        <row r="3564">
          <cell r="F3564">
            <v>1.44</v>
          </cell>
          <cell r="G3564">
            <v>0</v>
          </cell>
          <cell r="H3564" t="str">
            <v>60/61</v>
          </cell>
        </row>
        <row r="3565">
          <cell r="F3565">
            <v>2.21</v>
          </cell>
          <cell r="G3565">
            <v>0</v>
          </cell>
          <cell r="H3565" t="str">
            <v>60/61</v>
          </cell>
        </row>
        <row r="3566">
          <cell r="F3566">
            <v>5.5599999999999987</v>
          </cell>
          <cell r="G3566">
            <v>0</v>
          </cell>
          <cell r="H3566" t="str">
            <v>60/61</v>
          </cell>
        </row>
        <row r="3567">
          <cell r="F3567">
            <v>3.29</v>
          </cell>
          <cell r="G3567">
            <v>0</v>
          </cell>
          <cell r="H3567" t="str">
            <v>60/61</v>
          </cell>
        </row>
        <row r="3568">
          <cell r="F3568">
            <v>7.76</v>
          </cell>
          <cell r="G3568">
            <v>0</v>
          </cell>
          <cell r="H3568" t="str">
            <v>60/61</v>
          </cell>
        </row>
        <row r="3569">
          <cell r="F3569">
            <v>2.1099999999999994</v>
          </cell>
          <cell r="G3569">
            <v>0</v>
          </cell>
          <cell r="H3569" t="str">
            <v>60/61</v>
          </cell>
        </row>
        <row r="3570">
          <cell r="F3570">
            <v>0.65999999999999992</v>
          </cell>
          <cell r="G3570">
            <v>0</v>
          </cell>
          <cell r="H3570" t="str">
            <v>60/61</v>
          </cell>
        </row>
        <row r="3571">
          <cell r="F3571">
            <v>10.100000000000001</v>
          </cell>
          <cell r="G3571">
            <v>0</v>
          </cell>
          <cell r="H3571" t="str">
            <v>60/61</v>
          </cell>
        </row>
        <row r="3572">
          <cell r="F3572">
            <v>0.49</v>
          </cell>
          <cell r="G3572">
            <v>0</v>
          </cell>
          <cell r="H3572" t="str">
            <v>60/61</v>
          </cell>
        </row>
        <row r="3573">
          <cell r="F3573">
            <v>0.3600000000000001</v>
          </cell>
          <cell r="G3573">
            <v>0</v>
          </cell>
          <cell r="H3573" t="str">
            <v>60/61</v>
          </cell>
        </row>
        <row r="3574">
          <cell r="F3574">
            <v>15.34</v>
          </cell>
          <cell r="G3574">
            <v>0</v>
          </cell>
          <cell r="H3574" t="str">
            <v>60/61</v>
          </cell>
        </row>
        <row r="3575">
          <cell r="F3575">
            <v>1.8000000000000003</v>
          </cell>
          <cell r="G3575">
            <v>0</v>
          </cell>
          <cell r="H3575" t="str">
            <v>60/61</v>
          </cell>
        </row>
        <row r="3576">
          <cell r="F3576">
            <v>1.3900000000000006</v>
          </cell>
          <cell r="G3576">
            <v>0</v>
          </cell>
          <cell r="H3576" t="str">
            <v>60/61</v>
          </cell>
        </row>
        <row r="3577">
          <cell r="F3577">
            <v>8.07</v>
          </cell>
          <cell r="G3577">
            <v>0</v>
          </cell>
          <cell r="H3577" t="str">
            <v>60/61</v>
          </cell>
        </row>
        <row r="3578">
          <cell r="F3578">
            <v>5.84</v>
          </cell>
          <cell r="G3578">
            <v>0</v>
          </cell>
          <cell r="H3578" t="str">
            <v>60/61</v>
          </cell>
        </row>
        <row r="3579">
          <cell r="F3579">
            <v>4.92</v>
          </cell>
          <cell r="G3579">
            <v>0</v>
          </cell>
          <cell r="H3579" t="str">
            <v>60/61</v>
          </cell>
        </row>
        <row r="3580">
          <cell r="F3580">
            <v>4.8600000000000012</v>
          </cell>
          <cell r="G3580">
            <v>0</v>
          </cell>
          <cell r="H3580" t="str">
            <v>60/61</v>
          </cell>
        </row>
        <row r="3581">
          <cell r="F3581">
            <v>1943.1</v>
          </cell>
          <cell r="G3581">
            <v>0</v>
          </cell>
          <cell r="H3581" t="str">
            <v>60/61</v>
          </cell>
        </row>
        <row r="3582">
          <cell r="F3582">
            <v>70.88</v>
          </cell>
          <cell r="G3582">
            <v>0</v>
          </cell>
          <cell r="H3582" t="str">
            <v>60/61</v>
          </cell>
        </row>
        <row r="3583">
          <cell r="F3583">
            <v>70.88</v>
          </cell>
          <cell r="G3583">
            <v>0</v>
          </cell>
          <cell r="H3583" t="str">
            <v>60/61</v>
          </cell>
        </row>
        <row r="3584">
          <cell r="F3584">
            <v>138.79</v>
          </cell>
          <cell r="G3584">
            <v>0</v>
          </cell>
          <cell r="H3584" t="str">
            <v>60/61</v>
          </cell>
        </row>
        <row r="3585">
          <cell r="F3585">
            <v>150.89999999999998</v>
          </cell>
          <cell r="G3585">
            <v>0</v>
          </cell>
          <cell r="H3585" t="str">
            <v>60/61</v>
          </cell>
        </row>
        <row r="3586">
          <cell r="F3586">
            <v>70.88</v>
          </cell>
          <cell r="G3586">
            <v>0</v>
          </cell>
          <cell r="H3586" t="str">
            <v>60/61</v>
          </cell>
        </row>
        <row r="3587">
          <cell r="F3587">
            <v>70.88</v>
          </cell>
          <cell r="G3587">
            <v>0</v>
          </cell>
          <cell r="H3587" t="str">
            <v>60/61</v>
          </cell>
        </row>
        <row r="3588">
          <cell r="F3588">
            <v>32</v>
          </cell>
          <cell r="G3588">
            <v>0</v>
          </cell>
          <cell r="H3588" t="str">
            <v>60/61</v>
          </cell>
        </row>
        <row r="3589">
          <cell r="F3589">
            <v>64.16</v>
          </cell>
          <cell r="G3589">
            <v>0</v>
          </cell>
          <cell r="H3589" t="str">
            <v>60/61</v>
          </cell>
        </row>
        <row r="3590">
          <cell r="F3590">
            <v>55.4</v>
          </cell>
          <cell r="G3590">
            <v>0</v>
          </cell>
          <cell r="H3590" t="str">
            <v>60/61</v>
          </cell>
        </row>
        <row r="3591">
          <cell r="F3591">
            <v>96.43</v>
          </cell>
          <cell r="G3591">
            <v>0</v>
          </cell>
          <cell r="H3591" t="str">
            <v>60/61</v>
          </cell>
        </row>
        <row r="3592">
          <cell r="F3592">
            <v>86.17</v>
          </cell>
          <cell r="G3592">
            <v>0</v>
          </cell>
          <cell r="H3592" t="str">
            <v>60/61</v>
          </cell>
        </row>
        <row r="3593">
          <cell r="F3593">
            <v>877.32</v>
          </cell>
          <cell r="G3593">
            <v>0</v>
          </cell>
          <cell r="H3593" t="str">
            <v>60/61</v>
          </cell>
        </row>
        <row r="3594">
          <cell r="F3594">
            <v>339.34</v>
          </cell>
          <cell r="G3594">
            <v>0</v>
          </cell>
          <cell r="H3594" t="str">
            <v>60/61</v>
          </cell>
        </row>
        <row r="3595">
          <cell r="F3595">
            <v>65.2</v>
          </cell>
          <cell r="G3595">
            <v>0</v>
          </cell>
          <cell r="H3595" t="str">
            <v>60/61</v>
          </cell>
        </row>
        <row r="3596">
          <cell r="F3596">
            <v>14.85</v>
          </cell>
          <cell r="G3596">
            <v>0</v>
          </cell>
          <cell r="H3596" t="str">
            <v>60/61</v>
          </cell>
        </row>
        <row r="3597">
          <cell r="F3597">
            <v>556.5</v>
          </cell>
          <cell r="G3597">
            <v>0</v>
          </cell>
          <cell r="H3597" t="str">
            <v>60/61</v>
          </cell>
        </row>
        <row r="3598">
          <cell r="F3598">
            <v>37.590000000000032</v>
          </cell>
          <cell r="G3598">
            <v>0</v>
          </cell>
          <cell r="H3598" t="str">
            <v>60/61</v>
          </cell>
        </row>
        <row r="3599">
          <cell r="F3599">
            <v>4250.4000000000005</v>
          </cell>
          <cell r="G3599">
            <v>0</v>
          </cell>
          <cell r="H3599" t="str">
            <v>60/61</v>
          </cell>
        </row>
        <row r="3600">
          <cell r="F3600">
            <v>19.8</v>
          </cell>
          <cell r="G3600">
            <v>0</v>
          </cell>
          <cell r="H3600" t="str">
            <v>60/61</v>
          </cell>
        </row>
        <row r="3601">
          <cell r="F3601">
            <v>16</v>
          </cell>
          <cell r="G3601">
            <v>0</v>
          </cell>
          <cell r="H3601" t="str">
            <v>60/61</v>
          </cell>
        </row>
        <row r="3602">
          <cell r="F3602">
            <v>29.19</v>
          </cell>
          <cell r="G3602">
            <v>0</v>
          </cell>
          <cell r="H3602" t="str">
            <v>60/61</v>
          </cell>
        </row>
        <row r="3603">
          <cell r="F3603">
            <v>307.24</v>
          </cell>
          <cell r="G3603">
            <v>0</v>
          </cell>
          <cell r="H3603" t="str">
            <v>60/61</v>
          </cell>
        </row>
        <row r="3604">
          <cell r="F3604">
            <v>6.3</v>
          </cell>
          <cell r="G3604">
            <v>0</v>
          </cell>
          <cell r="H3604" t="str">
            <v>60/61</v>
          </cell>
        </row>
        <row r="3605">
          <cell r="F3605">
            <v>217.2</v>
          </cell>
          <cell r="G3605">
            <v>0</v>
          </cell>
          <cell r="H3605" t="str">
            <v>60/61</v>
          </cell>
        </row>
        <row r="3606">
          <cell r="F3606">
            <v>296.52999999999997</v>
          </cell>
          <cell r="G3606">
            <v>0</v>
          </cell>
          <cell r="H3606" t="str">
            <v>60/61</v>
          </cell>
        </row>
        <row r="3607">
          <cell r="F3607">
            <v>1.33</v>
          </cell>
          <cell r="G3607">
            <v>0</v>
          </cell>
          <cell r="H3607" t="str">
            <v>60/61</v>
          </cell>
        </row>
        <row r="3608">
          <cell r="F3608">
            <v>238.49</v>
          </cell>
          <cell r="G3608">
            <v>0</v>
          </cell>
          <cell r="H3608" t="str">
            <v>60/61</v>
          </cell>
        </row>
        <row r="3609">
          <cell r="F3609">
            <v>32.1</v>
          </cell>
          <cell r="G3609">
            <v>0</v>
          </cell>
          <cell r="H3609" t="str">
            <v>60/61</v>
          </cell>
        </row>
        <row r="3610">
          <cell r="F3610">
            <v>50.22</v>
          </cell>
          <cell r="G3610">
            <v>0</v>
          </cell>
          <cell r="H3610" t="str">
            <v>60/61</v>
          </cell>
        </row>
        <row r="3611">
          <cell r="F3611">
            <v>5</v>
          </cell>
          <cell r="G3611">
            <v>0</v>
          </cell>
          <cell r="H3611" t="str">
            <v>60/61</v>
          </cell>
        </row>
        <row r="3612">
          <cell r="F3612">
            <v>176</v>
          </cell>
          <cell r="G3612">
            <v>0</v>
          </cell>
          <cell r="H3612" t="str">
            <v>60/61</v>
          </cell>
        </row>
        <row r="3613">
          <cell r="F3613">
            <v>44.56</v>
          </cell>
          <cell r="G3613">
            <v>0</v>
          </cell>
          <cell r="H3613" t="str">
            <v>60/61</v>
          </cell>
        </row>
        <row r="3614">
          <cell r="F3614">
            <v>17.11</v>
          </cell>
          <cell r="G3614">
            <v>0</v>
          </cell>
          <cell r="H3614" t="str">
            <v>60/61</v>
          </cell>
        </row>
        <row r="3615">
          <cell r="F3615">
            <v>12.8</v>
          </cell>
          <cell r="G3615">
            <v>0</v>
          </cell>
          <cell r="H3615" t="str">
            <v>60/61</v>
          </cell>
        </row>
        <row r="3616">
          <cell r="F3616">
            <v>15.5</v>
          </cell>
          <cell r="G3616">
            <v>0</v>
          </cell>
          <cell r="H3616" t="str">
            <v>60/61</v>
          </cell>
        </row>
        <row r="3617">
          <cell r="F3617">
            <v>371.42</v>
          </cell>
          <cell r="G3617">
            <v>0</v>
          </cell>
          <cell r="H3617" t="str">
            <v>60/61</v>
          </cell>
        </row>
        <row r="3618">
          <cell r="F3618">
            <v>50.27</v>
          </cell>
          <cell r="G3618">
            <v>0</v>
          </cell>
          <cell r="H3618" t="str">
            <v>60/61</v>
          </cell>
        </row>
        <row r="3619">
          <cell r="F3619">
            <v>164.40000000000003</v>
          </cell>
          <cell r="G3619">
            <v>0</v>
          </cell>
          <cell r="H3619" t="str">
            <v>60/61</v>
          </cell>
        </row>
        <row r="3620">
          <cell r="F3620">
            <v>716.4799999999999</v>
          </cell>
          <cell r="G3620">
            <v>0</v>
          </cell>
          <cell r="H3620" t="str">
            <v>60/61</v>
          </cell>
        </row>
        <row r="3621">
          <cell r="F3621">
            <v>29.619999999999997</v>
          </cell>
          <cell r="G3621">
            <v>0</v>
          </cell>
          <cell r="H3621" t="str">
            <v>60/61</v>
          </cell>
        </row>
        <row r="3622">
          <cell r="F3622">
            <v>40</v>
          </cell>
          <cell r="G3622">
            <v>0</v>
          </cell>
          <cell r="H3622" t="str">
            <v>60/61</v>
          </cell>
        </row>
        <row r="3623">
          <cell r="F3623">
            <v>47.4</v>
          </cell>
          <cell r="G3623">
            <v>0</v>
          </cell>
          <cell r="H3623" t="str">
            <v>60/61</v>
          </cell>
        </row>
        <row r="3624">
          <cell r="F3624">
            <v>95.32</v>
          </cell>
          <cell r="G3624">
            <v>0</v>
          </cell>
          <cell r="H3624" t="str">
            <v>60/61</v>
          </cell>
        </row>
        <row r="3625">
          <cell r="F3625">
            <v>32.479999999999997</v>
          </cell>
          <cell r="G3625">
            <v>0</v>
          </cell>
          <cell r="H3625" t="str">
            <v>60/61</v>
          </cell>
        </row>
        <row r="3626">
          <cell r="F3626">
            <v>166.28</v>
          </cell>
          <cell r="G3626">
            <v>0</v>
          </cell>
          <cell r="H3626" t="str">
            <v>60/61</v>
          </cell>
        </row>
        <row r="3627">
          <cell r="F3627">
            <v>5.37</v>
          </cell>
          <cell r="G3627">
            <v>0</v>
          </cell>
          <cell r="H3627" t="str">
            <v>60/61</v>
          </cell>
        </row>
        <row r="3628">
          <cell r="F3628">
            <v>75.83</v>
          </cell>
          <cell r="G3628">
            <v>0</v>
          </cell>
          <cell r="H3628" t="str">
            <v>60/61</v>
          </cell>
        </row>
        <row r="3629">
          <cell r="F3629">
            <v>18.899999999999999</v>
          </cell>
          <cell r="G3629">
            <v>0</v>
          </cell>
          <cell r="H3629" t="str">
            <v>60/61</v>
          </cell>
        </row>
        <row r="3630">
          <cell r="F3630">
            <v>9.8699999999999903</v>
          </cell>
          <cell r="G3630">
            <v>0</v>
          </cell>
          <cell r="H3630" t="str">
            <v>60/61</v>
          </cell>
        </row>
        <row r="3631">
          <cell r="F3631">
            <v>29.9</v>
          </cell>
          <cell r="G3631">
            <v>0</v>
          </cell>
          <cell r="H3631" t="str">
            <v>60/61</v>
          </cell>
        </row>
        <row r="3632">
          <cell r="F3632">
            <v>692.11</v>
          </cell>
          <cell r="G3632">
            <v>0</v>
          </cell>
          <cell r="H3632" t="str">
            <v>60/61</v>
          </cell>
        </row>
        <row r="3633">
          <cell r="F3633">
            <v>208.27</v>
          </cell>
          <cell r="G3633">
            <v>0</v>
          </cell>
          <cell r="H3633" t="str">
            <v>60/61</v>
          </cell>
        </row>
        <row r="3634">
          <cell r="F3634">
            <v>186.7</v>
          </cell>
          <cell r="G3634">
            <v>0</v>
          </cell>
          <cell r="H3634" t="str">
            <v>60/61</v>
          </cell>
        </row>
        <row r="3635">
          <cell r="F3635">
            <v>25.1</v>
          </cell>
          <cell r="G3635">
            <v>0</v>
          </cell>
          <cell r="H3635" t="str">
            <v>60/61</v>
          </cell>
        </row>
        <row r="3636">
          <cell r="F3636">
            <v>27.340000000000003</v>
          </cell>
          <cell r="G3636">
            <v>0</v>
          </cell>
          <cell r="H3636" t="str">
            <v>60/61</v>
          </cell>
        </row>
        <row r="3637">
          <cell r="F3637">
            <v>277.66000000000003</v>
          </cell>
          <cell r="G3637">
            <v>0</v>
          </cell>
          <cell r="H3637" t="str">
            <v>60/61</v>
          </cell>
        </row>
        <row r="3638">
          <cell r="F3638">
            <v>46.4</v>
          </cell>
          <cell r="G3638">
            <v>0</v>
          </cell>
          <cell r="H3638" t="str">
            <v>60/61</v>
          </cell>
        </row>
        <row r="3639">
          <cell r="F3639">
            <v>57.38</v>
          </cell>
          <cell r="G3639">
            <v>0</v>
          </cell>
          <cell r="H3639" t="str">
            <v>60/61</v>
          </cell>
        </row>
        <row r="3640">
          <cell r="F3640">
            <v>51.019999999999982</v>
          </cell>
          <cell r="G3640">
            <v>0</v>
          </cell>
          <cell r="H3640" t="str">
            <v>60/61</v>
          </cell>
        </row>
        <row r="3641">
          <cell r="F3641">
            <v>64.05</v>
          </cell>
          <cell r="G3641">
            <v>0</v>
          </cell>
          <cell r="H3641" t="str">
            <v>60/61</v>
          </cell>
        </row>
        <row r="3642">
          <cell r="F3642">
            <v>19.8</v>
          </cell>
          <cell r="G3642">
            <v>0</v>
          </cell>
          <cell r="H3642" t="str">
            <v>60/61</v>
          </cell>
        </row>
        <row r="3643">
          <cell r="F3643">
            <v>16</v>
          </cell>
          <cell r="G3643">
            <v>0</v>
          </cell>
          <cell r="H3643" t="str">
            <v>60/61</v>
          </cell>
        </row>
        <row r="3644">
          <cell r="F3644">
            <v>8.1999999999999993</v>
          </cell>
          <cell r="G3644">
            <v>0</v>
          </cell>
          <cell r="H3644" t="str">
            <v>60/61</v>
          </cell>
        </row>
        <row r="3645">
          <cell r="F3645">
            <v>172.4</v>
          </cell>
          <cell r="G3645">
            <v>0</v>
          </cell>
          <cell r="H3645" t="str">
            <v>60/61</v>
          </cell>
        </row>
        <row r="3646">
          <cell r="F3646">
            <v>224</v>
          </cell>
          <cell r="G3646">
            <v>0</v>
          </cell>
          <cell r="H3646" t="str">
            <v>60/61</v>
          </cell>
        </row>
        <row r="3647">
          <cell r="F3647">
            <v>126.9</v>
          </cell>
          <cell r="G3647">
            <v>0</v>
          </cell>
          <cell r="H3647" t="str">
            <v>60/61</v>
          </cell>
        </row>
        <row r="3648">
          <cell r="F3648">
            <v>94.8</v>
          </cell>
          <cell r="G3648">
            <v>0</v>
          </cell>
          <cell r="H3648" t="str">
            <v>60/61</v>
          </cell>
        </row>
        <row r="3649">
          <cell r="F3649">
            <v>629.98</v>
          </cell>
          <cell r="G3649">
            <v>0</v>
          </cell>
          <cell r="H3649" t="str">
            <v>60/61</v>
          </cell>
        </row>
        <row r="3650">
          <cell r="F3650">
            <v>293.7</v>
          </cell>
          <cell r="G3650">
            <v>0</v>
          </cell>
          <cell r="H3650" t="str">
            <v>60/61</v>
          </cell>
        </row>
        <row r="3651">
          <cell r="F3651">
            <v>44.85</v>
          </cell>
          <cell r="G3651">
            <v>0</v>
          </cell>
          <cell r="H3651" t="str">
            <v>60/61</v>
          </cell>
        </row>
        <row r="3652">
          <cell r="F3652">
            <v>70.349999999999994</v>
          </cell>
          <cell r="G3652">
            <v>0</v>
          </cell>
          <cell r="H3652" t="str">
            <v>60/61</v>
          </cell>
        </row>
        <row r="3653">
          <cell r="F3653">
            <v>871.32</v>
          </cell>
          <cell r="G3653">
            <v>0</v>
          </cell>
          <cell r="H3653" t="str">
            <v>60/61</v>
          </cell>
        </row>
        <row r="3654">
          <cell r="F3654">
            <v>288.35000000000002</v>
          </cell>
          <cell r="G3654">
            <v>0</v>
          </cell>
          <cell r="H3654" t="str">
            <v>60/61</v>
          </cell>
        </row>
        <row r="3655">
          <cell r="F3655">
            <v>19.5</v>
          </cell>
          <cell r="G3655">
            <v>0</v>
          </cell>
          <cell r="H3655" t="str">
            <v>60/61</v>
          </cell>
        </row>
        <row r="3656">
          <cell r="F3656">
            <v>625.39</v>
          </cell>
          <cell r="G3656">
            <v>0</v>
          </cell>
          <cell r="H3656" t="str">
            <v>60/61</v>
          </cell>
        </row>
        <row r="3657">
          <cell r="F3657">
            <v>33.299999999999997</v>
          </cell>
          <cell r="G3657">
            <v>0</v>
          </cell>
          <cell r="H3657" t="str">
            <v>60/61</v>
          </cell>
        </row>
        <row r="3658">
          <cell r="F3658">
            <v>49.38</v>
          </cell>
          <cell r="G3658">
            <v>0</v>
          </cell>
          <cell r="H3658" t="str">
            <v>60/61</v>
          </cell>
        </row>
        <row r="3659">
          <cell r="F3659">
            <v>147.58000000000001</v>
          </cell>
          <cell r="G3659">
            <v>0</v>
          </cell>
          <cell r="H3659" t="str">
            <v>60/61</v>
          </cell>
        </row>
        <row r="3660">
          <cell r="F3660">
            <v>507.05</v>
          </cell>
          <cell r="G3660">
            <v>0</v>
          </cell>
          <cell r="H3660" t="str">
            <v>60/61</v>
          </cell>
        </row>
        <row r="3661">
          <cell r="F3661">
            <v>51.2</v>
          </cell>
          <cell r="G3661">
            <v>0</v>
          </cell>
          <cell r="H3661" t="str">
            <v>60/61</v>
          </cell>
        </row>
        <row r="3662">
          <cell r="F3662">
            <v>36.92</v>
          </cell>
          <cell r="G3662">
            <v>0</v>
          </cell>
          <cell r="H3662" t="str">
            <v>60/61</v>
          </cell>
        </row>
        <row r="3663">
          <cell r="F3663">
            <v>67.55</v>
          </cell>
          <cell r="G3663">
            <v>0</v>
          </cell>
          <cell r="H3663" t="str">
            <v>60/61</v>
          </cell>
        </row>
        <row r="3664">
          <cell r="F3664">
            <v>47.55</v>
          </cell>
          <cell r="G3664">
            <v>0</v>
          </cell>
          <cell r="H3664" t="str">
            <v>60/61</v>
          </cell>
        </row>
        <row r="3665">
          <cell r="F3665">
            <v>4.9099999999999966</v>
          </cell>
          <cell r="G3665">
            <v>0</v>
          </cell>
          <cell r="H3665" t="str">
            <v>60/61</v>
          </cell>
        </row>
        <row r="3666">
          <cell r="F3666">
            <v>76.94</v>
          </cell>
          <cell r="G3666">
            <v>0</v>
          </cell>
          <cell r="H3666" t="str">
            <v>60/61</v>
          </cell>
        </row>
        <row r="3667">
          <cell r="F3667">
            <v>118.94</v>
          </cell>
          <cell r="G3667">
            <v>0</v>
          </cell>
          <cell r="H3667" t="str">
            <v>60/61</v>
          </cell>
        </row>
        <row r="3668">
          <cell r="F3668">
            <v>4.7199999999999989</v>
          </cell>
          <cell r="G3668">
            <v>0</v>
          </cell>
          <cell r="H3668" t="str">
            <v>60/61</v>
          </cell>
        </row>
        <row r="3669">
          <cell r="F3669">
            <v>15.4</v>
          </cell>
          <cell r="G3669">
            <v>0</v>
          </cell>
          <cell r="H3669" t="str">
            <v>60/61</v>
          </cell>
        </row>
        <row r="3670">
          <cell r="F3670">
            <v>214.52</v>
          </cell>
          <cell r="G3670">
            <v>0</v>
          </cell>
          <cell r="H3670" t="str">
            <v>60/61</v>
          </cell>
        </row>
        <row r="3671">
          <cell r="F3671">
            <v>1288.7</v>
          </cell>
          <cell r="G3671">
            <v>0</v>
          </cell>
          <cell r="H3671" t="str">
            <v>60/61</v>
          </cell>
        </row>
        <row r="3672">
          <cell r="F3672">
            <v>512.4</v>
          </cell>
          <cell r="G3672">
            <v>0</v>
          </cell>
          <cell r="H3672" t="str">
            <v>60/61</v>
          </cell>
        </row>
        <row r="3673">
          <cell r="F3673">
            <v>21.8</v>
          </cell>
          <cell r="G3673">
            <v>0</v>
          </cell>
          <cell r="H3673" t="str">
            <v>60/61</v>
          </cell>
        </row>
        <row r="3674">
          <cell r="F3674">
            <v>5.09</v>
          </cell>
          <cell r="G3674">
            <v>0</v>
          </cell>
          <cell r="H3674" t="str">
            <v>60/61</v>
          </cell>
        </row>
        <row r="3675">
          <cell r="F3675">
            <v>573.6</v>
          </cell>
          <cell r="G3675">
            <v>0</v>
          </cell>
          <cell r="H3675" t="str">
            <v>60/61</v>
          </cell>
        </row>
        <row r="3676">
          <cell r="F3676">
            <v>16.399999999999999</v>
          </cell>
          <cell r="G3676">
            <v>0</v>
          </cell>
          <cell r="H3676" t="str">
            <v>60/61</v>
          </cell>
        </row>
        <row r="3677">
          <cell r="F3677">
            <v>18.309999999999999</v>
          </cell>
          <cell r="G3677">
            <v>0</v>
          </cell>
          <cell r="H3677" t="str">
            <v>60/61</v>
          </cell>
        </row>
        <row r="3678">
          <cell r="F3678">
            <v>6</v>
          </cell>
          <cell r="G3678">
            <v>0</v>
          </cell>
          <cell r="H3678" t="str">
            <v>60/61</v>
          </cell>
        </row>
        <row r="3679">
          <cell r="F3679">
            <v>15.4</v>
          </cell>
          <cell r="G3679">
            <v>0</v>
          </cell>
          <cell r="H3679" t="str">
            <v>60/61</v>
          </cell>
        </row>
        <row r="3680">
          <cell r="F3680">
            <v>75.959999999999994</v>
          </cell>
          <cell r="G3680">
            <v>0</v>
          </cell>
          <cell r="H3680" t="str">
            <v>60/61</v>
          </cell>
        </row>
        <row r="3681">
          <cell r="F3681">
            <v>32.33</v>
          </cell>
          <cell r="G3681">
            <v>0</v>
          </cell>
          <cell r="H3681" t="str">
            <v>60/61</v>
          </cell>
        </row>
        <row r="3682">
          <cell r="F3682">
            <v>5.74</v>
          </cell>
          <cell r="G3682">
            <v>0</v>
          </cell>
          <cell r="H3682" t="str">
            <v>60/61</v>
          </cell>
        </row>
        <row r="3683">
          <cell r="F3683">
            <v>80.2</v>
          </cell>
          <cell r="G3683">
            <v>0</v>
          </cell>
          <cell r="H3683" t="str">
            <v>60/61</v>
          </cell>
        </row>
        <row r="3684">
          <cell r="F3684">
            <v>112.2</v>
          </cell>
          <cell r="G3684">
            <v>0</v>
          </cell>
          <cell r="H3684" t="str">
            <v>60/61</v>
          </cell>
        </row>
        <row r="3685">
          <cell r="F3685">
            <v>23.63</v>
          </cell>
          <cell r="G3685">
            <v>0</v>
          </cell>
          <cell r="H3685" t="str">
            <v>60/61</v>
          </cell>
        </row>
        <row r="3686">
          <cell r="F3686">
            <v>71.959999999999994</v>
          </cell>
          <cell r="G3686">
            <v>0</v>
          </cell>
          <cell r="H3686" t="str">
            <v>60/61</v>
          </cell>
        </row>
        <row r="3687">
          <cell r="F3687">
            <v>12.8</v>
          </cell>
          <cell r="G3687">
            <v>0</v>
          </cell>
          <cell r="H3687" t="str">
            <v>60/61</v>
          </cell>
        </row>
        <row r="3688">
          <cell r="F3688">
            <v>1.37</v>
          </cell>
          <cell r="G3688">
            <v>0</v>
          </cell>
          <cell r="H3688" t="str">
            <v>60/61</v>
          </cell>
        </row>
        <row r="3689">
          <cell r="F3689">
            <v>462.77</v>
          </cell>
          <cell r="G3689">
            <v>0</v>
          </cell>
          <cell r="H3689" t="str">
            <v>60/61</v>
          </cell>
        </row>
        <row r="3690">
          <cell r="F3690">
            <v>167.4</v>
          </cell>
          <cell r="G3690">
            <v>0</v>
          </cell>
          <cell r="H3690" t="str">
            <v>60/61</v>
          </cell>
        </row>
        <row r="3691">
          <cell r="F3691">
            <v>430.62</v>
          </cell>
          <cell r="G3691">
            <v>0</v>
          </cell>
          <cell r="H3691" t="str">
            <v>60/61</v>
          </cell>
        </row>
        <row r="3692">
          <cell r="F3692">
            <v>48</v>
          </cell>
          <cell r="G3692">
            <v>0</v>
          </cell>
          <cell r="H3692" t="str">
            <v>60/61</v>
          </cell>
        </row>
        <row r="3693">
          <cell r="F3693">
            <v>48</v>
          </cell>
          <cell r="G3693">
            <v>0</v>
          </cell>
          <cell r="H3693" t="str">
            <v>60/61</v>
          </cell>
        </row>
        <row r="3694">
          <cell r="F3694">
            <v>115.6</v>
          </cell>
          <cell r="G3694">
            <v>0</v>
          </cell>
          <cell r="H3694" t="str">
            <v>60/61</v>
          </cell>
        </row>
        <row r="3695">
          <cell r="F3695">
            <v>3.0999999999999979</v>
          </cell>
          <cell r="G3695">
            <v>0</v>
          </cell>
          <cell r="H3695" t="str">
            <v>60/61</v>
          </cell>
        </row>
        <row r="3696">
          <cell r="F3696">
            <v>99.96</v>
          </cell>
          <cell r="G3696">
            <v>0</v>
          </cell>
          <cell r="H3696" t="str">
            <v>60/61</v>
          </cell>
        </row>
        <row r="3697">
          <cell r="F3697">
            <v>476.3</v>
          </cell>
          <cell r="G3697">
            <v>0</v>
          </cell>
          <cell r="H3697" t="str">
            <v>60/61</v>
          </cell>
        </row>
        <row r="3698">
          <cell r="F3698">
            <v>113.43</v>
          </cell>
          <cell r="G3698">
            <v>0</v>
          </cell>
          <cell r="H3698" t="str">
            <v>60/61</v>
          </cell>
        </row>
        <row r="3699">
          <cell r="F3699">
            <v>12.409999999999997</v>
          </cell>
          <cell r="G3699">
            <v>0</v>
          </cell>
          <cell r="H3699" t="str">
            <v>60/61</v>
          </cell>
        </row>
        <row r="3700">
          <cell r="F3700">
            <v>442.64</v>
          </cell>
          <cell r="G3700">
            <v>0</v>
          </cell>
          <cell r="H3700" t="str">
            <v>60/61</v>
          </cell>
        </row>
        <row r="3701">
          <cell r="F3701">
            <v>212.12</v>
          </cell>
          <cell r="G3701">
            <v>0</v>
          </cell>
          <cell r="H3701" t="str">
            <v>60/61</v>
          </cell>
        </row>
        <row r="3702">
          <cell r="F3702">
            <v>28.27</v>
          </cell>
          <cell r="G3702">
            <v>0</v>
          </cell>
          <cell r="H3702" t="str">
            <v>60/61</v>
          </cell>
        </row>
        <row r="3703">
          <cell r="F3703">
            <v>126.11</v>
          </cell>
          <cell r="G3703">
            <v>0</v>
          </cell>
          <cell r="H3703" t="str">
            <v>60/61</v>
          </cell>
        </row>
        <row r="3704">
          <cell r="F3704">
            <v>64.42</v>
          </cell>
          <cell r="G3704">
            <v>0</v>
          </cell>
          <cell r="H3704" t="str">
            <v>60/61</v>
          </cell>
        </row>
        <row r="3705">
          <cell r="F3705">
            <v>381.39</v>
          </cell>
          <cell r="G3705">
            <v>0</v>
          </cell>
          <cell r="H3705" t="str">
            <v>60/61</v>
          </cell>
        </row>
        <row r="3706">
          <cell r="F3706">
            <v>221.26</v>
          </cell>
          <cell r="G3706">
            <v>0</v>
          </cell>
          <cell r="H3706" t="str">
            <v>60/61</v>
          </cell>
        </row>
        <row r="3707">
          <cell r="F3707">
            <v>139.56</v>
          </cell>
          <cell r="G3707">
            <v>0</v>
          </cell>
          <cell r="H3707" t="str">
            <v>60/61</v>
          </cell>
        </row>
        <row r="3708">
          <cell r="F3708">
            <v>122.79</v>
          </cell>
          <cell r="G3708">
            <v>0</v>
          </cell>
          <cell r="H3708" t="str">
            <v>60/61</v>
          </cell>
        </row>
        <row r="3709">
          <cell r="F3709">
            <v>46.84</v>
          </cell>
          <cell r="G3709">
            <v>0</v>
          </cell>
          <cell r="H3709" t="str">
            <v>60/61</v>
          </cell>
        </row>
        <row r="3710">
          <cell r="F3710">
            <v>170.96</v>
          </cell>
          <cell r="G3710">
            <v>0</v>
          </cell>
          <cell r="H3710" t="str">
            <v>60/61</v>
          </cell>
        </row>
        <row r="3711">
          <cell r="F3711">
            <v>59.43</v>
          </cell>
          <cell r="G3711">
            <v>0</v>
          </cell>
          <cell r="H3711" t="str">
            <v>60/61</v>
          </cell>
        </row>
        <row r="3712">
          <cell r="F3712">
            <v>119.52</v>
          </cell>
          <cell r="G3712">
            <v>0</v>
          </cell>
          <cell r="H3712" t="str">
            <v>60/61</v>
          </cell>
        </row>
        <row r="3713">
          <cell r="F3713">
            <v>42.04</v>
          </cell>
          <cell r="G3713">
            <v>0</v>
          </cell>
          <cell r="H3713" t="str">
            <v>60/61</v>
          </cell>
        </row>
        <row r="3714">
          <cell r="F3714">
            <v>101.66</v>
          </cell>
          <cell r="G3714">
            <v>0</v>
          </cell>
          <cell r="H3714" t="str">
            <v>60/61</v>
          </cell>
        </row>
        <row r="3715">
          <cell r="F3715">
            <v>1153.06</v>
          </cell>
          <cell r="G3715">
            <v>0</v>
          </cell>
          <cell r="H3715" t="str">
            <v>60/61</v>
          </cell>
        </row>
        <row r="3716">
          <cell r="F3716">
            <v>217.12</v>
          </cell>
          <cell r="G3716">
            <v>0</v>
          </cell>
          <cell r="H3716" t="str">
            <v>60/61</v>
          </cell>
        </row>
        <row r="3717">
          <cell r="F3717">
            <v>88.95</v>
          </cell>
          <cell r="G3717">
            <v>0</v>
          </cell>
          <cell r="H3717" t="str">
            <v>60/61</v>
          </cell>
        </row>
        <row r="3718">
          <cell r="F3718">
            <v>199.07</v>
          </cell>
          <cell r="G3718">
            <v>0</v>
          </cell>
          <cell r="H3718" t="str">
            <v>60/61</v>
          </cell>
        </row>
        <row r="3719">
          <cell r="F3719">
            <v>1980.44</v>
          </cell>
          <cell r="G3719">
            <v>0</v>
          </cell>
          <cell r="H3719" t="str">
            <v>60/61</v>
          </cell>
        </row>
        <row r="3720">
          <cell r="F3720">
            <v>34.799999999999997</v>
          </cell>
          <cell r="G3720">
            <v>0</v>
          </cell>
          <cell r="H3720" t="str">
            <v>60/61</v>
          </cell>
        </row>
        <row r="3721">
          <cell r="F3721">
            <v>22.19</v>
          </cell>
          <cell r="G3721">
            <v>0</v>
          </cell>
          <cell r="H3721" t="str">
            <v>60/61</v>
          </cell>
        </row>
        <row r="3722">
          <cell r="F3722">
            <v>388.25</v>
          </cell>
          <cell r="G3722">
            <v>0</v>
          </cell>
          <cell r="H3722" t="str">
            <v>60/61</v>
          </cell>
        </row>
        <row r="3723">
          <cell r="F3723">
            <v>1771.92</v>
          </cell>
          <cell r="G3723">
            <v>0</v>
          </cell>
          <cell r="H3723" t="str">
            <v>60/61</v>
          </cell>
        </row>
        <row r="3724">
          <cell r="F3724">
            <v>23.63</v>
          </cell>
          <cell r="G3724">
            <v>0</v>
          </cell>
          <cell r="H3724" t="str">
            <v>60/61</v>
          </cell>
        </row>
        <row r="3725">
          <cell r="F3725">
            <v>179.52</v>
          </cell>
          <cell r="G3725">
            <v>0</v>
          </cell>
          <cell r="H3725" t="str">
            <v>60/61</v>
          </cell>
        </row>
        <row r="3726">
          <cell r="F3726">
            <v>103.65</v>
          </cell>
          <cell r="G3726">
            <v>0</v>
          </cell>
          <cell r="H3726" t="str">
            <v>60/61</v>
          </cell>
        </row>
        <row r="3727">
          <cell r="F3727">
            <v>8.0000000000000071E-2</v>
          </cell>
          <cell r="G3727">
            <v>0</v>
          </cell>
          <cell r="H3727" t="str">
            <v>60/61</v>
          </cell>
        </row>
        <row r="3728">
          <cell r="F3728">
            <v>35.47</v>
          </cell>
          <cell r="G3728">
            <v>0</v>
          </cell>
          <cell r="H3728" t="str">
            <v>60/61</v>
          </cell>
        </row>
        <row r="3729">
          <cell r="F3729">
            <v>26.74</v>
          </cell>
          <cell r="G3729">
            <v>0</v>
          </cell>
          <cell r="H3729" t="str">
            <v>60/61</v>
          </cell>
        </row>
        <row r="3730">
          <cell r="F3730">
            <v>6.72</v>
          </cell>
          <cell r="G3730">
            <v>0</v>
          </cell>
          <cell r="H3730" t="str">
            <v>60/61</v>
          </cell>
        </row>
        <row r="3731">
          <cell r="F3731">
            <v>2.1999999999999957</v>
          </cell>
          <cell r="G3731">
            <v>0</v>
          </cell>
          <cell r="H3731" t="str">
            <v>60/61</v>
          </cell>
        </row>
        <row r="3732">
          <cell r="F3732">
            <v>227.06</v>
          </cell>
          <cell r="G3732">
            <v>0</v>
          </cell>
          <cell r="H3732" t="str">
            <v>60/61</v>
          </cell>
        </row>
        <row r="3733">
          <cell r="F3733">
            <v>6.06</v>
          </cell>
          <cell r="G3733">
            <v>0</v>
          </cell>
          <cell r="H3733" t="str">
            <v>60/61</v>
          </cell>
        </row>
        <row r="3734">
          <cell r="F3734">
            <v>114.32</v>
          </cell>
          <cell r="G3734">
            <v>0</v>
          </cell>
          <cell r="H3734" t="str">
            <v>60/61</v>
          </cell>
        </row>
        <row r="3735">
          <cell r="F3735">
            <v>5.629999999999999</v>
          </cell>
          <cell r="G3735">
            <v>0</v>
          </cell>
          <cell r="H3735" t="str">
            <v>60/61</v>
          </cell>
        </row>
        <row r="3736">
          <cell r="F3736">
            <v>220.52</v>
          </cell>
          <cell r="G3736">
            <v>0</v>
          </cell>
          <cell r="H3736" t="str">
            <v>60/61</v>
          </cell>
        </row>
        <row r="3737">
          <cell r="F3737">
            <v>65.38</v>
          </cell>
          <cell r="G3737">
            <v>0</v>
          </cell>
          <cell r="H3737" t="str">
            <v>60/61</v>
          </cell>
        </row>
        <row r="3738">
          <cell r="F3738">
            <v>236.44</v>
          </cell>
          <cell r="G3738">
            <v>0</v>
          </cell>
          <cell r="H3738" t="str">
            <v>60/61</v>
          </cell>
        </row>
        <row r="3739">
          <cell r="F3739">
            <v>257.17</v>
          </cell>
          <cell r="G3739">
            <v>0</v>
          </cell>
          <cell r="H3739" t="str">
            <v>60/61</v>
          </cell>
        </row>
        <row r="3740">
          <cell r="F3740">
            <v>463.6</v>
          </cell>
          <cell r="G3740">
            <v>0</v>
          </cell>
          <cell r="H3740" t="str">
            <v>60/61</v>
          </cell>
        </row>
        <row r="3741">
          <cell r="F3741">
            <v>177.34</v>
          </cell>
          <cell r="G3741">
            <v>0</v>
          </cell>
          <cell r="H3741" t="str">
            <v>60/61</v>
          </cell>
        </row>
        <row r="3742">
          <cell r="F3742">
            <v>50</v>
          </cell>
          <cell r="G3742">
            <v>0</v>
          </cell>
          <cell r="H3742" t="str">
            <v>60/61</v>
          </cell>
        </row>
        <row r="3743">
          <cell r="F3743">
            <v>558.36</v>
          </cell>
          <cell r="G3743">
            <v>0</v>
          </cell>
          <cell r="H3743" t="str">
            <v>60/61</v>
          </cell>
        </row>
        <row r="3744">
          <cell r="F3744">
            <v>1079.6400000000001</v>
          </cell>
          <cell r="G3744">
            <v>0</v>
          </cell>
          <cell r="H3744" t="str">
            <v>60/61</v>
          </cell>
        </row>
        <row r="3745">
          <cell r="F3745">
            <v>21.66</v>
          </cell>
          <cell r="G3745">
            <v>0</v>
          </cell>
          <cell r="H3745" t="str">
            <v>60/61</v>
          </cell>
        </row>
        <row r="3746">
          <cell r="F3746">
            <v>52.08</v>
          </cell>
          <cell r="G3746">
            <v>0</v>
          </cell>
          <cell r="H3746" t="str">
            <v>60/61</v>
          </cell>
        </row>
        <row r="3747">
          <cell r="F3747">
            <v>85.65</v>
          </cell>
          <cell r="G3747">
            <v>0</v>
          </cell>
          <cell r="H3747" t="str">
            <v>60/61</v>
          </cell>
        </row>
        <row r="3748">
          <cell r="F3748">
            <v>134.22999999999999</v>
          </cell>
          <cell r="G3748">
            <v>0</v>
          </cell>
          <cell r="H3748" t="str">
            <v>60/61</v>
          </cell>
        </row>
        <row r="3749">
          <cell r="F3749">
            <v>162.25</v>
          </cell>
          <cell r="G3749">
            <v>0</v>
          </cell>
          <cell r="H3749" t="str">
            <v>60/61</v>
          </cell>
        </row>
        <row r="3750">
          <cell r="F3750">
            <v>32.64</v>
          </cell>
          <cell r="G3750">
            <v>0</v>
          </cell>
          <cell r="H3750" t="str">
            <v>60/61</v>
          </cell>
        </row>
        <row r="3751">
          <cell r="F3751">
            <v>71.78</v>
          </cell>
          <cell r="G3751">
            <v>0</v>
          </cell>
          <cell r="H3751" t="str">
            <v>60/61</v>
          </cell>
        </row>
        <row r="3752">
          <cell r="F3752">
            <v>51.37</v>
          </cell>
          <cell r="G3752">
            <v>0</v>
          </cell>
          <cell r="H3752" t="str">
            <v>60/61</v>
          </cell>
        </row>
        <row r="3753">
          <cell r="F3753">
            <v>100.45</v>
          </cell>
          <cell r="G3753">
            <v>0</v>
          </cell>
          <cell r="H3753" t="str">
            <v>60/61</v>
          </cell>
        </row>
        <row r="3754">
          <cell r="F3754">
            <v>104.15</v>
          </cell>
          <cell r="G3754">
            <v>0</v>
          </cell>
          <cell r="H3754" t="str">
            <v>60/61</v>
          </cell>
        </row>
        <row r="3755">
          <cell r="F3755">
            <v>443.29</v>
          </cell>
          <cell r="G3755">
            <v>0</v>
          </cell>
          <cell r="H3755" t="str">
            <v>60/61</v>
          </cell>
        </row>
        <row r="3756">
          <cell r="F3756">
            <v>2937.98</v>
          </cell>
          <cell r="G3756">
            <v>0</v>
          </cell>
          <cell r="H3756" t="str">
            <v>60/61</v>
          </cell>
        </row>
        <row r="3757">
          <cell r="F3757">
            <v>1451.62</v>
          </cell>
          <cell r="G3757">
            <v>0</v>
          </cell>
          <cell r="H3757" t="str">
            <v>60/61</v>
          </cell>
        </row>
        <row r="3758">
          <cell r="F3758">
            <v>1614.04</v>
          </cell>
          <cell r="G3758">
            <v>0</v>
          </cell>
          <cell r="H3758" t="str">
            <v>60/61</v>
          </cell>
        </row>
        <row r="3759">
          <cell r="F3759">
            <v>519.01</v>
          </cell>
          <cell r="G3759">
            <v>0</v>
          </cell>
          <cell r="H3759" t="str">
            <v>60/61</v>
          </cell>
        </row>
        <row r="3760">
          <cell r="F3760">
            <v>158.53</v>
          </cell>
          <cell r="G3760">
            <v>0</v>
          </cell>
          <cell r="H3760" t="str">
            <v>60/61</v>
          </cell>
        </row>
        <row r="3761">
          <cell r="F3761">
            <v>5.0000000000000044E-2</v>
          </cell>
          <cell r="G3761">
            <v>0</v>
          </cell>
          <cell r="H3761" t="str">
            <v>60/61</v>
          </cell>
        </row>
        <row r="3762">
          <cell r="F3762">
            <v>5.88</v>
          </cell>
          <cell r="G3762">
            <v>0</v>
          </cell>
          <cell r="H3762" t="str">
            <v>60/61</v>
          </cell>
        </row>
        <row r="3763">
          <cell r="F3763">
            <v>181.96</v>
          </cell>
          <cell r="G3763">
            <v>0</v>
          </cell>
          <cell r="H3763" t="str">
            <v>60/61</v>
          </cell>
        </row>
        <row r="3764">
          <cell r="F3764">
            <v>649.04</v>
          </cell>
          <cell r="G3764">
            <v>0</v>
          </cell>
          <cell r="H3764" t="str">
            <v>60/61</v>
          </cell>
        </row>
        <row r="3765">
          <cell r="F3765">
            <v>125.81</v>
          </cell>
          <cell r="G3765">
            <v>0</v>
          </cell>
          <cell r="H3765" t="str">
            <v>60/61</v>
          </cell>
        </row>
        <row r="3766">
          <cell r="F3766">
            <v>5.88</v>
          </cell>
          <cell r="G3766">
            <v>0</v>
          </cell>
          <cell r="H3766" t="str">
            <v>60/61</v>
          </cell>
        </row>
        <row r="3767">
          <cell r="F3767">
            <v>122.44</v>
          </cell>
          <cell r="G3767">
            <v>0</v>
          </cell>
          <cell r="H3767" t="str">
            <v>60/61</v>
          </cell>
        </row>
        <row r="3768">
          <cell r="F3768">
            <v>948.61</v>
          </cell>
          <cell r="G3768">
            <v>0</v>
          </cell>
          <cell r="H3768" t="str">
            <v>60/61</v>
          </cell>
        </row>
        <row r="3769">
          <cell r="F3769">
            <v>567.45000000000005</v>
          </cell>
          <cell r="G3769">
            <v>0</v>
          </cell>
          <cell r="H3769" t="str">
            <v>60/61</v>
          </cell>
        </row>
        <row r="3770">
          <cell r="F3770">
            <v>63.64</v>
          </cell>
          <cell r="G3770">
            <v>0</v>
          </cell>
          <cell r="H3770" t="str">
            <v>60/61</v>
          </cell>
        </row>
        <row r="3771">
          <cell r="F3771">
            <v>4.4000000000000004</v>
          </cell>
          <cell r="G3771">
            <v>0</v>
          </cell>
          <cell r="H3771" t="str">
            <v>60/61</v>
          </cell>
        </row>
        <row r="3772">
          <cell r="F3772">
            <v>15.72</v>
          </cell>
          <cell r="G3772">
            <v>0</v>
          </cell>
          <cell r="H3772" t="str">
            <v>60/61</v>
          </cell>
        </row>
        <row r="3773">
          <cell r="F3773">
            <v>347.55</v>
          </cell>
          <cell r="G3773">
            <v>0</v>
          </cell>
          <cell r="H3773" t="str">
            <v>60/61</v>
          </cell>
        </row>
        <row r="3774">
          <cell r="F3774">
            <v>178.19</v>
          </cell>
          <cell r="G3774">
            <v>0</v>
          </cell>
          <cell r="H3774" t="str">
            <v>60/61</v>
          </cell>
        </row>
        <row r="3775">
          <cell r="F3775">
            <v>436.88</v>
          </cell>
          <cell r="G3775">
            <v>0</v>
          </cell>
          <cell r="H3775" t="str">
            <v>60/61</v>
          </cell>
        </row>
        <row r="3776">
          <cell r="F3776">
            <v>92.69</v>
          </cell>
          <cell r="G3776">
            <v>0</v>
          </cell>
          <cell r="H3776" t="str">
            <v>60/61</v>
          </cell>
        </row>
        <row r="3777">
          <cell r="F3777">
            <v>2767.16</v>
          </cell>
          <cell r="G3777">
            <v>0</v>
          </cell>
          <cell r="H3777" t="str">
            <v>60/61</v>
          </cell>
        </row>
        <row r="3778">
          <cell r="F3778">
            <v>253.58</v>
          </cell>
          <cell r="G3778">
            <v>0</v>
          </cell>
          <cell r="H3778" t="str">
            <v>60/61</v>
          </cell>
        </row>
        <row r="3779">
          <cell r="F3779">
            <v>104.43</v>
          </cell>
          <cell r="G3779">
            <v>0</v>
          </cell>
          <cell r="H3779" t="str">
            <v>60/61</v>
          </cell>
        </row>
        <row r="3780">
          <cell r="F3780">
            <v>3141.62</v>
          </cell>
          <cell r="G3780">
            <v>0</v>
          </cell>
          <cell r="H3780" t="str">
            <v>60/61</v>
          </cell>
        </row>
        <row r="3781">
          <cell r="F3781">
            <v>24.86</v>
          </cell>
          <cell r="G3781">
            <v>0</v>
          </cell>
          <cell r="H3781" t="str">
            <v>60/61</v>
          </cell>
        </row>
        <row r="3782">
          <cell r="F3782">
            <v>3.58</v>
          </cell>
          <cell r="G3782">
            <v>0</v>
          </cell>
          <cell r="H3782" t="str">
            <v>60/61</v>
          </cell>
        </row>
        <row r="3783">
          <cell r="F3783">
            <v>433.22</v>
          </cell>
          <cell r="G3783">
            <v>0</v>
          </cell>
          <cell r="H3783" t="str">
            <v>60/61</v>
          </cell>
        </row>
        <row r="3784">
          <cell r="F3784">
            <v>0.30000000000000071</v>
          </cell>
          <cell r="G3784">
            <v>0</v>
          </cell>
          <cell r="H3784" t="str">
            <v>60/61</v>
          </cell>
        </row>
        <row r="3785">
          <cell r="F3785">
            <v>5.59</v>
          </cell>
          <cell r="G3785">
            <v>0</v>
          </cell>
          <cell r="H3785" t="str">
            <v>60/61</v>
          </cell>
        </row>
        <row r="3786">
          <cell r="F3786">
            <v>170.1</v>
          </cell>
          <cell r="G3786">
            <v>0</v>
          </cell>
          <cell r="H3786" t="str">
            <v>60/61</v>
          </cell>
        </row>
        <row r="3787">
          <cell r="F3787">
            <v>872.99</v>
          </cell>
          <cell r="G3787">
            <v>0</v>
          </cell>
          <cell r="H3787" t="str">
            <v>60/61</v>
          </cell>
        </row>
        <row r="3788">
          <cell r="F3788">
            <v>305.38</v>
          </cell>
          <cell r="G3788">
            <v>0</v>
          </cell>
          <cell r="H3788" t="str">
            <v>60/61</v>
          </cell>
        </row>
        <row r="3789">
          <cell r="F3789">
            <v>1012.67</v>
          </cell>
          <cell r="G3789">
            <v>0</v>
          </cell>
          <cell r="H3789" t="str">
            <v>60/61</v>
          </cell>
        </row>
        <row r="3790">
          <cell r="F3790">
            <v>172.25</v>
          </cell>
          <cell r="G3790">
            <v>0</v>
          </cell>
          <cell r="H3790" t="str">
            <v>60/61</v>
          </cell>
        </row>
        <row r="3791">
          <cell r="F3791">
            <v>182.6</v>
          </cell>
          <cell r="G3791">
            <v>0</v>
          </cell>
          <cell r="H3791" t="str">
            <v>60/61</v>
          </cell>
        </row>
        <row r="3792">
          <cell r="F3792">
            <v>153.30000000000001</v>
          </cell>
          <cell r="G3792">
            <v>0</v>
          </cell>
          <cell r="H3792" t="str">
            <v>60/61</v>
          </cell>
        </row>
        <row r="3793">
          <cell r="F3793">
            <v>7.2</v>
          </cell>
          <cell r="G3793">
            <v>0</v>
          </cell>
          <cell r="H3793" t="str">
            <v>60/61</v>
          </cell>
        </row>
        <row r="3794">
          <cell r="F3794">
            <v>6.6</v>
          </cell>
          <cell r="G3794">
            <v>0</v>
          </cell>
          <cell r="H3794" t="str">
            <v>60/61</v>
          </cell>
        </row>
        <row r="3795">
          <cell r="F3795">
            <v>110.34</v>
          </cell>
          <cell r="G3795">
            <v>0</v>
          </cell>
          <cell r="H3795" t="str">
            <v>60/61</v>
          </cell>
        </row>
        <row r="3796">
          <cell r="F3796">
            <v>7</v>
          </cell>
          <cell r="G3796">
            <v>0</v>
          </cell>
          <cell r="H3796" t="str">
            <v>60/61</v>
          </cell>
        </row>
        <row r="3797">
          <cell r="F3797">
            <v>3.8</v>
          </cell>
          <cell r="G3797">
            <v>0</v>
          </cell>
          <cell r="H3797" t="str">
            <v>60/61</v>
          </cell>
        </row>
        <row r="3798">
          <cell r="F3798">
            <v>0.41</v>
          </cell>
          <cell r="G3798">
            <v>0</v>
          </cell>
          <cell r="H3798" t="str">
            <v>60/61</v>
          </cell>
        </row>
        <row r="3799">
          <cell r="F3799">
            <v>5</v>
          </cell>
          <cell r="G3799">
            <v>0</v>
          </cell>
          <cell r="H3799" t="str">
            <v>60/61</v>
          </cell>
        </row>
        <row r="3800">
          <cell r="F3800">
            <v>3</v>
          </cell>
          <cell r="G3800">
            <v>0</v>
          </cell>
          <cell r="H3800" t="str">
            <v>60/61</v>
          </cell>
        </row>
        <row r="3801">
          <cell r="F3801">
            <v>15.76</v>
          </cell>
          <cell r="G3801">
            <v>0</v>
          </cell>
          <cell r="H3801" t="str">
            <v>60/61</v>
          </cell>
        </row>
        <row r="3802">
          <cell r="F3802">
            <v>0.88999999999999879</v>
          </cell>
          <cell r="G3802">
            <v>0</v>
          </cell>
          <cell r="H3802" t="str">
            <v>60/61</v>
          </cell>
        </row>
        <row r="3803">
          <cell r="F3803">
            <v>6.9</v>
          </cell>
          <cell r="G3803">
            <v>0</v>
          </cell>
          <cell r="H3803" t="str">
            <v>60/61</v>
          </cell>
        </row>
        <row r="3804">
          <cell r="F3804">
            <v>2.4</v>
          </cell>
          <cell r="G3804">
            <v>0</v>
          </cell>
          <cell r="H3804" t="str">
            <v>60/61</v>
          </cell>
        </row>
        <row r="3805">
          <cell r="F3805">
            <v>2.15</v>
          </cell>
          <cell r="G3805">
            <v>0</v>
          </cell>
          <cell r="H3805" t="str">
            <v>60/61</v>
          </cell>
        </row>
        <row r="3806">
          <cell r="F3806">
            <v>3.8</v>
          </cell>
          <cell r="G3806">
            <v>0</v>
          </cell>
          <cell r="H3806" t="str">
            <v>60/61</v>
          </cell>
        </row>
        <row r="3807">
          <cell r="F3807">
            <v>9.6</v>
          </cell>
          <cell r="G3807">
            <v>0</v>
          </cell>
          <cell r="H3807" t="str">
            <v>60/61</v>
          </cell>
        </row>
        <row r="3808">
          <cell r="F3808">
            <v>3.9500000000000028</v>
          </cell>
          <cell r="G3808">
            <v>0</v>
          </cell>
          <cell r="H3808" t="str">
            <v>60/61</v>
          </cell>
        </row>
        <row r="3809">
          <cell r="F3809">
            <v>122.05</v>
          </cell>
          <cell r="G3809">
            <v>0</v>
          </cell>
          <cell r="H3809" t="str">
            <v>60/61</v>
          </cell>
        </row>
        <row r="3810">
          <cell r="F3810">
            <v>82.83</v>
          </cell>
          <cell r="G3810">
            <v>0</v>
          </cell>
          <cell r="H3810" t="str">
            <v>60/61</v>
          </cell>
        </row>
        <row r="3811">
          <cell r="F3811">
            <v>56.330000000000005</v>
          </cell>
          <cell r="G3811">
            <v>0</v>
          </cell>
          <cell r="H3811" t="str">
            <v>60/61</v>
          </cell>
        </row>
        <row r="3812">
          <cell r="F3812">
            <v>4.55</v>
          </cell>
          <cell r="G3812">
            <v>0</v>
          </cell>
          <cell r="H3812" t="str">
            <v>60/61</v>
          </cell>
        </row>
        <row r="3813">
          <cell r="F3813">
            <v>25.77</v>
          </cell>
          <cell r="G3813">
            <v>0</v>
          </cell>
          <cell r="H3813" t="str">
            <v>60/61</v>
          </cell>
        </row>
        <row r="3814">
          <cell r="F3814">
            <v>22.45</v>
          </cell>
          <cell r="G3814">
            <v>0</v>
          </cell>
          <cell r="H3814" t="str">
            <v>60/61</v>
          </cell>
        </row>
        <row r="3815">
          <cell r="F3815">
            <v>934.46</v>
          </cell>
          <cell r="G3815">
            <v>0</v>
          </cell>
          <cell r="H3815" t="str">
            <v>60/61</v>
          </cell>
        </row>
        <row r="3816">
          <cell r="F3816">
            <v>0</v>
          </cell>
          <cell r="G3816">
            <v>0</v>
          </cell>
          <cell r="H3816" t="str">
            <v>60/61</v>
          </cell>
        </row>
        <row r="3817">
          <cell r="F3817">
            <v>11.669999999999987</v>
          </cell>
          <cell r="G3817">
            <v>0</v>
          </cell>
          <cell r="H3817" t="str">
            <v>60/61</v>
          </cell>
        </row>
        <row r="3818">
          <cell r="F3818">
            <v>199.33</v>
          </cell>
          <cell r="G3818">
            <v>0</v>
          </cell>
          <cell r="H3818" t="str">
            <v>60/61</v>
          </cell>
        </row>
        <row r="3819">
          <cell r="F3819">
            <v>527.92999999999995</v>
          </cell>
          <cell r="G3819">
            <v>0</v>
          </cell>
          <cell r="H3819" t="str">
            <v>60/61</v>
          </cell>
        </row>
        <row r="3820">
          <cell r="F3820">
            <v>22.72</v>
          </cell>
          <cell r="G3820">
            <v>0</v>
          </cell>
          <cell r="H3820" t="str">
            <v>60/61</v>
          </cell>
        </row>
        <row r="3821">
          <cell r="F3821">
            <v>19.55</v>
          </cell>
          <cell r="G3821">
            <v>0</v>
          </cell>
          <cell r="H3821" t="str">
            <v>60/61</v>
          </cell>
        </row>
        <row r="3822">
          <cell r="F3822">
            <v>17.03</v>
          </cell>
          <cell r="G3822">
            <v>0</v>
          </cell>
          <cell r="H3822" t="str">
            <v>60/61</v>
          </cell>
        </row>
        <row r="3823">
          <cell r="F3823">
            <v>105.2</v>
          </cell>
          <cell r="G3823">
            <v>0</v>
          </cell>
          <cell r="H3823" t="str">
            <v>60/61</v>
          </cell>
        </row>
        <row r="3824">
          <cell r="F3824">
            <v>4.2200000000000006</v>
          </cell>
          <cell r="G3824">
            <v>0</v>
          </cell>
          <cell r="H3824" t="str">
            <v>60/61</v>
          </cell>
        </row>
        <row r="3825">
          <cell r="F3825">
            <v>9.000000000000008E-2</v>
          </cell>
          <cell r="G3825">
            <v>0</v>
          </cell>
          <cell r="H3825" t="str">
            <v>60/61</v>
          </cell>
        </row>
        <row r="3826">
          <cell r="F3826">
            <v>389.97999999999996</v>
          </cell>
          <cell r="G3826">
            <v>0</v>
          </cell>
          <cell r="H3826" t="str">
            <v>60/61</v>
          </cell>
        </row>
        <row r="3827">
          <cell r="F3827">
            <v>471.66</v>
          </cell>
          <cell r="G3827">
            <v>0</v>
          </cell>
          <cell r="H3827" t="str">
            <v>60/61</v>
          </cell>
        </row>
        <row r="3828">
          <cell r="F3828">
            <v>458.85</v>
          </cell>
          <cell r="G3828">
            <v>0</v>
          </cell>
          <cell r="H3828" t="str">
            <v>60/61</v>
          </cell>
        </row>
        <row r="3829">
          <cell r="F3829">
            <v>155.47999999999999</v>
          </cell>
          <cell r="G3829">
            <v>0</v>
          </cell>
          <cell r="H3829" t="str">
            <v>60/61</v>
          </cell>
        </row>
        <row r="3830">
          <cell r="F3830">
            <v>106</v>
          </cell>
          <cell r="G3830">
            <v>0</v>
          </cell>
          <cell r="H3830" t="str">
            <v>60/61</v>
          </cell>
        </row>
        <row r="3831">
          <cell r="F3831">
            <v>343.60999999999996</v>
          </cell>
          <cell r="G3831">
            <v>0</v>
          </cell>
          <cell r="H3831" t="str">
            <v>60/61</v>
          </cell>
        </row>
        <row r="3832">
          <cell r="F3832">
            <v>1298.02</v>
          </cell>
          <cell r="G3832">
            <v>0</v>
          </cell>
          <cell r="H3832" t="str">
            <v>60/61</v>
          </cell>
        </row>
        <row r="3833">
          <cell r="F3833">
            <v>7.36</v>
          </cell>
          <cell r="G3833">
            <v>0</v>
          </cell>
          <cell r="H3833" t="str">
            <v>60/61</v>
          </cell>
        </row>
        <row r="3834">
          <cell r="F3834">
            <v>55.37</v>
          </cell>
          <cell r="G3834">
            <v>0</v>
          </cell>
          <cell r="H3834" t="str">
            <v>60/61</v>
          </cell>
        </row>
        <row r="3835">
          <cell r="F3835">
            <v>3.43</v>
          </cell>
          <cell r="G3835">
            <v>0</v>
          </cell>
          <cell r="H3835" t="str">
            <v>60/61</v>
          </cell>
        </row>
        <row r="3836">
          <cell r="F3836">
            <v>23.26</v>
          </cell>
          <cell r="G3836">
            <v>0</v>
          </cell>
          <cell r="H3836" t="str">
            <v>60/61</v>
          </cell>
        </row>
        <row r="3837">
          <cell r="F3837">
            <v>245</v>
          </cell>
          <cell r="G3837">
            <v>0</v>
          </cell>
          <cell r="H3837" t="str">
            <v>60/61</v>
          </cell>
        </row>
        <row r="3838">
          <cell r="F3838">
            <v>114.42</v>
          </cell>
          <cell r="G3838">
            <v>0</v>
          </cell>
          <cell r="H3838" t="str">
            <v>60/61</v>
          </cell>
        </row>
        <row r="3839">
          <cell r="F3839">
            <v>41.07</v>
          </cell>
          <cell r="G3839">
            <v>0</v>
          </cell>
          <cell r="H3839" t="str">
            <v>60/61</v>
          </cell>
        </row>
        <row r="3840">
          <cell r="F3840">
            <v>40.040000000000006</v>
          </cell>
          <cell r="G3840">
            <v>0</v>
          </cell>
          <cell r="H3840" t="str">
            <v>60/61</v>
          </cell>
        </row>
        <row r="3841">
          <cell r="F3841">
            <v>314.64</v>
          </cell>
          <cell r="G3841">
            <v>0</v>
          </cell>
          <cell r="H3841" t="str">
            <v>60/61</v>
          </cell>
        </row>
        <row r="3842">
          <cell r="F3842">
            <v>733.45</v>
          </cell>
          <cell r="G3842">
            <v>0</v>
          </cell>
          <cell r="H3842" t="str">
            <v>60/61</v>
          </cell>
        </row>
        <row r="3843">
          <cell r="F3843">
            <v>235.43</v>
          </cell>
          <cell r="G3843">
            <v>0</v>
          </cell>
          <cell r="H3843" t="str">
            <v>60/61</v>
          </cell>
        </row>
        <row r="3844">
          <cell r="F3844">
            <v>185.06</v>
          </cell>
          <cell r="G3844">
            <v>0</v>
          </cell>
          <cell r="H3844" t="str">
            <v>60/61</v>
          </cell>
        </row>
        <row r="3845">
          <cell r="F3845">
            <v>244.43</v>
          </cell>
          <cell r="G3845">
            <v>0</v>
          </cell>
          <cell r="H3845" t="str">
            <v>60/61</v>
          </cell>
        </row>
        <row r="3846">
          <cell r="F3846">
            <v>16.54</v>
          </cell>
          <cell r="G3846">
            <v>0</v>
          </cell>
          <cell r="H3846" t="str">
            <v>60/61</v>
          </cell>
        </row>
        <row r="3847">
          <cell r="F3847">
            <v>48.94</v>
          </cell>
          <cell r="G3847">
            <v>0</v>
          </cell>
          <cell r="H3847" t="str">
            <v>60/61</v>
          </cell>
        </row>
        <row r="3848">
          <cell r="F3848">
            <v>140.41999999999999</v>
          </cell>
          <cell r="G3848">
            <v>0</v>
          </cell>
          <cell r="H3848" t="str">
            <v>60/61</v>
          </cell>
        </row>
        <row r="3849">
          <cell r="F3849">
            <v>149.5</v>
          </cell>
          <cell r="G3849">
            <v>0</v>
          </cell>
          <cell r="H3849" t="str">
            <v>60/61</v>
          </cell>
        </row>
        <row r="3850">
          <cell r="F3850">
            <v>1335.45</v>
          </cell>
          <cell r="G3850">
            <v>0</v>
          </cell>
          <cell r="H3850" t="str">
            <v>60/61</v>
          </cell>
        </row>
        <row r="3851">
          <cell r="F3851">
            <v>22.68</v>
          </cell>
          <cell r="G3851">
            <v>0</v>
          </cell>
          <cell r="H3851" t="str">
            <v>60/61</v>
          </cell>
        </row>
        <row r="3852">
          <cell r="F3852">
            <v>112.68</v>
          </cell>
          <cell r="G3852">
            <v>0</v>
          </cell>
          <cell r="H3852" t="str">
            <v>60/61</v>
          </cell>
        </row>
        <row r="3853">
          <cell r="F3853">
            <v>13.6</v>
          </cell>
          <cell r="G3853">
            <v>0</v>
          </cell>
          <cell r="H3853" t="str">
            <v>60/61</v>
          </cell>
        </row>
        <row r="3854">
          <cell r="F3854">
            <v>27.91</v>
          </cell>
          <cell r="G3854">
            <v>0</v>
          </cell>
          <cell r="H3854" t="str">
            <v>60/61</v>
          </cell>
        </row>
        <row r="3855">
          <cell r="F3855">
            <v>68.34</v>
          </cell>
          <cell r="G3855">
            <v>0</v>
          </cell>
          <cell r="H3855" t="str">
            <v>60/61</v>
          </cell>
        </row>
        <row r="3856">
          <cell r="F3856">
            <v>126.8</v>
          </cell>
          <cell r="G3856">
            <v>0</v>
          </cell>
          <cell r="H3856" t="str">
            <v>60/61</v>
          </cell>
        </row>
        <row r="3857">
          <cell r="F3857">
            <v>1465.37</v>
          </cell>
          <cell r="G3857">
            <v>0</v>
          </cell>
          <cell r="H3857" t="str">
            <v>60/61</v>
          </cell>
        </row>
        <row r="3858">
          <cell r="F3858">
            <v>466.14</v>
          </cell>
          <cell r="G3858">
            <v>0</v>
          </cell>
          <cell r="H3858" t="str">
            <v>60/61</v>
          </cell>
        </row>
        <row r="3859">
          <cell r="F3859">
            <v>1302.8699999999999</v>
          </cell>
          <cell r="G3859">
            <v>0</v>
          </cell>
          <cell r="H3859" t="str">
            <v>60/61</v>
          </cell>
        </row>
        <row r="3860">
          <cell r="F3860">
            <v>996.95</v>
          </cell>
          <cell r="G3860">
            <v>0</v>
          </cell>
          <cell r="H3860" t="str">
            <v>60/61</v>
          </cell>
        </row>
        <row r="3861">
          <cell r="F3861">
            <v>611.07999999999993</v>
          </cell>
          <cell r="G3861">
            <v>0</v>
          </cell>
          <cell r="H3861" t="str">
            <v>60/61</v>
          </cell>
        </row>
        <row r="3862">
          <cell r="F3862">
            <v>141.44999999999999</v>
          </cell>
          <cell r="G3862">
            <v>0</v>
          </cell>
          <cell r="H3862" t="str">
            <v>60/61</v>
          </cell>
        </row>
        <row r="3863">
          <cell r="F3863">
            <v>49.68</v>
          </cell>
          <cell r="G3863">
            <v>0</v>
          </cell>
          <cell r="H3863" t="str">
            <v>60/61</v>
          </cell>
        </row>
        <row r="3864">
          <cell r="F3864">
            <v>385.94</v>
          </cell>
          <cell r="G3864">
            <v>0</v>
          </cell>
          <cell r="H3864" t="str">
            <v>60/61</v>
          </cell>
        </row>
        <row r="3865">
          <cell r="F3865">
            <v>18.239999999999998</v>
          </cell>
          <cell r="G3865">
            <v>0</v>
          </cell>
          <cell r="H3865" t="str">
            <v>60/61</v>
          </cell>
        </row>
        <row r="3866">
          <cell r="F3866">
            <v>4.83</v>
          </cell>
          <cell r="G3866">
            <v>0</v>
          </cell>
          <cell r="H3866" t="str">
            <v>60/61</v>
          </cell>
        </row>
        <row r="3867">
          <cell r="F3867">
            <v>348.59</v>
          </cell>
          <cell r="G3867">
            <v>0</v>
          </cell>
          <cell r="H3867" t="str">
            <v>60/61</v>
          </cell>
        </row>
        <row r="3868">
          <cell r="F3868">
            <v>48.49</v>
          </cell>
          <cell r="G3868">
            <v>0</v>
          </cell>
          <cell r="H3868" t="str">
            <v>60/61</v>
          </cell>
        </row>
        <row r="3869">
          <cell r="F3869">
            <v>146.84</v>
          </cell>
          <cell r="G3869">
            <v>0</v>
          </cell>
          <cell r="H3869" t="str">
            <v>60/61</v>
          </cell>
        </row>
        <row r="3870">
          <cell r="F3870">
            <v>95.03</v>
          </cell>
          <cell r="G3870">
            <v>0</v>
          </cell>
          <cell r="H3870" t="str">
            <v>60/61</v>
          </cell>
        </row>
        <row r="3871">
          <cell r="F3871">
            <v>689.1</v>
          </cell>
          <cell r="G3871">
            <v>0</v>
          </cell>
          <cell r="H3871" t="str">
            <v>60/61</v>
          </cell>
        </row>
        <row r="3872">
          <cell r="F3872">
            <v>1922.69</v>
          </cell>
          <cell r="G3872">
            <v>0</v>
          </cell>
          <cell r="H3872" t="str">
            <v>60/61</v>
          </cell>
        </row>
        <row r="3873">
          <cell r="F3873">
            <v>1165.8599999999999</v>
          </cell>
          <cell r="G3873">
            <v>0</v>
          </cell>
          <cell r="H3873" t="str">
            <v>60/61</v>
          </cell>
        </row>
        <row r="3874">
          <cell r="F3874">
            <v>17.3</v>
          </cell>
          <cell r="G3874">
            <v>0</v>
          </cell>
          <cell r="H3874" t="str">
            <v>60/61</v>
          </cell>
        </row>
        <row r="3875">
          <cell r="F3875">
            <v>103.02</v>
          </cell>
          <cell r="G3875">
            <v>0</v>
          </cell>
          <cell r="H3875" t="str">
            <v>60/61</v>
          </cell>
        </row>
        <row r="3876">
          <cell r="F3876">
            <v>49</v>
          </cell>
          <cell r="G3876">
            <v>0</v>
          </cell>
          <cell r="H3876" t="str">
            <v>60/61</v>
          </cell>
        </row>
        <row r="3877">
          <cell r="F3877">
            <v>11.5</v>
          </cell>
          <cell r="G3877">
            <v>0</v>
          </cell>
          <cell r="H3877" t="str">
            <v>60/61</v>
          </cell>
        </row>
        <row r="3878">
          <cell r="F3878">
            <v>7.4300000000000033</v>
          </cell>
          <cell r="G3878">
            <v>0</v>
          </cell>
          <cell r="H3878" t="str">
            <v>60/61</v>
          </cell>
        </row>
        <row r="3879">
          <cell r="F3879">
            <v>227.9</v>
          </cell>
          <cell r="G3879">
            <v>0</v>
          </cell>
          <cell r="H3879" t="str">
            <v>60/61</v>
          </cell>
        </row>
        <row r="3880">
          <cell r="F3880">
            <v>153.08000000000001</v>
          </cell>
          <cell r="G3880">
            <v>0</v>
          </cell>
          <cell r="H3880" t="str">
            <v>60/61</v>
          </cell>
        </row>
        <row r="3881">
          <cell r="F3881">
            <v>164.85</v>
          </cell>
          <cell r="G3881">
            <v>0</v>
          </cell>
          <cell r="H3881" t="str">
            <v>60/61</v>
          </cell>
        </row>
        <row r="3882">
          <cell r="F3882">
            <v>498.27</v>
          </cell>
          <cell r="G3882">
            <v>0</v>
          </cell>
          <cell r="H3882" t="str">
            <v>60/61</v>
          </cell>
        </row>
        <row r="3883">
          <cell r="F3883">
            <v>4076.29</v>
          </cell>
          <cell r="G3883">
            <v>0</v>
          </cell>
          <cell r="H3883" t="str">
            <v>60/61</v>
          </cell>
        </row>
        <row r="3884">
          <cell r="F3884">
            <v>98.75</v>
          </cell>
          <cell r="G3884">
            <v>0</v>
          </cell>
          <cell r="H3884" t="str">
            <v>60/61</v>
          </cell>
        </row>
        <row r="3885">
          <cell r="F3885">
            <v>34.15</v>
          </cell>
          <cell r="G3885">
            <v>0</v>
          </cell>
          <cell r="H3885" t="str">
            <v>60/61</v>
          </cell>
        </row>
        <row r="3886">
          <cell r="F3886">
            <v>172.52</v>
          </cell>
          <cell r="G3886">
            <v>0</v>
          </cell>
          <cell r="H3886" t="str">
            <v>60/61</v>
          </cell>
        </row>
        <row r="3887">
          <cell r="F3887">
            <v>0.66000000000000014</v>
          </cell>
          <cell r="G3887">
            <v>0</v>
          </cell>
          <cell r="H3887" t="str">
            <v>60/61</v>
          </cell>
        </row>
        <row r="3888">
          <cell r="F3888">
            <v>4.83</v>
          </cell>
          <cell r="G3888">
            <v>0</v>
          </cell>
          <cell r="H3888" t="str">
            <v>60/61</v>
          </cell>
        </row>
        <row r="3889">
          <cell r="F3889">
            <v>41.02</v>
          </cell>
          <cell r="G3889">
            <v>0</v>
          </cell>
          <cell r="H3889" t="str">
            <v>60/61</v>
          </cell>
        </row>
        <row r="3890">
          <cell r="F3890">
            <v>51800</v>
          </cell>
          <cell r="G3890">
            <v>0</v>
          </cell>
          <cell r="H3890" t="str">
            <v>60/61</v>
          </cell>
        </row>
        <row r="3891">
          <cell r="F3891">
            <v>0.67</v>
          </cell>
          <cell r="G3891">
            <v>0</v>
          </cell>
          <cell r="H3891" t="str">
            <v>60/61</v>
          </cell>
        </row>
        <row r="3892">
          <cell r="F3892">
            <v>12.72</v>
          </cell>
          <cell r="G3892">
            <v>0</v>
          </cell>
          <cell r="H3892" t="str">
            <v>60/61</v>
          </cell>
        </row>
        <row r="3893">
          <cell r="F3893">
            <v>3.12</v>
          </cell>
          <cell r="G3893">
            <v>0</v>
          </cell>
          <cell r="H3893" t="str">
            <v>60/61</v>
          </cell>
        </row>
        <row r="3894">
          <cell r="F3894">
            <v>7.1</v>
          </cell>
          <cell r="G3894">
            <v>0</v>
          </cell>
          <cell r="H3894" t="str">
            <v>60/61</v>
          </cell>
        </row>
        <row r="3895">
          <cell r="F3895">
            <v>18.8</v>
          </cell>
          <cell r="G3895">
            <v>0</v>
          </cell>
          <cell r="H3895" t="str">
            <v>60/61</v>
          </cell>
        </row>
        <row r="3896">
          <cell r="F3896">
            <v>22.26</v>
          </cell>
          <cell r="G3896">
            <v>0</v>
          </cell>
          <cell r="H3896" t="str">
            <v>60/61</v>
          </cell>
        </row>
        <row r="3897">
          <cell r="F3897">
            <v>7.42</v>
          </cell>
          <cell r="G3897">
            <v>0</v>
          </cell>
          <cell r="H3897" t="str">
            <v>60/61</v>
          </cell>
        </row>
        <row r="3898">
          <cell r="F3898">
            <v>21.2</v>
          </cell>
          <cell r="G3898">
            <v>0</v>
          </cell>
          <cell r="H3898" t="str">
            <v>60/61</v>
          </cell>
        </row>
        <row r="3899">
          <cell r="F3899">
            <v>1.9</v>
          </cell>
          <cell r="G3899">
            <v>0</v>
          </cell>
          <cell r="H3899" t="str">
            <v>60/61</v>
          </cell>
        </row>
        <row r="3900">
          <cell r="F3900">
            <v>0.21</v>
          </cell>
          <cell r="G3900">
            <v>0</v>
          </cell>
          <cell r="H3900" t="str">
            <v>60/61</v>
          </cell>
        </row>
        <row r="3901">
          <cell r="F3901">
            <v>3.42</v>
          </cell>
          <cell r="G3901">
            <v>0</v>
          </cell>
          <cell r="H3901" t="str">
            <v>60/61</v>
          </cell>
        </row>
        <row r="3902">
          <cell r="F3902">
            <v>1.64</v>
          </cell>
          <cell r="G3902">
            <v>0</v>
          </cell>
          <cell r="H3902" t="str">
            <v>60/61</v>
          </cell>
        </row>
        <row r="3903">
          <cell r="F3903">
            <v>22.7</v>
          </cell>
          <cell r="G3903">
            <v>0</v>
          </cell>
          <cell r="H3903" t="str">
            <v>60/61</v>
          </cell>
        </row>
        <row r="3904">
          <cell r="F3904">
            <v>14.34</v>
          </cell>
          <cell r="G3904">
            <v>0</v>
          </cell>
          <cell r="H3904" t="str">
            <v>60/61</v>
          </cell>
        </row>
        <row r="3905">
          <cell r="F3905">
            <v>13.42</v>
          </cell>
          <cell r="G3905">
            <v>0</v>
          </cell>
          <cell r="H3905" t="str">
            <v>60/61</v>
          </cell>
        </row>
        <row r="3906">
          <cell r="F3906">
            <v>10.64</v>
          </cell>
          <cell r="G3906">
            <v>0</v>
          </cell>
          <cell r="H3906" t="str">
            <v>60/61</v>
          </cell>
        </row>
        <row r="3907">
          <cell r="F3907">
            <v>6.36</v>
          </cell>
          <cell r="G3907">
            <v>0</v>
          </cell>
          <cell r="H3907" t="str">
            <v>60/61</v>
          </cell>
        </row>
        <row r="3908">
          <cell r="F3908">
            <v>8.4600000000000009</v>
          </cell>
          <cell r="G3908">
            <v>0</v>
          </cell>
          <cell r="H3908" t="str">
            <v>60/61</v>
          </cell>
        </row>
        <row r="3909">
          <cell r="F3909">
            <v>90.98</v>
          </cell>
          <cell r="G3909">
            <v>0</v>
          </cell>
          <cell r="H3909" t="str">
            <v>60/61</v>
          </cell>
        </row>
        <row r="3910">
          <cell r="F3910">
            <v>39.36</v>
          </cell>
          <cell r="G3910">
            <v>0</v>
          </cell>
          <cell r="H3910" t="str">
            <v>60/61</v>
          </cell>
        </row>
        <row r="3911">
          <cell r="F3911">
            <v>2.61</v>
          </cell>
          <cell r="G3911">
            <v>0</v>
          </cell>
          <cell r="H3911" t="str">
            <v>60/61</v>
          </cell>
        </row>
        <row r="3912">
          <cell r="F3912">
            <v>91.25</v>
          </cell>
          <cell r="G3912">
            <v>0</v>
          </cell>
          <cell r="H3912" t="str">
            <v>60/61</v>
          </cell>
        </row>
        <row r="3913">
          <cell r="F3913">
            <v>0</v>
          </cell>
          <cell r="G3913">
            <v>0</v>
          </cell>
          <cell r="H3913" t="str">
            <v>60/61</v>
          </cell>
        </row>
        <row r="3914">
          <cell r="F3914">
            <v>60.34</v>
          </cell>
          <cell r="G3914">
            <v>0</v>
          </cell>
          <cell r="H3914" t="str">
            <v>60/61</v>
          </cell>
        </row>
        <row r="3915">
          <cell r="F3915">
            <v>1.1400000000000001</v>
          </cell>
          <cell r="G3915">
            <v>0</v>
          </cell>
          <cell r="H3915" t="str">
            <v>60/61</v>
          </cell>
        </row>
        <row r="3916">
          <cell r="F3916">
            <v>79.3</v>
          </cell>
          <cell r="G3916">
            <v>0</v>
          </cell>
          <cell r="H3916" t="str">
            <v>60/61</v>
          </cell>
        </row>
        <row r="3917">
          <cell r="F3917">
            <v>0.44</v>
          </cell>
          <cell r="G3917">
            <v>0</v>
          </cell>
          <cell r="H3917" t="str">
            <v>60/61</v>
          </cell>
        </row>
        <row r="3918">
          <cell r="F3918">
            <v>2.93</v>
          </cell>
          <cell r="G3918">
            <v>0</v>
          </cell>
          <cell r="H3918" t="str">
            <v>60/61</v>
          </cell>
        </row>
        <row r="3919">
          <cell r="F3919">
            <v>10.6</v>
          </cell>
          <cell r="G3919">
            <v>0</v>
          </cell>
          <cell r="H3919" t="str">
            <v>60/61</v>
          </cell>
        </row>
        <row r="3920">
          <cell r="F3920">
            <v>0.35</v>
          </cell>
          <cell r="G3920">
            <v>0</v>
          </cell>
          <cell r="H3920" t="str">
            <v>60/61</v>
          </cell>
        </row>
        <row r="3921">
          <cell r="F3921">
            <v>7.6</v>
          </cell>
          <cell r="G3921">
            <v>0</v>
          </cell>
          <cell r="H3921" t="str">
            <v>60/61</v>
          </cell>
        </row>
        <row r="3922">
          <cell r="F3922">
            <v>150</v>
          </cell>
          <cell r="G3922">
            <v>0</v>
          </cell>
          <cell r="H3922" t="str">
            <v>60/61</v>
          </cell>
        </row>
        <row r="3923">
          <cell r="F3923">
            <v>14.84</v>
          </cell>
          <cell r="G3923">
            <v>0</v>
          </cell>
          <cell r="H3923" t="str">
            <v>60/61</v>
          </cell>
        </row>
        <row r="3924">
          <cell r="F3924">
            <v>1.41</v>
          </cell>
          <cell r="G3924">
            <v>0</v>
          </cell>
          <cell r="H3924" t="str">
            <v>60/61</v>
          </cell>
        </row>
        <row r="3925">
          <cell r="F3925">
            <v>36.06</v>
          </cell>
          <cell r="G3925">
            <v>0</v>
          </cell>
          <cell r="H3925" t="str">
            <v>60/61</v>
          </cell>
        </row>
        <row r="3926">
          <cell r="F3926">
            <v>31.59</v>
          </cell>
          <cell r="G3926">
            <v>0</v>
          </cell>
          <cell r="H3926" t="str">
            <v>60/61</v>
          </cell>
        </row>
        <row r="3927">
          <cell r="F3927">
            <v>0</v>
          </cell>
          <cell r="G3927">
            <v>0</v>
          </cell>
          <cell r="H3927" t="str">
            <v>60/61</v>
          </cell>
        </row>
        <row r="3928">
          <cell r="F3928">
            <v>0.1</v>
          </cell>
          <cell r="G3928">
            <v>0</v>
          </cell>
          <cell r="H3928" t="str">
            <v>60/61</v>
          </cell>
        </row>
        <row r="3929">
          <cell r="F3929">
            <v>10.44</v>
          </cell>
          <cell r="G3929">
            <v>0</v>
          </cell>
          <cell r="H3929" t="str">
            <v>60/61</v>
          </cell>
        </row>
        <row r="3930">
          <cell r="F3930">
            <v>18.020000000000003</v>
          </cell>
          <cell r="G3930">
            <v>0</v>
          </cell>
          <cell r="H3930" t="str">
            <v>60/61</v>
          </cell>
        </row>
        <row r="3931">
          <cell r="F3931">
            <v>3.82</v>
          </cell>
          <cell r="G3931">
            <v>0</v>
          </cell>
          <cell r="H3931" t="str">
            <v>60/61</v>
          </cell>
        </row>
        <row r="3932">
          <cell r="F3932">
            <v>12.74</v>
          </cell>
          <cell r="G3932">
            <v>0</v>
          </cell>
          <cell r="H3932" t="str">
            <v>60/61</v>
          </cell>
        </row>
        <row r="3933">
          <cell r="F3933">
            <v>10.6</v>
          </cell>
          <cell r="G3933">
            <v>0</v>
          </cell>
          <cell r="H3933" t="str">
            <v>60/61</v>
          </cell>
        </row>
        <row r="3934">
          <cell r="F3934">
            <v>10.6</v>
          </cell>
          <cell r="G3934">
            <v>0</v>
          </cell>
          <cell r="H3934" t="str">
            <v>60/61</v>
          </cell>
        </row>
        <row r="3935">
          <cell r="F3935">
            <v>21.48</v>
          </cell>
          <cell r="G3935">
            <v>0</v>
          </cell>
          <cell r="H3935" t="str">
            <v>60/61</v>
          </cell>
        </row>
        <row r="3936">
          <cell r="F3936">
            <v>351.45</v>
          </cell>
          <cell r="G3936">
            <v>0</v>
          </cell>
          <cell r="H3936" t="str">
            <v>60/61</v>
          </cell>
        </row>
        <row r="3937">
          <cell r="F3937">
            <v>15.26</v>
          </cell>
          <cell r="G3937">
            <v>0</v>
          </cell>
          <cell r="H3937" t="str">
            <v>60/61</v>
          </cell>
        </row>
        <row r="3938">
          <cell r="F3938">
            <v>30.6</v>
          </cell>
          <cell r="G3938">
            <v>0</v>
          </cell>
          <cell r="H3938" t="str">
            <v>60/61</v>
          </cell>
        </row>
        <row r="3939">
          <cell r="F3939">
            <v>35.1</v>
          </cell>
          <cell r="G3939">
            <v>0</v>
          </cell>
          <cell r="H3939" t="str">
            <v>60/61</v>
          </cell>
        </row>
        <row r="3940">
          <cell r="F3940">
            <v>0</v>
          </cell>
          <cell r="G3940">
            <v>0</v>
          </cell>
          <cell r="H3940" t="str">
            <v>60/61</v>
          </cell>
        </row>
        <row r="3941">
          <cell r="F3941">
            <v>21.2</v>
          </cell>
          <cell r="G3941">
            <v>0</v>
          </cell>
          <cell r="H3941" t="str">
            <v>60/61</v>
          </cell>
        </row>
        <row r="3942">
          <cell r="F3942">
            <v>30.6</v>
          </cell>
          <cell r="G3942">
            <v>0</v>
          </cell>
          <cell r="H3942" t="str">
            <v>60/61</v>
          </cell>
        </row>
        <row r="3943">
          <cell r="F3943">
            <v>28.71</v>
          </cell>
          <cell r="G3943">
            <v>0</v>
          </cell>
          <cell r="H3943" t="str">
            <v>60/61</v>
          </cell>
        </row>
        <row r="3944">
          <cell r="F3944">
            <v>18.02</v>
          </cell>
          <cell r="G3944">
            <v>0</v>
          </cell>
          <cell r="H3944" t="str">
            <v>60/61</v>
          </cell>
        </row>
        <row r="3945">
          <cell r="F3945">
            <v>0</v>
          </cell>
          <cell r="G3945">
            <v>0</v>
          </cell>
          <cell r="H3945" t="str">
            <v>60/61</v>
          </cell>
        </row>
        <row r="3946">
          <cell r="F3946">
            <v>0</v>
          </cell>
          <cell r="G3946">
            <v>0</v>
          </cell>
          <cell r="H3946" t="str">
            <v>60/61</v>
          </cell>
        </row>
        <row r="3947">
          <cell r="F3947">
            <v>0</v>
          </cell>
          <cell r="G3947">
            <v>0</v>
          </cell>
          <cell r="H3947" t="str">
            <v>60/61</v>
          </cell>
        </row>
        <row r="3948">
          <cell r="F3948">
            <v>23479.84</v>
          </cell>
          <cell r="G3948">
            <v>0</v>
          </cell>
          <cell r="H3948" t="str">
            <v>60/61</v>
          </cell>
        </row>
        <row r="3949">
          <cell r="F3949">
            <v>0</v>
          </cell>
          <cell r="G3949">
            <v>0</v>
          </cell>
          <cell r="H3949" t="str">
            <v>60/61</v>
          </cell>
        </row>
        <row r="3950">
          <cell r="F3950">
            <v>0</v>
          </cell>
          <cell r="G3950">
            <v>0</v>
          </cell>
          <cell r="H3950" t="str">
            <v>60/61</v>
          </cell>
        </row>
        <row r="3951">
          <cell r="F3951">
            <v>0</v>
          </cell>
          <cell r="G3951">
            <v>0</v>
          </cell>
          <cell r="H3951" t="str">
            <v>60/61</v>
          </cell>
        </row>
        <row r="3952">
          <cell r="F3952">
            <v>0</v>
          </cell>
          <cell r="G3952">
            <v>0</v>
          </cell>
          <cell r="H3952" t="str">
            <v>60/61</v>
          </cell>
        </row>
        <row r="3953">
          <cell r="F3953">
            <v>0</v>
          </cell>
          <cell r="G3953">
            <v>0</v>
          </cell>
          <cell r="H3953" t="str">
            <v>60/61</v>
          </cell>
        </row>
        <row r="3954">
          <cell r="F3954">
            <v>0</v>
          </cell>
          <cell r="G3954">
            <v>0</v>
          </cell>
          <cell r="H3954" t="str">
            <v>60/61</v>
          </cell>
        </row>
        <row r="3955">
          <cell r="F3955">
            <v>373.77</v>
          </cell>
          <cell r="G3955">
            <v>0</v>
          </cell>
          <cell r="H3955" t="str">
            <v>60/61</v>
          </cell>
        </row>
        <row r="3956">
          <cell r="F3956">
            <v>17984.580000000002</v>
          </cell>
          <cell r="G3956">
            <v>0</v>
          </cell>
          <cell r="H3956" t="str">
            <v>60/61</v>
          </cell>
        </row>
        <row r="3957">
          <cell r="F3957">
            <v>8510.65</v>
          </cell>
          <cell r="G3957">
            <v>0</v>
          </cell>
          <cell r="H3957" t="str">
            <v>60/61</v>
          </cell>
        </row>
        <row r="3958">
          <cell r="F3958">
            <v>25155.91</v>
          </cell>
          <cell r="G3958">
            <v>0</v>
          </cell>
          <cell r="H3958" t="str">
            <v>60/61</v>
          </cell>
        </row>
        <row r="3959">
          <cell r="F3959">
            <v>26233.08</v>
          </cell>
          <cell r="G3959">
            <v>0</v>
          </cell>
          <cell r="H3959" t="str">
            <v>60/61</v>
          </cell>
        </row>
        <row r="3960">
          <cell r="F3960">
            <v>219.4</v>
          </cell>
          <cell r="G3960">
            <v>0</v>
          </cell>
          <cell r="H3960" t="str">
            <v>60/61</v>
          </cell>
        </row>
        <row r="3961">
          <cell r="F3961">
            <v>9075</v>
          </cell>
          <cell r="G3961">
            <v>0</v>
          </cell>
          <cell r="H3961" t="str">
            <v>60/61</v>
          </cell>
        </row>
        <row r="3962">
          <cell r="F3962">
            <v>680.63</v>
          </cell>
          <cell r="G3962">
            <v>0</v>
          </cell>
          <cell r="H3962" t="str">
            <v>60/61</v>
          </cell>
        </row>
        <row r="3963">
          <cell r="F3963">
            <v>1.41</v>
          </cell>
          <cell r="G3963">
            <v>0</v>
          </cell>
          <cell r="H3963" t="str">
            <v>60/61</v>
          </cell>
        </row>
        <row r="3964">
          <cell r="F3964">
            <v>294.94</v>
          </cell>
          <cell r="G3964">
            <v>0</v>
          </cell>
          <cell r="H3964" t="str">
            <v>60/61</v>
          </cell>
        </row>
        <row r="3965">
          <cell r="F3965">
            <v>13934.48</v>
          </cell>
          <cell r="G3965">
            <v>0</v>
          </cell>
          <cell r="H3965" t="str">
            <v>60/61</v>
          </cell>
        </row>
        <row r="3966">
          <cell r="F3966">
            <v>21.28</v>
          </cell>
          <cell r="G3966">
            <v>0</v>
          </cell>
          <cell r="H3966" t="str">
            <v>60/61</v>
          </cell>
        </row>
        <row r="3967">
          <cell r="F3967">
            <v>325</v>
          </cell>
          <cell r="G3967">
            <v>0</v>
          </cell>
          <cell r="H3967" t="str">
            <v>60/61</v>
          </cell>
        </row>
        <row r="3968">
          <cell r="F3968">
            <v>4362.13</v>
          </cell>
          <cell r="G3968">
            <v>0</v>
          </cell>
          <cell r="H3968" t="str">
            <v>60/61</v>
          </cell>
        </row>
        <row r="3969">
          <cell r="F3969">
            <v>0</v>
          </cell>
          <cell r="G3969">
            <v>0</v>
          </cell>
          <cell r="H3969" t="str">
            <v>60/61</v>
          </cell>
        </row>
        <row r="3970">
          <cell r="F3970">
            <v>302.5</v>
          </cell>
          <cell r="G3970">
            <v>0</v>
          </cell>
          <cell r="H3970" t="str">
            <v>60/61</v>
          </cell>
        </row>
        <row r="3971">
          <cell r="F3971">
            <v>0</v>
          </cell>
          <cell r="G3971">
            <v>0</v>
          </cell>
          <cell r="H3971" t="str">
            <v>60/61</v>
          </cell>
        </row>
        <row r="3972">
          <cell r="F3972">
            <v>0.33</v>
          </cell>
          <cell r="G3972">
            <v>0</v>
          </cell>
          <cell r="H3972" t="str">
            <v>60/61</v>
          </cell>
        </row>
        <row r="3973">
          <cell r="F3973">
            <v>0</v>
          </cell>
          <cell r="G3973">
            <v>0</v>
          </cell>
          <cell r="H3973" t="str">
            <v>60/61</v>
          </cell>
        </row>
        <row r="3974">
          <cell r="F3974">
            <v>8.34</v>
          </cell>
          <cell r="G3974">
            <v>0</v>
          </cell>
          <cell r="H3974" t="str">
            <v>60/61</v>
          </cell>
        </row>
        <row r="3975">
          <cell r="F3975">
            <v>0</v>
          </cell>
          <cell r="G3975">
            <v>0</v>
          </cell>
          <cell r="H3975" t="str">
            <v>60/61</v>
          </cell>
        </row>
        <row r="3976">
          <cell r="F3976">
            <v>10.6</v>
          </cell>
          <cell r="G3976">
            <v>0</v>
          </cell>
          <cell r="H3976" t="str">
            <v>60/61</v>
          </cell>
        </row>
        <row r="3977">
          <cell r="F3977">
            <v>4.24</v>
          </cell>
          <cell r="G3977">
            <v>0</v>
          </cell>
          <cell r="H3977" t="str">
            <v>60/61</v>
          </cell>
        </row>
        <row r="3978">
          <cell r="F3978">
            <v>7.41</v>
          </cell>
          <cell r="G3978">
            <v>0</v>
          </cell>
          <cell r="H3978" t="str">
            <v>60/61</v>
          </cell>
        </row>
        <row r="3979">
          <cell r="F3979">
            <v>0</v>
          </cell>
          <cell r="G3979">
            <v>0</v>
          </cell>
          <cell r="H3979" t="str">
            <v>60/61</v>
          </cell>
        </row>
        <row r="3980">
          <cell r="F3980">
            <v>2.2599999999999998</v>
          </cell>
          <cell r="G3980">
            <v>0</v>
          </cell>
          <cell r="H3980" t="str">
            <v>60/61</v>
          </cell>
        </row>
        <row r="3981">
          <cell r="F3981">
            <v>2.65</v>
          </cell>
          <cell r="G3981">
            <v>0</v>
          </cell>
          <cell r="H3981" t="str">
            <v>60/61</v>
          </cell>
        </row>
        <row r="3982">
          <cell r="F3982">
            <v>7.95</v>
          </cell>
          <cell r="G3982">
            <v>0</v>
          </cell>
          <cell r="H3982" t="str">
            <v>60/61</v>
          </cell>
        </row>
        <row r="3983">
          <cell r="F3983">
            <v>199.7</v>
          </cell>
          <cell r="G3983">
            <v>0</v>
          </cell>
          <cell r="H3983" t="str">
            <v>60/61</v>
          </cell>
        </row>
        <row r="3984">
          <cell r="F3984">
            <v>8.5500000000000007</v>
          </cell>
          <cell r="G3984">
            <v>0</v>
          </cell>
          <cell r="H3984" t="str">
            <v>60/61</v>
          </cell>
        </row>
        <row r="3985">
          <cell r="F3985">
            <v>66</v>
          </cell>
          <cell r="G3985">
            <v>0</v>
          </cell>
          <cell r="H3985" t="str">
            <v>60/61</v>
          </cell>
        </row>
        <row r="3986">
          <cell r="F3986">
            <v>18.5</v>
          </cell>
          <cell r="G3986">
            <v>0</v>
          </cell>
          <cell r="H3986" t="str">
            <v>60/61</v>
          </cell>
        </row>
        <row r="3987">
          <cell r="F3987">
            <v>94.98</v>
          </cell>
          <cell r="G3987">
            <v>0</v>
          </cell>
          <cell r="H3987" t="str">
            <v>60/61</v>
          </cell>
        </row>
        <row r="3988">
          <cell r="F3988">
            <v>15.2</v>
          </cell>
          <cell r="G3988">
            <v>0</v>
          </cell>
          <cell r="H3988" t="str">
            <v>60/61</v>
          </cell>
        </row>
        <row r="3989">
          <cell r="F3989">
            <v>13.91</v>
          </cell>
          <cell r="G3989">
            <v>0</v>
          </cell>
          <cell r="H3989" t="str">
            <v>60/61</v>
          </cell>
        </row>
        <row r="3990">
          <cell r="F3990">
            <v>16</v>
          </cell>
          <cell r="G3990">
            <v>0</v>
          </cell>
          <cell r="H3990" t="str">
            <v>60/61</v>
          </cell>
        </row>
        <row r="3991">
          <cell r="F3991">
            <v>9.34</v>
          </cell>
          <cell r="G3991">
            <v>0</v>
          </cell>
          <cell r="H3991" t="str">
            <v>60/61</v>
          </cell>
        </row>
        <row r="3992">
          <cell r="F3992">
            <v>5</v>
          </cell>
          <cell r="G3992">
            <v>0</v>
          </cell>
          <cell r="H3992" t="str">
            <v>60/61</v>
          </cell>
        </row>
        <row r="3993">
          <cell r="F3993">
            <v>350.18</v>
          </cell>
          <cell r="G3993">
            <v>0</v>
          </cell>
          <cell r="H3993" t="str">
            <v>60/61</v>
          </cell>
        </row>
        <row r="3994">
          <cell r="F3994">
            <v>1.32</v>
          </cell>
          <cell r="G3994">
            <v>0</v>
          </cell>
          <cell r="H3994" t="str">
            <v>60/61</v>
          </cell>
        </row>
        <row r="3995">
          <cell r="F3995">
            <v>23.95</v>
          </cell>
          <cell r="G3995">
            <v>0</v>
          </cell>
          <cell r="H3995" t="str">
            <v>60/61</v>
          </cell>
        </row>
        <row r="3996">
          <cell r="F3996">
            <v>599.35</v>
          </cell>
          <cell r="G3996">
            <v>0</v>
          </cell>
          <cell r="H3996" t="str">
            <v>60/61</v>
          </cell>
        </row>
        <row r="3997">
          <cell r="F3997">
            <v>29.87</v>
          </cell>
          <cell r="G3997">
            <v>0</v>
          </cell>
          <cell r="H3997" t="str">
            <v>60/61</v>
          </cell>
        </row>
        <row r="3998">
          <cell r="F3998">
            <v>4.68</v>
          </cell>
          <cell r="G3998">
            <v>0</v>
          </cell>
          <cell r="H3998" t="str">
            <v>60/61</v>
          </cell>
        </row>
        <row r="3999">
          <cell r="F3999">
            <v>30</v>
          </cell>
          <cell r="G3999">
            <v>0</v>
          </cell>
          <cell r="H3999" t="str">
            <v>60/61</v>
          </cell>
        </row>
        <row r="4000">
          <cell r="F4000">
            <v>100</v>
          </cell>
          <cell r="G4000">
            <v>0</v>
          </cell>
          <cell r="H4000" t="str">
            <v>60/61</v>
          </cell>
        </row>
        <row r="4001">
          <cell r="F4001">
            <v>12.47</v>
          </cell>
          <cell r="G4001">
            <v>0</v>
          </cell>
          <cell r="H4001" t="str">
            <v>60/61</v>
          </cell>
        </row>
        <row r="4002">
          <cell r="F4002">
            <v>0</v>
          </cell>
          <cell r="G4002">
            <v>0</v>
          </cell>
          <cell r="H4002" t="str">
            <v>60/61</v>
          </cell>
        </row>
        <row r="4003">
          <cell r="F4003">
            <v>40.18</v>
          </cell>
          <cell r="G4003">
            <v>0</v>
          </cell>
          <cell r="H4003" t="str">
            <v>60/61</v>
          </cell>
        </row>
        <row r="4004">
          <cell r="F4004">
            <v>2.75</v>
          </cell>
          <cell r="G4004">
            <v>0</v>
          </cell>
          <cell r="H4004" t="str">
            <v>60/61</v>
          </cell>
        </row>
        <row r="4005">
          <cell r="F4005">
            <v>8.98</v>
          </cell>
          <cell r="G4005">
            <v>0</v>
          </cell>
          <cell r="H4005" t="str">
            <v>60/61</v>
          </cell>
        </row>
        <row r="4006">
          <cell r="F4006">
            <v>48.6</v>
          </cell>
          <cell r="G4006">
            <v>0</v>
          </cell>
          <cell r="H4006" t="str">
            <v>60/61</v>
          </cell>
        </row>
        <row r="4007">
          <cell r="F4007">
            <v>4.9800000000000004</v>
          </cell>
          <cell r="G4007">
            <v>0</v>
          </cell>
          <cell r="H4007" t="str">
            <v>60/61</v>
          </cell>
        </row>
        <row r="4008">
          <cell r="F4008">
            <v>15.9</v>
          </cell>
          <cell r="G4008">
            <v>0</v>
          </cell>
          <cell r="H4008" t="str">
            <v>60/61</v>
          </cell>
        </row>
        <row r="4009">
          <cell r="F4009">
            <v>80</v>
          </cell>
          <cell r="G4009">
            <v>0</v>
          </cell>
          <cell r="H4009" t="str">
            <v>60/61</v>
          </cell>
        </row>
        <row r="4010">
          <cell r="F4010">
            <v>2.75</v>
          </cell>
          <cell r="G4010">
            <v>0</v>
          </cell>
          <cell r="H4010" t="str">
            <v>60/61</v>
          </cell>
        </row>
        <row r="4011">
          <cell r="F4011">
            <v>91.05</v>
          </cell>
          <cell r="G4011">
            <v>0</v>
          </cell>
          <cell r="H4011" t="str">
            <v>60/61</v>
          </cell>
        </row>
        <row r="4012">
          <cell r="F4012">
            <v>28.23</v>
          </cell>
          <cell r="G4012">
            <v>0</v>
          </cell>
          <cell r="H4012" t="str">
            <v>60/61</v>
          </cell>
        </row>
        <row r="4013">
          <cell r="F4013">
            <v>10.57</v>
          </cell>
          <cell r="G4013">
            <v>0</v>
          </cell>
          <cell r="H4013" t="str">
            <v>60/61</v>
          </cell>
        </row>
        <row r="4014">
          <cell r="F4014">
            <v>44.8</v>
          </cell>
          <cell r="G4014">
            <v>0</v>
          </cell>
          <cell r="H4014" t="str">
            <v>60/61</v>
          </cell>
        </row>
        <row r="4015">
          <cell r="F4015">
            <v>3962.39</v>
          </cell>
          <cell r="G4015">
            <v>0</v>
          </cell>
          <cell r="H4015" t="str">
            <v>60/61</v>
          </cell>
        </row>
        <row r="4016">
          <cell r="F4016">
            <v>0</v>
          </cell>
          <cell r="G4016">
            <v>0</v>
          </cell>
          <cell r="H4016" t="str">
            <v>60/61</v>
          </cell>
        </row>
        <row r="4017">
          <cell r="F4017">
            <v>0.81</v>
          </cell>
          <cell r="G4017">
            <v>0</v>
          </cell>
          <cell r="H4017" t="str">
            <v>60/61</v>
          </cell>
        </row>
        <row r="4018">
          <cell r="F4018">
            <v>1.89</v>
          </cell>
          <cell r="G4018">
            <v>0</v>
          </cell>
          <cell r="H4018" t="str">
            <v>60/61</v>
          </cell>
        </row>
        <row r="4019">
          <cell r="F4019">
            <v>3.96</v>
          </cell>
          <cell r="G4019">
            <v>0</v>
          </cell>
          <cell r="H4019" t="str">
            <v>60/61</v>
          </cell>
        </row>
        <row r="4020">
          <cell r="F4020">
            <v>10.86</v>
          </cell>
          <cell r="G4020">
            <v>0</v>
          </cell>
          <cell r="H4020" t="str">
            <v>60/61</v>
          </cell>
        </row>
        <row r="4021">
          <cell r="F4021">
            <v>2.4300000000000002</v>
          </cell>
          <cell r="G4021">
            <v>0</v>
          </cell>
          <cell r="H4021" t="str">
            <v>60/61</v>
          </cell>
        </row>
        <row r="4022">
          <cell r="F4022">
            <v>246.11</v>
          </cell>
          <cell r="G4022">
            <v>0</v>
          </cell>
          <cell r="H4022" t="str">
            <v>60/61</v>
          </cell>
        </row>
        <row r="4023">
          <cell r="F4023">
            <v>50</v>
          </cell>
          <cell r="G4023">
            <v>0</v>
          </cell>
          <cell r="H4023" t="str">
            <v>60/61</v>
          </cell>
        </row>
        <row r="4024">
          <cell r="F4024">
            <v>20.85</v>
          </cell>
          <cell r="G4024">
            <v>0</v>
          </cell>
          <cell r="H4024" t="str">
            <v>60/61</v>
          </cell>
        </row>
        <row r="4025">
          <cell r="F4025">
            <v>32.799999999999997</v>
          </cell>
          <cell r="G4025">
            <v>0</v>
          </cell>
          <cell r="H4025" t="str">
            <v>60/61</v>
          </cell>
        </row>
        <row r="4026">
          <cell r="F4026">
            <v>17.32</v>
          </cell>
          <cell r="G4026">
            <v>0</v>
          </cell>
          <cell r="H4026" t="str">
            <v>60/61</v>
          </cell>
        </row>
        <row r="4027">
          <cell r="F4027">
            <v>42.95</v>
          </cell>
          <cell r="G4027">
            <v>0</v>
          </cell>
          <cell r="H4027" t="str">
            <v>60/61</v>
          </cell>
        </row>
        <row r="4028">
          <cell r="F4028">
            <v>0.93</v>
          </cell>
          <cell r="G4028">
            <v>0</v>
          </cell>
          <cell r="H4028" t="str">
            <v>60/61</v>
          </cell>
        </row>
        <row r="4029">
          <cell r="F4029">
            <v>52.41</v>
          </cell>
          <cell r="G4029">
            <v>0</v>
          </cell>
          <cell r="H4029" t="str">
            <v>60/61</v>
          </cell>
        </row>
        <row r="4030">
          <cell r="F4030">
            <v>138.49</v>
          </cell>
          <cell r="G4030">
            <v>0</v>
          </cell>
          <cell r="H4030" t="str">
            <v>60/61</v>
          </cell>
        </row>
        <row r="4031">
          <cell r="F4031">
            <v>23.29</v>
          </cell>
          <cell r="G4031">
            <v>0</v>
          </cell>
          <cell r="H4031" t="str">
            <v>60/61</v>
          </cell>
        </row>
        <row r="4032">
          <cell r="F4032">
            <v>100.15</v>
          </cell>
          <cell r="G4032">
            <v>0</v>
          </cell>
          <cell r="H4032" t="str">
            <v>60/61</v>
          </cell>
        </row>
        <row r="4033">
          <cell r="F4033">
            <v>23.35</v>
          </cell>
          <cell r="G4033">
            <v>0</v>
          </cell>
          <cell r="H4033" t="str">
            <v>60/61</v>
          </cell>
        </row>
        <row r="4034">
          <cell r="F4034">
            <v>20</v>
          </cell>
          <cell r="G4034">
            <v>0</v>
          </cell>
          <cell r="H4034" t="str">
            <v>60/61</v>
          </cell>
        </row>
        <row r="4035">
          <cell r="F4035">
            <v>326.10000000000002</v>
          </cell>
          <cell r="G4035">
            <v>0</v>
          </cell>
          <cell r="H4035" t="str">
            <v>60/61</v>
          </cell>
        </row>
        <row r="4036">
          <cell r="F4036">
            <v>40</v>
          </cell>
          <cell r="G4036">
            <v>0</v>
          </cell>
          <cell r="H4036" t="str">
            <v>60/61</v>
          </cell>
        </row>
        <row r="4037">
          <cell r="F4037">
            <v>2604.7600000000002</v>
          </cell>
          <cell r="G4037">
            <v>0</v>
          </cell>
          <cell r="H4037" t="str">
            <v>60/61</v>
          </cell>
        </row>
        <row r="4038">
          <cell r="F4038">
            <v>18.850000000000001</v>
          </cell>
          <cell r="G4038">
            <v>0</v>
          </cell>
          <cell r="H4038" t="str">
            <v>60/61</v>
          </cell>
        </row>
        <row r="4039">
          <cell r="F4039">
            <v>2581.85</v>
          </cell>
          <cell r="G4039">
            <v>0</v>
          </cell>
          <cell r="H4039" t="str">
            <v>60/61</v>
          </cell>
        </row>
        <row r="4040">
          <cell r="F4040">
            <v>2.04</v>
          </cell>
          <cell r="G4040">
            <v>0</v>
          </cell>
          <cell r="H4040" t="str">
            <v>60/61</v>
          </cell>
        </row>
        <row r="4041">
          <cell r="F4041">
            <v>14.86</v>
          </cell>
          <cell r="G4041">
            <v>0</v>
          </cell>
          <cell r="H4041" t="str">
            <v>60/61</v>
          </cell>
        </row>
        <row r="4042">
          <cell r="F4042">
            <v>185.72</v>
          </cell>
          <cell r="G4042">
            <v>0</v>
          </cell>
          <cell r="H4042" t="str">
            <v>60/61</v>
          </cell>
        </row>
        <row r="4043">
          <cell r="F4043">
            <v>3.04</v>
          </cell>
          <cell r="G4043">
            <v>0</v>
          </cell>
          <cell r="H4043" t="str">
            <v>60/61</v>
          </cell>
        </row>
        <row r="4044">
          <cell r="F4044">
            <v>16</v>
          </cell>
          <cell r="G4044">
            <v>0</v>
          </cell>
          <cell r="H4044" t="str">
            <v>60/61</v>
          </cell>
        </row>
        <row r="4045">
          <cell r="F4045">
            <v>51.96</v>
          </cell>
          <cell r="G4045">
            <v>0</v>
          </cell>
          <cell r="H4045" t="str">
            <v>60/61</v>
          </cell>
        </row>
        <row r="4046">
          <cell r="F4046">
            <v>318.11</v>
          </cell>
          <cell r="G4046">
            <v>0</v>
          </cell>
          <cell r="H4046" t="str">
            <v>60/61</v>
          </cell>
        </row>
        <row r="4047">
          <cell r="F4047">
            <v>60.22</v>
          </cell>
          <cell r="G4047">
            <v>0</v>
          </cell>
          <cell r="H4047" t="str">
            <v>60/61</v>
          </cell>
        </row>
        <row r="4048">
          <cell r="F4048">
            <v>0</v>
          </cell>
          <cell r="G4048">
            <v>0</v>
          </cell>
          <cell r="H4048" t="str">
            <v>60/61</v>
          </cell>
        </row>
        <row r="4049">
          <cell r="F4049">
            <v>70</v>
          </cell>
          <cell r="G4049">
            <v>0</v>
          </cell>
          <cell r="H4049" t="str">
            <v>60/61</v>
          </cell>
        </row>
        <row r="4050">
          <cell r="F4050">
            <v>110</v>
          </cell>
          <cell r="G4050">
            <v>0</v>
          </cell>
          <cell r="H4050" t="str">
            <v>60/61</v>
          </cell>
        </row>
        <row r="4051">
          <cell r="F4051">
            <v>38.450000000000003</v>
          </cell>
          <cell r="G4051">
            <v>0</v>
          </cell>
          <cell r="H4051" t="str">
            <v>60/61</v>
          </cell>
        </row>
        <row r="4052">
          <cell r="F4052">
            <v>219.77</v>
          </cell>
          <cell r="G4052">
            <v>0</v>
          </cell>
          <cell r="H4052" t="str">
            <v>60/61</v>
          </cell>
        </row>
        <row r="4053">
          <cell r="F4053">
            <v>0</v>
          </cell>
          <cell r="G4053">
            <v>0</v>
          </cell>
          <cell r="H4053" t="str">
            <v>60/61</v>
          </cell>
        </row>
        <row r="4054">
          <cell r="F4054">
            <v>27.199999999999989</v>
          </cell>
          <cell r="G4054">
            <v>0</v>
          </cell>
          <cell r="H4054" t="str">
            <v>60/61</v>
          </cell>
        </row>
        <row r="4055">
          <cell r="F4055">
            <v>38.700000000000003</v>
          </cell>
          <cell r="G4055">
            <v>0</v>
          </cell>
          <cell r="H4055" t="str">
            <v>60/61</v>
          </cell>
        </row>
        <row r="4056">
          <cell r="F4056">
            <v>39</v>
          </cell>
          <cell r="G4056">
            <v>0</v>
          </cell>
          <cell r="H4056" t="str">
            <v>60/61</v>
          </cell>
        </row>
        <row r="4057">
          <cell r="F4057">
            <v>1.1200000000000001</v>
          </cell>
          <cell r="G4057">
            <v>0</v>
          </cell>
          <cell r="H4057" t="str">
            <v>60/61</v>
          </cell>
        </row>
        <row r="4058">
          <cell r="F4058">
            <v>322.13</v>
          </cell>
          <cell r="G4058">
            <v>0</v>
          </cell>
          <cell r="H4058" t="str">
            <v>60/61</v>
          </cell>
        </row>
        <row r="4059">
          <cell r="F4059">
            <v>92.92</v>
          </cell>
          <cell r="G4059">
            <v>0</v>
          </cell>
          <cell r="H4059" t="str">
            <v>60/61</v>
          </cell>
        </row>
        <row r="4060">
          <cell r="F4060">
            <v>201</v>
          </cell>
          <cell r="G4060">
            <v>0</v>
          </cell>
          <cell r="H4060" t="str">
            <v>60/61</v>
          </cell>
        </row>
        <row r="4061">
          <cell r="F4061">
            <v>83</v>
          </cell>
          <cell r="G4061">
            <v>0</v>
          </cell>
          <cell r="H4061" t="str">
            <v>60/61</v>
          </cell>
        </row>
        <row r="4062">
          <cell r="F4062">
            <v>46.79</v>
          </cell>
          <cell r="G4062">
            <v>0</v>
          </cell>
          <cell r="H4062" t="str">
            <v>60/61</v>
          </cell>
        </row>
        <row r="4063">
          <cell r="F4063">
            <v>159.75</v>
          </cell>
          <cell r="G4063">
            <v>0</v>
          </cell>
          <cell r="H4063" t="str">
            <v>60/61</v>
          </cell>
        </row>
        <row r="4064">
          <cell r="F4064">
            <v>4.1000000000003638</v>
          </cell>
          <cell r="G4064">
            <v>0</v>
          </cell>
          <cell r="H4064" t="str">
            <v>60/61</v>
          </cell>
        </row>
        <row r="4065">
          <cell r="F4065">
            <v>0</v>
          </cell>
          <cell r="G4065">
            <v>0</v>
          </cell>
          <cell r="H4065" t="str">
            <v>60/61</v>
          </cell>
        </row>
        <row r="4066">
          <cell r="F4066">
            <v>4766.08</v>
          </cell>
          <cell r="G4066">
            <v>0</v>
          </cell>
          <cell r="H4066" t="str">
            <v>60/61</v>
          </cell>
        </row>
        <row r="4067">
          <cell r="F4067">
            <v>2838.87</v>
          </cell>
          <cell r="G4067">
            <v>0</v>
          </cell>
          <cell r="H4067" t="str">
            <v>60/61</v>
          </cell>
        </row>
        <row r="4068">
          <cell r="F4068">
            <v>14.3</v>
          </cell>
          <cell r="G4068">
            <v>0</v>
          </cell>
          <cell r="H4068" t="str">
            <v>60/61</v>
          </cell>
        </row>
        <row r="4069">
          <cell r="F4069">
            <v>79.2</v>
          </cell>
          <cell r="G4069">
            <v>0</v>
          </cell>
          <cell r="H4069" t="str">
            <v>60/61</v>
          </cell>
        </row>
        <row r="4070">
          <cell r="F4070">
            <v>3.87</v>
          </cell>
          <cell r="G4070">
            <v>0</v>
          </cell>
          <cell r="H4070" t="str">
            <v>60/61</v>
          </cell>
        </row>
        <row r="4071">
          <cell r="F4071">
            <v>73.599999999999994</v>
          </cell>
          <cell r="G4071">
            <v>0</v>
          </cell>
          <cell r="H4071" t="str">
            <v>60/61</v>
          </cell>
        </row>
        <row r="4072">
          <cell r="F4072">
            <v>13.49</v>
          </cell>
          <cell r="G4072">
            <v>0</v>
          </cell>
          <cell r="H4072" t="str">
            <v>60/61</v>
          </cell>
        </row>
        <row r="4073">
          <cell r="F4073">
            <v>35.97</v>
          </cell>
          <cell r="G4073">
            <v>0</v>
          </cell>
          <cell r="H4073" t="str">
            <v>60/61</v>
          </cell>
        </row>
        <row r="4074">
          <cell r="F4074">
            <v>123.23</v>
          </cell>
          <cell r="G4074">
            <v>0</v>
          </cell>
          <cell r="H4074" t="str">
            <v>60/61</v>
          </cell>
        </row>
        <row r="4075">
          <cell r="F4075">
            <v>58.76</v>
          </cell>
          <cell r="G4075">
            <v>0</v>
          </cell>
          <cell r="H4075" t="str">
            <v>60/61</v>
          </cell>
        </row>
        <row r="4076">
          <cell r="F4076">
            <v>35.799999999999997</v>
          </cell>
          <cell r="G4076">
            <v>0</v>
          </cell>
          <cell r="H4076" t="str">
            <v>60/61</v>
          </cell>
        </row>
        <row r="4077">
          <cell r="F4077">
            <v>68.41</v>
          </cell>
          <cell r="G4077">
            <v>0</v>
          </cell>
          <cell r="H4077" t="str">
            <v>60/61</v>
          </cell>
        </row>
        <row r="4078">
          <cell r="F4078">
            <v>48.5</v>
          </cell>
          <cell r="G4078">
            <v>0</v>
          </cell>
          <cell r="H4078" t="str">
            <v>60/61</v>
          </cell>
        </row>
        <row r="4079">
          <cell r="F4079">
            <v>37.14</v>
          </cell>
          <cell r="G4079">
            <v>0</v>
          </cell>
          <cell r="H4079" t="str">
            <v>60/61</v>
          </cell>
        </row>
        <row r="4080">
          <cell r="F4080">
            <v>38.5</v>
          </cell>
          <cell r="G4080">
            <v>0</v>
          </cell>
          <cell r="H4080" t="str">
            <v>60/61</v>
          </cell>
        </row>
        <row r="4081">
          <cell r="F4081">
            <v>1795.68</v>
          </cell>
          <cell r="G4081">
            <v>0</v>
          </cell>
          <cell r="H4081" t="str">
            <v>60/61</v>
          </cell>
        </row>
        <row r="4082">
          <cell r="F4082">
            <v>8.9</v>
          </cell>
          <cell r="G4082">
            <v>0</v>
          </cell>
          <cell r="H4082" t="str">
            <v>60/61</v>
          </cell>
        </row>
        <row r="4083">
          <cell r="F4083">
            <v>81.3</v>
          </cell>
          <cell r="G4083">
            <v>0</v>
          </cell>
          <cell r="H4083" t="str">
            <v>60/61</v>
          </cell>
        </row>
        <row r="4084">
          <cell r="F4084">
            <v>39.799999999999997</v>
          </cell>
          <cell r="G4084">
            <v>0</v>
          </cell>
          <cell r="H4084" t="str">
            <v>60/61</v>
          </cell>
        </row>
        <row r="4085">
          <cell r="F4085">
            <v>72.099999999999994</v>
          </cell>
          <cell r="G4085">
            <v>0</v>
          </cell>
          <cell r="H4085" t="str">
            <v>60/61</v>
          </cell>
        </row>
        <row r="4086">
          <cell r="F4086">
            <v>0</v>
          </cell>
          <cell r="G4086">
            <v>0</v>
          </cell>
          <cell r="H4086" t="str">
            <v>60/61</v>
          </cell>
        </row>
        <row r="4087">
          <cell r="F4087">
            <v>37.14</v>
          </cell>
          <cell r="G4087">
            <v>0</v>
          </cell>
          <cell r="H4087" t="str">
            <v>60/61</v>
          </cell>
        </row>
        <row r="4088">
          <cell r="F4088">
            <v>280</v>
          </cell>
          <cell r="G4088">
            <v>0</v>
          </cell>
          <cell r="H4088" t="str">
            <v>60/61</v>
          </cell>
        </row>
        <row r="4089">
          <cell r="F4089">
            <v>1.55</v>
          </cell>
          <cell r="G4089">
            <v>0</v>
          </cell>
          <cell r="H4089" t="str">
            <v>60/61</v>
          </cell>
        </row>
        <row r="4090">
          <cell r="F4090">
            <v>117.5</v>
          </cell>
          <cell r="G4090">
            <v>0</v>
          </cell>
          <cell r="H4090" t="str">
            <v>60/61</v>
          </cell>
        </row>
        <row r="4091">
          <cell r="F4091">
            <v>51.18</v>
          </cell>
          <cell r="G4091">
            <v>0</v>
          </cell>
          <cell r="H4091" t="str">
            <v>60/61</v>
          </cell>
        </row>
        <row r="4092">
          <cell r="F4092">
            <v>643.76</v>
          </cell>
          <cell r="G4092">
            <v>0</v>
          </cell>
          <cell r="H4092" t="str">
            <v>60/61</v>
          </cell>
        </row>
        <row r="4093">
          <cell r="F4093">
            <v>11.4</v>
          </cell>
          <cell r="G4093">
            <v>0</v>
          </cell>
          <cell r="H4093" t="str">
            <v>60/61</v>
          </cell>
        </row>
        <row r="4094">
          <cell r="F4094">
            <v>26.41</v>
          </cell>
          <cell r="G4094">
            <v>0</v>
          </cell>
          <cell r="H4094" t="str">
            <v>60/61</v>
          </cell>
        </row>
        <row r="4095">
          <cell r="F4095">
            <v>1489.9</v>
          </cell>
          <cell r="G4095">
            <v>0</v>
          </cell>
          <cell r="H4095" t="str">
            <v>60/61</v>
          </cell>
        </row>
        <row r="4096">
          <cell r="F4096">
            <v>74.28</v>
          </cell>
          <cell r="G4096">
            <v>0</v>
          </cell>
          <cell r="H4096" t="str">
            <v>60/61</v>
          </cell>
        </row>
        <row r="4097">
          <cell r="F4097">
            <v>96.94</v>
          </cell>
          <cell r="G4097">
            <v>0</v>
          </cell>
          <cell r="H4097" t="str">
            <v>60/61</v>
          </cell>
        </row>
        <row r="4098">
          <cell r="F4098">
            <v>38.299999999999997</v>
          </cell>
          <cell r="G4098">
            <v>0</v>
          </cell>
          <cell r="H4098" t="str">
            <v>60/61</v>
          </cell>
        </row>
        <row r="4099">
          <cell r="F4099">
            <v>174.99</v>
          </cell>
          <cell r="G4099">
            <v>0</v>
          </cell>
          <cell r="H4099" t="str">
            <v>60/61</v>
          </cell>
        </row>
        <row r="4100">
          <cell r="F4100">
            <v>129.4</v>
          </cell>
          <cell r="G4100">
            <v>0</v>
          </cell>
          <cell r="H4100" t="str">
            <v>60/61</v>
          </cell>
        </row>
        <row r="4101">
          <cell r="F4101">
            <v>13.6</v>
          </cell>
          <cell r="G4101">
            <v>0</v>
          </cell>
          <cell r="H4101" t="str">
            <v>60/61</v>
          </cell>
        </row>
        <row r="4102">
          <cell r="F4102">
            <v>55.7</v>
          </cell>
          <cell r="G4102">
            <v>0</v>
          </cell>
          <cell r="H4102" t="str">
            <v>60/61</v>
          </cell>
        </row>
        <row r="4103">
          <cell r="F4103">
            <v>32.619999999999997</v>
          </cell>
          <cell r="G4103">
            <v>0</v>
          </cell>
          <cell r="H4103" t="str">
            <v>60/61</v>
          </cell>
        </row>
        <row r="4104">
          <cell r="F4104">
            <v>183.5</v>
          </cell>
          <cell r="G4104">
            <v>0</v>
          </cell>
          <cell r="H4104" t="str">
            <v>60/61</v>
          </cell>
        </row>
        <row r="4105">
          <cell r="F4105">
            <v>22.5</v>
          </cell>
          <cell r="G4105">
            <v>0</v>
          </cell>
          <cell r="H4105" t="str">
            <v>60/61</v>
          </cell>
        </row>
        <row r="4106">
          <cell r="F4106">
            <v>23.7</v>
          </cell>
          <cell r="G4106">
            <v>0</v>
          </cell>
          <cell r="H4106" t="str">
            <v>60/61</v>
          </cell>
        </row>
        <row r="4107">
          <cell r="F4107">
            <v>52.64</v>
          </cell>
          <cell r="G4107">
            <v>0</v>
          </cell>
          <cell r="H4107" t="str">
            <v>60/61</v>
          </cell>
        </row>
        <row r="4108">
          <cell r="F4108">
            <v>475.01</v>
          </cell>
          <cell r="G4108">
            <v>0</v>
          </cell>
          <cell r="H4108" t="str">
            <v>60/61</v>
          </cell>
        </row>
        <row r="4109">
          <cell r="F4109">
            <v>320.11</v>
          </cell>
          <cell r="G4109">
            <v>0</v>
          </cell>
          <cell r="H4109" t="str">
            <v>60/61</v>
          </cell>
        </row>
        <row r="4110">
          <cell r="F4110">
            <v>38156.14</v>
          </cell>
          <cell r="G4110">
            <v>0</v>
          </cell>
          <cell r="H4110" t="str">
            <v>60/61</v>
          </cell>
        </row>
        <row r="4111">
          <cell r="F4111">
            <v>1467.760000000002</v>
          </cell>
          <cell r="G4111">
            <v>0</v>
          </cell>
          <cell r="H4111" t="str">
            <v>60/61</v>
          </cell>
        </row>
        <row r="4112">
          <cell r="F4112">
            <v>500</v>
          </cell>
          <cell r="G4112">
            <v>0</v>
          </cell>
          <cell r="H4112" t="str">
            <v>60/61</v>
          </cell>
        </row>
        <row r="4113">
          <cell r="F4113">
            <v>1501.39</v>
          </cell>
          <cell r="G4113">
            <v>0</v>
          </cell>
          <cell r="H4113" t="str">
            <v>60/61</v>
          </cell>
        </row>
        <row r="4114">
          <cell r="F4114">
            <v>20000</v>
          </cell>
          <cell r="G4114">
            <v>0</v>
          </cell>
          <cell r="H4114" t="str">
            <v>60/61</v>
          </cell>
        </row>
        <row r="4115">
          <cell r="F4115">
            <v>500</v>
          </cell>
          <cell r="G4115">
            <v>0</v>
          </cell>
          <cell r="H4115" t="str">
            <v>60/61</v>
          </cell>
        </row>
        <row r="4116">
          <cell r="F4116">
            <v>357.98</v>
          </cell>
          <cell r="G4116">
            <v>0</v>
          </cell>
          <cell r="H4116" t="str">
            <v>60/61</v>
          </cell>
        </row>
        <row r="4117">
          <cell r="F4117">
            <v>21997.56</v>
          </cell>
          <cell r="G4117">
            <v>0</v>
          </cell>
          <cell r="H4117" t="str">
            <v>60/61</v>
          </cell>
        </row>
        <row r="4118">
          <cell r="F4118">
            <v>360.96999999999997</v>
          </cell>
          <cell r="G4118">
            <v>0</v>
          </cell>
          <cell r="H4118" t="str">
            <v>60/61</v>
          </cell>
        </row>
        <row r="4119">
          <cell r="F4119">
            <v>20364.82</v>
          </cell>
          <cell r="G4119">
            <v>0</v>
          </cell>
          <cell r="H4119" t="str">
            <v>60/61</v>
          </cell>
        </row>
        <row r="4120">
          <cell r="F4120">
            <v>7283.51</v>
          </cell>
          <cell r="G4120">
            <v>0</v>
          </cell>
          <cell r="H4120" t="str">
            <v>60/61</v>
          </cell>
        </row>
        <row r="4121">
          <cell r="F4121">
            <v>3600.04</v>
          </cell>
          <cell r="G4121">
            <v>0</v>
          </cell>
          <cell r="H4121" t="str">
            <v>60/61</v>
          </cell>
        </row>
        <row r="4122">
          <cell r="F4122">
            <v>74693.740000000005</v>
          </cell>
          <cell r="G4122">
            <v>0</v>
          </cell>
          <cell r="H4122" t="str">
            <v>60/61</v>
          </cell>
        </row>
        <row r="4123">
          <cell r="F4123">
            <v>1172.49</v>
          </cell>
          <cell r="G4123">
            <v>0</v>
          </cell>
          <cell r="H4123" t="str">
            <v>60/61</v>
          </cell>
        </row>
        <row r="4124">
          <cell r="F4124">
            <v>59577.16</v>
          </cell>
          <cell r="G4124">
            <v>0</v>
          </cell>
          <cell r="H4124" t="str">
            <v>60/61</v>
          </cell>
        </row>
        <row r="4125">
          <cell r="F4125">
            <v>169461.8</v>
          </cell>
          <cell r="G4125">
            <v>0</v>
          </cell>
          <cell r="H4125" t="str">
            <v>60/61</v>
          </cell>
        </row>
        <row r="4126">
          <cell r="F4126">
            <v>1334</v>
          </cell>
          <cell r="G4126">
            <v>0</v>
          </cell>
          <cell r="H4126" t="str">
            <v>60/61</v>
          </cell>
        </row>
        <row r="4127">
          <cell r="F4127">
            <v>574</v>
          </cell>
          <cell r="G4127">
            <v>0</v>
          </cell>
          <cell r="H4127" t="str">
            <v>60/61</v>
          </cell>
        </row>
        <row r="4128">
          <cell r="F4128">
            <v>785</v>
          </cell>
          <cell r="G4128">
            <v>0</v>
          </cell>
          <cell r="H4128" t="str">
            <v>60/61</v>
          </cell>
        </row>
        <row r="4129">
          <cell r="F4129">
            <v>459.41</v>
          </cell>
          <cell r="G4129">
            <v>0</v>
          </cell>
          <cell r="H4129" t="str">
            <v>60/61</v>
          </cell>
        </row>
        <row r="4130">
          <cell r="F4130">
            <v>0</v>
          </cell>
          <cell r="G4130">
            <v>0</v>
          </cell>
          <cell r="H4130" t="str">
            <v>60/61</v>
          </cell>
        </row>
        <row r="4131">
          <cell r="F4131">
            <v>664.77</v>
          </cell>
          <cell r="G4131">
            <v>0</v>
          </cell>
          <cell r="H4131" t="str">
            <v>60/61</v>
          </cell>
        </row>
        <row r="4132">
          <cell r="F4132">
            <v>9</v>
          </cell>
          <cell r="G4132">
            <v>0</v>
          </cell>
          <cell r="H4132" t="str">
            <v>60/61</v>
          </cell>
        </row>
        <row r="4133">
          <cell r="F4133">
            <v>887.5</v>
          </cell>
          <cell r="G4133">
            <v>0</v>
          </cell>
          <cell r="H4133" t="str">
            <v>60/61</v>
          </cell>
        </row>
        <row r="4134">
          <cell r="F4134">
            <v>13.99</v>
          </cell>
          <cell r="G4134">
            <v>0</v>
          </cell>
          <cell r="H4134" t="str">
            <v>60/61</v>
          </cell>
        </row>
        <row r="4135">
          <cell r="F4135">
            <v>4764</v>
          </cell>
          <cell r="G4135">
            <v>0</v>
          </cell>
          <cell r="H4135" t="str">
            <v>60/61</v>
          </cell>
        </row>
        <row r="4136">
          <cell r="F4136">
            <v>430.95</v>
          </cell>
          <cell r="G4136">
            <v>0</v>
          </cell>
          <cell r="H4136" t="str">
            <v>60/61</v>
          </cell>
        </row>
        <row r="4137">
          <cell r="F4137">
            <v>2680</v>
          </cell>
          <cell r="G4137">
            <v>0</v>
          </cell>
          <cell r="H4137" t="str">
            <v>60/61</v>
          </cell>
        </row>
        <row r="4138">
          <cell r="F4138">
            <v>2380</v>
          </cell>
          <cell r="G4138">
            <v>0</v>
          </cell>
          <cell r="H4138" t="str">
            <v>60/61</v>
          </cell>
        </row>
        <row r="4139">
          <cell r="F4139">
            <v>60</v>
          </cell>
          <cell r="G4139">
            <v>0</v>
          </cell>
          <cell r="H4139" t="str">
            <v>60/61</v>
          </cell>
        </row>
        <row r="4140">
          <cell r="F4140">
            <v>280</v>
          </cell>
          <cell r="G4140">
            <v>0</v>
          </cell>
          <cell r="H4140" t="str">
            <v>60/61</v>
          </cell>
        </row>
        <row r="4141">
          <cell r="F4141">
            <v>66.97</v>
          </cell>
          <cell r="G4141">
            <v>0</v>
          </cell>
          <cell r="H4141" t="str">
            <v>60/61</v>
          </cell>
        </row>
        <row r="4142">
          <cell r="F4142">
            <v>90</v>
          </cell>
          <cell r="G4142">
            <v>0</v>
          </cell>
          <cell r="H4142" t="str">
            <v>60/61</v>
          </cell>
        </row>
        <row r="4143">
          <cell r="F4143">
            <v>1978</v>
          </cell>
          <cell r="G4143">
            <v>0</v>
          </cell>
          <cell r="H4143" t="str">
            <v>60/61</v>
          </cell>
        </row>
        <row r="4144">
          <cell r="F4144">
            <v>120</v>
          </cell>
          <cell r="G4144">
            <v>0</v>
          </cell>
          <cell r="H4144" t="str">
            <v>60/61</v>
          </cell>
        </row>
        <row r="4145">
          <cell r="F4145">
            <v>1865.34</v>
          </cell>
          <cell r="G4145">
            <v>0</v>
          </cell>
          <cell r="H4145" t="str">
            <v>60/61</v>
          </cell>
        </row>
        <row r="4146">
          <cell r="F4146">
            <v>112.09</v>
          </cell>
          <cell r="G4146">
            <v>0</v>
          </cell>
          <cell r="H4146" t="str">
            <v>60/61</v>
          </cell>
        </row>
        <row r="4147">
          <cell r="F4147">
            <v>27.479999999999997</v>
          </cell>
          <cell r="G4147">
            <v>0</v>
          </cell>
          <cell r="H4147" t="str">
            <v>60/61</v>
          </cell>
        </row>
        <row r="4148">
          <cell r="F4148">
            <v>134.5</v>
          </cell>
          <cell r="G4148">
            <v>0</v>
          </cell>
          <cell r="H4148" t="str">
            <v>60/61</v>
          </cell>
        </row>
        <row r="4149">
          <cell r="F4149">
            <v>-93.1</v>
          </cell>
          <cell r="G4149">
            <v>0</v>
          </cell>
          <cell r="H4149" t="str">
            <v>60/61</v>
          </cell>
        </row>
        <row r="4150">
          <cell r="F4150">
            <v>23.03</v>
          </cell>
          <cell r="G4150">
            <v>0</v>
          </cell>
          <cell r="H4150" t="str">
            <v>60/61</v>
          </cell>
        </row>
        <row r="4151">
          <cell r="F4151">
            <v>516.16999999999996</v>
          </cell>
          <cell r="G4151">
            <v>0</v>
          </cell>
          <cell r="H4151" t="str">
            <v>60/61</v>
          </cell>
        </row>
        <row r="4152">
          <cell r="F4152">
            <v>150.09</v>
          </cell>
          <cell r="G4152">
            <v>0</v>
          </cell>
          <cell r="H4152" t="str">
            <v>60/61</v>
          </cell>
        </row>
        <row r="4153">
          <cell r="F4153">
            <v>455</v>
          </cell>
          <cell r="G4153">
            <v>0</v>
          </cell>
          <cell r="H4153" t="str">
            <v>60/61</v>
          </cell>
        </row>
        <row r="4154">
          <cell r="F4154">
            <v>48</v>
          </cell>
          <cell r="G4154">
            <v>0</v>
          </cell>
          <cell r="H4154" t="str">
            <v>60/61</v>
          </cell>
        </row>
        <row r="4155">
          <cell r="F4155">
            <v>115.76</v>
          </cell>
          <cell r="G4155">
            <v>0</v>
          </cell>
          <cell r="H4155" t="str">
            <v>60/61</v>
          </cell>
        </row>
        <row r="4156">
          <cell r="F4156">
            <v>58.3</v>
          </cell>
          <cell r="G4156">
            <v>0</v>
          </cell>
          <cell r="H4156" t="str">
            <v>60/61</v>
          </cell>
        </row>
        <row r="4157">
          <cell r="F4157">
            <v>1493.46</v>
          </cell>
          <cell r="G4157">
            <v>0</v>
          </cell>
          <cell r="H4157" t="str">
            <v>60/61</v>
          </cell>
        </row>
        <row r="4158">
          <cell r="F4158">
            <v>15</v>
          </cell>
          <cell r="G4158">
            <v>0</v>
          </cell>
          <cell r="H4158" t="str">
            <v>60/61</v>
          </cell>
        </row>
        <row r="4159">
          <cell r="F4159">
            <v>132.1</v>
          </cell>
          <cell r="G4159">
            <v>0</v>
          </cell>
          <cell r="H4159" t="str">
            <v>60/61</v>
          </cell>
        </row>
        <row r="4160">
          <cell r="F4160">
            <v>44</v>
          </cell>
          <cell r="G4160">
            <v>0</v>
          </cell>
          <cell r="H4160" t="str">
            <v>60/61</v>
          </cell>
        </row>
        <row r="4161">
          <cell r="F4161">
            <v>452.64</v>
          </cell>
          <cell r="G4161">
            <v>0</v>
          </cell>
          <cell r="H4161" t="str">
            <v>60/61</v>
          </cell>
        </row>
        <row r="4162">
          <cell r="F4162">
            <v>597.37</v>
          </cell>
          <cell r="G4162">
            <v>0</v>
          </cell>
          <cell r="H4162" t="str">
            <v>60/61</v>
          </cell>
        </row>
        <row r="4163">
          <cell r="F4163">
            <v>43.63</v>
          </cell>
          <cell r="G4163">
            <v>0</v>
          </cell>
          <cell r="H4163" t="str">
            <v>60/61</v>
          </cell>
        </row>
        <row r="4164">
          <cell r="F4164">
            <v>405.6</v>
          </cell>
          <cell r="G4164">
            <v>0</v>
          </cell>
          <cell r="H4164" t="str">
            <v>60/61</v>
          </cell>
        </row>
        <row r="4165">
          <cell r="F4165">
            <v>301.88</v>
          </cell>
          <cell r="G4165">
            <v>0</v>
          </cell>
          <cell r="H4165" t="str">
            <v>60/61</v>
          </cell>
        </row>
        <row r="4166">
          <cell r="F4166">
            <v>511.45</v>
          </cell>
          <cell r="G4166">
            <v>0</v>
          </cell>
          <cell r="H4166" t="str">
            <v>60/61</v>
          </cell>
        </row>
        <row r="4167">
          <cell r="F4167">
            <v>152.54</v>
          </cell>
          <cell r="G4167">
            <v>0</v>
          </cell>
          <cell r="H4167" t="str">
            <v>60/61</v>
          </cell>
        </row>
        <row r="4168">
          <cell r="F4168">
            <v>623.14</v>
          </cell>
          <cell r="G4168">
            <v>0</v>
          </cell>
          <cell r="H4168" t="str">
            <v>60/61</v>
          </cell>
        </row>
        <row r="4169">
          <cell r="F4169">
            <v>132</v>
          </cell>
          <cell r="G4169">
            <v>0</v>
          </cell>
          <cell r="H4169" t="str">
            <v>60/61</v>
          </cell>
        </row>
        <row r="4170">
          <cell r="F4170">
            <v>291.73</v>
          </cell>
          <cell r="G4170">
            <v>0</v>
          </cell>
          <cell r="H4170" t="str">
            <v>60/61</v>
          </cell>
        </row>
        <row r="4171">
          <cell r="F4171">
            <v>186.2</v>
          </cell>
          <cell r="G4171">
            <v>0</v>
          </cell>
          <cell r="H4171" t="str">
            <v>60/61</v>
          </cell>
        </row>
        <row r="4172">
          <cell r="F4172">
            <v>185.92</v>
          </cell>
          <cell r="G4172">
            <v>0</v>
          </cell>
          <cell r="H4172" t="str">
            <v>60/61</v>
          </cell>
        </row>
        <row r="4173">
          <cell r="F4173">
            <v>53</v>
          </cell>
          <cell r="G4173">
            <v>0</v>
          </cell>
          <cell r="H4173" t="str">
            <v>60/61</v>
          </cell>
        </row>
        <row r="4174">
          <cell r="F4174">
            <v>565.59</v>
          </cell>
          <cell r="G4174">
            <v>0</v>
          </cell>
          <cell r="H4174" t="str">
            <v>60/61</v>
          </cell>
        </row>
        <row r="4175">
          <cell r="F4175">
            <v>530.62</v>
          </cell>
          <cell r="G4175">
            <v>0</v>
          </cell>
          <cell r="H4175" t="str">
            <v>60/61</v>
          </cell>
        </row>
        <row r="4176">
          <cell r="F4176">
            <v>36.17</v>
          </cell>
          <cell r="G4176">
            <v>0</v>
          </cell>
          <cell r="H4176" t="str">
            <v>60/61</v>
          </cell>
        </row>
        <row r="4177">
          <cell r="F4177">
            <v>319</v>
          </cell>
          <cell r="G4177">
            <v>0</v>
          </cell>
          <cell r="H4177" t="str">
            <v>60/61</v>
          </cell>
        </row>
        <row r="4178">
          <cell r="F4178">
            <v>439.36</v>
          </cell>
          <cell r="G4178">
            <v>0</v>
          </cell>
          <cell r="H4178" t="str">
            <v>60/61</v>
          </cell>
        </row>
        <row r="4179">
          <cell r="F4179">
            <v>1398.25</v>
          </cell>
          <cell r="G4179">
            <v>0</v>
          </cell>
          <cell r="H4179" t="str">
            <v>60/61</v>
          </cell>
        </row>
        <row r="4180">
          <cell r="F4180">
            <v>5842.6</v>
          </cell>
          <cell r="G4180">
            <v>0</v>
          </cell>
          <cell r="H4180" t="str">
            <v>60/61</v>
          </cell>
        </row>
        <row r="4181">
          <cell r="F4181">
            <v>111.59</v>
          </cell>
          <cell r="G4181">
            <v>0</v>
          </cell>
          <cell r="H4181" t="str">
            <v>60/61</v>
          </cell>
        </row>
        <row r="4182">
          <cell r="F4182">
            <v>15</v>
          </cell>
          <cell r="G4182">
            <v>0</v>
          </cell>
          <cell r="H4182" t="str">
            <v>60/61</v>
          </cell>
        </row>
        <row r="4183">
          <cell r="F4183">
            <v>50</v>
          </cell>
          <cell r="G4183">
            <v>0</v>
          </cell>
          <cell r="H4183" t="str">
            <v>60/61</v>
          </cell>
        </row>
        <row r="4184">
          <cell r="F4184">
            <v>25.400000000000091</v>
          </cell>
          <cell r="G4184">
            <v>0</v>
          </cell>
          <cell r="H4184" t="str">
            <v>60/61</v>
          </cell>
        </row>
        <row r="4185">
          <cell r="F4185">
            <v>784.7</v>
          </cell>
          <cell r="G4185">
            <v>0</v>
          </cell>
          <cell r="H4185" t="str">
            <v>60/61</v>
          </cell>
        </row>
        <row r="4186">
          <cell r="F4186">
            <v>682.17</v>
          </cell>
          <cell r="G4186">
            <v>0</v>
          </cell>
          <cell r="H4186" t="str">
            <v>60/61</v>
          </cell>
        </row>
        <row r="4187">
          <cell r="F4187">
            <v>177.7</v>
          </cell>
          <cell r="G4187">
            <v>0</v>
          </cell>
          <cell r="H4187" t="str">
            <v>60/61</v>
          </cell>
        </row>
        <row r="4188">
          <cell r="F4188">
            <v>265.85000000000002</v>
          </cell>
          <cell r="G4188">
            <v>0</v>
          </cell>
          <cell r="H4188" t="str">
            <v>60/61</v>
          </cell>
        </row>
        <row r="4189">
          <cell r="F4189">
            <v>78.5</v>
          </cell>
          <cell r="G4189">
            <v>0</v>
          </cell>
          <cell r="H4189" t="str">
            <v>60/61</v>
          </cell>
        </row>
        <row r="4190">
          <cell r="F4190">
            <v>300</v>
          </cell>
          <cell r="G4190">
            <v>0</v>
          </cell>
          <cell r="H4190" t="str">
            <v>60/61</v>
          </cell>
        </row>
        <row r="4191">
          <cell r="F4191">
            <v>183.36</v>
          </cell>
          <cell r="G4191">
            <v>0</v>
          </cell>
          <cell r="H4191" t="str">
            <v>60/61</v>
          </cell>
        </row>
        <row r="4192">
          <cell r="F4192">
            <v>26.67</v>
          </cell>
          <cell r="G4192">
            <v>0</v>
          </cell>
          <cell r="H4192" t="str">
            <v>60/61</v>
          </cell>
        </row>
        <row r="4193">
          <cell r="F4193">
            <v>26.72</v>
          </cell>
          <cell r="G4193">
            <v>0</v>
          </cell>
          <cell r="H4193" t="str">
            <v>60/61</v>
          </cell>
        </row>
        <row r="4194">
          <cell r="F4194">
            <v>1626.05</v>
          </cell>
          <cell r="G4194">
            <v>0</v>
          </cell>
          <cell r="H4194" t="str">
            <v>60/61</v>
          </cell>
        </row>
        <row r="4195">
          <cell r="F4195">
            <v>853.81</v>
          </cell>
          <cell r="G4195">
            <v>0</v>
          </cell>
          <cell r="H4195" t="str">
            <v>60/61</v>
          </cell>
        </row>
        <row r="4196">
          <cell r="F4196">
            <v>6.8</v>
          </cell>
          <cell r="G4196">
            <v>0</v>
          </cell>
          <cell r="H4196" t="str">
            <v>60/61</v>
          </cell>
        </row>
        <row r="4197">
          <cell r="F4197">
            <v>2816.52</v>
          </cell>
          <cell r="G4197">
            <v>0</v>
          </cell>
          <cell r="H4197" t="str">
            <v>60/61</v>
          </cell>
        </row>
        <row r="4198">
          <cell r="F4198">
            <v>2690.73</v>
          </cell>
          <cell r="G4198">
            <v>0</v>
          </cell>
          <cell r="H4198" t="str">
            <v>60/61</v>
          </cell>
        </row>
        <row r="4199">
          <cell r="F4199">
            <v>2278.5700000000002</v>
          </cell>
          <cell r="G4199">
            <v>0</v>
          </cell>
          <cell r="H4199" t="str">
            <v>60/61</v>
          </cell>
        </row>
        <row r="4200">
          <cell r="F4200">
            <v>856.72</v>
          </cell>
          <cell r="G4200">
            <v>0</v>
          </cell>
          <cell r="H4200" t="str">
            <v>60/61</v>
          </cell>
        </row>
        <row r="4201">
          <cell r="F4201">
            <v>3790.91</v>
          </cell>
          <cell r="G4201">
            <v>0</v>
          </cell>
          <cell r="H4201" t="str">
            <v>60/61</v>
          </cell>
        </row>
        <row r="4202">
          <cell r="F4202">
            <v>475.74</v>
          </cell>
          <cell r="G4202">
            <v>0</v>
          </cell>
          <cell r="H4202" t="str">
            <v>60/61</v>
          </cell>
        </row>
        <row r="4203">
          <cell r="F4203">
            <v>600</v>
          </cell>
          <cell r="G4203">
            <v>0</v>
          </cell>
          <cell r="H4203" t="str">
            <v>60/61</v>
          </cell>
        </row>
        <row r="4204">
          <cell r="F4204">
            <v>27</v>
          </cell>
          <cell r="G4204">
            <v>0</v>
          </cell>
          <cell r="H4204" t="str">
            <v>60/61</v>
          </cell>
        </row>
        <row r="4205">
          <cell r="F4205">
            <v>2.2000000000000002</v>
          </cell>
          <cell r="G4205">
            <v>0</v>
          </cell>
          <cell r="H4205" t="str">
            <v>60/61</v>
          </cell>
        </row>
        <row r="4206">
          <cell r="F4206">
            <v>20</v>
          </cell>
          <cell r="G4206">
            <v>0</v>
          </cell>
          <cell r="H4206" t="str">
            <v>60/61</v>
          </cell>
        </row>
        <row r="4207">
          <cell r="F4207">
            <v>25</v>
          </cell>
          <cell r="G4207">
            <v>0</v>
          </cell>
          <cell r="H4207" t="str">
            <v>60/61</v>
          </cell>
        </row>
        <row r="4208">
          <cell r="F4208">
            <v>190.35</v>
          </cell>
          <cell r="G4208">
            <v>0</v>
          </cell>
          <cell r="H4208" t="str">
            <v>60/61</v>
          </cell>
        </row>
        <row r="4209">
          <cell r="F4209">
            <v>27.4</v>
          </cell>
          <cell r="G4209">
            <v>0</v>
          </cell>
          <cell r="H4209" t="str">
            <v>60/61</v>
          </cell>
        </row>
        <row r="4210">
          <cell r="F4210">
            <v>25.979999999999997</v>
          </cell>
          <cell r="G4210">
            <v>0</v>
          </cell>
          <cell r="H4210" t="str">
            <v>60/61</v>
          </cell>
        </row>
        <row r="4211">
          <cell r="F4211">
            <v>50</v>
          </cell>
          <cell r="G4211">
            <v>0</v>
          </cell>
          <cell r="H4211" t="str">
            <v>60/61</v>
          </cell>
        </row>
        <row r="4212">
          <cell r="F4212">
            <v>8.52</v>
          </cell>
          <cell r="G4212">
            <v>0</v>
          </cell>
          <cell r="H4212" t="str">
            <v>60/61</v>
          </cell>
        </row>
        <row r="4213">
          <cell r="F4213">
            <v>247.84</v>
          </cell>
          <cell r="G4213">
            <v>0</v>
          </cell>
          <cell r="H4213" t="str">
            <v>60/61</v>
          </cell>
        </row>
        <row r="4214">
          <cell r="F4214">
            <v>22.99</v>
          </cell>
          <cell r="G4214">
            <v>0</v>
          </cell>
          <cell r="H4214" t="str">
            <v>60/61</v>
          </cell>
        </row>
        <row r="4215">
          <cell r="F4215">
            <v>100</v>
          </cell>
          <cell r="G4215">
            <v>0</v>
          </cell>
          <cell r="H4215" t="str">
            <v>60/61</v>
          </cell>
        </row>
        <row r="4216">
          <cell r="F4216">
            <v>9.73</v>
          </cell>
          <cell r="G4216">
            <v>0</v>
          </cell>
          <cell r="H4216" t="str">
            <v>60/61</v>
          </cell>
        </row>
        <row r="4217">
          <cell r="F4217">
            <v>8.6</v>
          </cell>
          <cell r="G4217">
            <v>0</v>
          </cell>
          <cell r="H4217" t="str">
            <v>60/61</v>
          </cell>
        </row>
        <row r="4218">
          <cell r="F4218">
            <v>122722.74</v>
          </cell>
          <cell r="G4218">
            <v>0</v>
          </cell>
          <cell r="H4218">
            <v>62</v>
          </cell>
        </row>
        <row r="4219">
          <cell r="F4219">
            <v>16320.57</v>
          </cell>
          <cell r="G4219">
            <v>0</v>
          </cell>
          <cell r="H4219">
            <v>62</v>
          </cell>
        </row>
        <row r="4220">
          <cell r="F4220">
            <v>9409.2000000000007</v>
          </cell>
          <cell r="G4220">
            <v>0</v>
          </cell>
          <cell r="H4220">
            <v>62</v>
          </cell>
        </row>
        <row r="4221">
          <cell r="F4221">
            <v>76691.839999999997</v>
          </cell>
          <cell r="G4221">
            <v>0</v>
          </cell>
          <cell r="H4221">
            <v>62</v>
          </cell>
        </row>
        <row r="4222">
          <cell r="F4222">
            <v>0</v>
          </cell>
          <cell r="G4222">
            <v>0</v>
          </cell>
          <cell r="H4222">
            <v>62</v>
          </cell>
        </row>
        <row r="4223">
          <cell r="F4223">
            <v>57589.770000000004</v>
          </cell>
          <cell r="G4223">
            <v>0</v>
          </cell>
          <cell r="H4223">
            <v>62</v>
          </cell>
        </row>
        <row r="4224">
          <cell r="F4224">
            <v>189151.6</v>
          </cell>
          <cell r="G4224">
            <v>0</v>
          </cell>
          <cell r="H4224">
            <v>62</v>
          </cell>
        </row>
        <row r="4225">
          <cell r="F4225">
            <v>149117.38</v>
          </cell>
          <cell r="G4225">
            <v>0</v>
          </cell>
          <cell r="H4225">
            <v>62</v>
          </cell>
        </row>
        <row r="4226">
          <cell r="F4226">
            <v>222369.72</v>
          </cell>
          <cell r="G4226">
            <v>0</v>
          </cell>
          <cell r="H4226">
            <v>62</v>
          </cell>
        </row>
        <row r="4227">
          <cell r="F4227">
            <v>162087.9</v>
          </cell>
          <cell r="G4227">
            <v>0</v>
          </cell>
          <cell r="H4227">
            <v>62</v>
          </cell>
        </row>
        <row r="4228">
          <cell r="F4228">
            <v>15324.04</v>
          </cell>
          <cell r="G4228">
            <v>0</v>
          </cell>
          <cell r="H4228">
            <v>62</v>
          </cell>
        </row>
        <row r="4229">
          <cell r="F4229">
            <v>37627.14</v>
          </cell>
          <cell r="G4229">
            <v>0</v>
          </cell>
          <cell r="H4229">
            <v>62</v>
          </cell>
        </row>
        <row r="4230">
          <cell r="F4230">
            <v>174637.63</v>
          </cell>
          <cell r="G4230">
            <v>0</v>
          </cell>
          <cell r="H4230">
            <v>62</v>
          </cell>
        </row>
        <row r="4231">
          <cell r="F4231">
            <v>0</v>
          </cell>
          <cell r="G4231">
            <v>0</v>
          </cell>
          <cell r="H4231">
            <v>62</v>
          </cell>
        </row>
        <row r="4232">
          <cell r="F4232">
            <v>16804.39</v>
          </cell>
          <cell r="G4232">
            <v>0</v>
          </cell>
          <cell r="H4232">
            <v>62</v>
          </cell>
        </row>
        <row r="4233">
          <cell r="F4233">
            <v>18053.88</v>
          </cell>
          <cell r="G4233">
            <v>0</v>
          </cell>
          <cell r="H4233">
            <v>62</v>
          </cell>
        </row>
        <row r="4234">
          <cell r="F4234">
            <v>76901.12000000001</v>
          </cell>
          <cell r="G4234">
            <v>0</v>
          </cell>
          <cell r="H4234">
            <v>62</v>
          </cell>
        </row>
        <row r="4235">
          <cell r="F4235">
            <v>0</v>
          </cell>
          <cell r="G4235">
            <v>0</v>
          </cell>
          <cell r="H4235">
            <v>62</v>
          </cell>
        </row>
        <row r="4236">
          <cell r="F4236">
            <v>158812.5</v>
          </cell>
          <cell r="G4236">
            <v>0</v>
          </cell>
          <cell r="H4236">
            <v>62</v>
          </cell>
        </row>
        <row r="4237">
          <cell r="F4237">
            <v>38701.81</v>
          </cell>
          <cell r="G4237">
            <v>0</v>
          </cell>
          <cell r="H4237">
            <v>62</v>
          </cell>
        </row>
        <row r="4238">
          <cell r="F4238">
            <v>10345.58</v>
          </cell>
          <cell r="G4238">
            <v>0</v>
          </cell>
          <cell r="H4238">
            <v>62</v>
          </cell>
        </row>
        <row r="4239">
          <cell r="F4239">
            <v>97064.11</v>
          </cell>
          <cell r="G4239">
            <v>0</v>
          </cell>
          <cell r="H4239">
            <v>62</v>
          </cell>
        </row>
        <row r="4240">
          <cell r="F4240">
            <v>140867.09</v>
          </cell>
          <cell r="G4240">
            <v>0</v>
          </cell>
          <cell r="H4240">
            <v>62</v>
          </cell>
        </row>
        <row r="4241">
          <cell r="F4241">
            <v>24373.98</v>
          </cell>
          <cell r="G4241">
            <v>0</v>
          </cell>
          <cell r="H4241">
            <v>62</v>
          </cell>
        </row>
        <row r="4242">
          <cell r="F4242">
            <v>80173.88</v>
          </cell>
          <cell r="G4242">
            <v>0</v>
          </cell>
          <cell r="H4242">
            <v>62</v>
          </cell>
        </row>
        <row r="4243">
          <cell r="F4243">
            <v>27039.93</v>
          </cell>
          <cell r="G4243">
            <v>0</v>
          </cell>
          <cell r="H4243">
            <v>62</v>
          </cell>
        </row>
        <row r="4244">
          <cell r="F4244">
            <v>73061.02</v>
          </cell>
          <cell r="G4244">
            <v>0</v>
          </cell>
          <cell r="H4244">
            <v>62</v>
          </cell>
        </row>
        <row r="4245">
          <cell r="F4245">
            <v>104563.43</v>
          </cell>
          <cell r="G4245">
            <v>0</v>
          </cell>
          <cell r="H4245">
            <v>62</v>
          </cell>
        </row>
        <row r="4246">
          <cell r="F4246">
            <v>32678.250000000004</v>
          </cell>
          <cell r="G4246">
            <v>0</v>
          </cell>
          <cell r="H4246">
            <v>62</v>
          </cell>
        </row>
        <row r="4247">
          <cell r="F4247">
            <v>10011.5</v>
          </cell>
          <cell r="G4247">
            <v>0</v>
          </cell>
          <cell r="H4247">
            <v>62</v>
          </cell>
        </row>
        <row r="4248">
          <cell r="F4248">
            <v>62556.09</v>
          </cell>
          <cell r="G4248">
            <v>0</v>
          </cell>
          <cell r="H4248">
            <v>62</v>
          </cell>
        </row>
        <row r="4249">
          <cell r="F4249">
            <v>745298.16</v>
          </cell>
          <cell r="G4249">
            <v>0</v>
          </cell>
          <cell r="H4249">
            <v>62</v>
          </cell>
        </row>
        <row r="4250">
          <cell r="F4250">
            <v>17739.810000000001</v>
          </cell>
          <cell r="G4250">
            <v>0</v>
          </cell>
          <cell r="H4250">
            <v>62</v>
          </cell>
        </row>
        <row r="4251">
          <cell r="F4251">
            <v>3378.73</v>
          </cell>
          <cell r="G4251">
            <v>0</v>
          </cell>
          <cell r="H4251">
            <v>62</v>
          </cell>
        </row>
        <row r="4252">
          <cell r="F4252">
            <v>127998.09999999999</v>
          </cell>
          <cell r="G4252">
            <v>0</v>
          </cell>
          <cell r="H4252">
            <v>62</v>
          </cell>
        </row>
        <row r="4253">
          <cell r="F4253">
            <v>39601.630000000005</v>
          </cell>
          <cell r="G4253">
            <v>0</v>
          </cell>
          <cell r="H4253">
            <v>62</v>
          </cell>
        </row>
        <row r="4254">
          <cell r="F4254">
            <v>195665.69</v>
          </cell>
          <cell r="G4254">
            <v>0</v>
          </cell>
          <cell r="H4254">
            <v>62</v>
          </cell>
        </row>
        <row r="4255">
          <cell r="F4255">
            <v>121821.18000000001</v>
          </cell>
          <cell r="G4255">
            <v>0</v>
          </cell>
          <cell r="H4255">
            <v>62</v>
          </cell>
        </row>
        <row r="4256">
          <cell r="F4256">
            <v>75974.59</v>
          </cell>
          <cell r="G4256">
            <v>0</v>
          </cell>
          <cell r="H4256">
            <v>62</v>
          </cell>
        </row>
        <row r="4257">
          <cell r="F4257">
            <v>178587.54</v>
          </cell>
          <cell r="G4257">
            <v>0</v>
          </cell>
          <cell r="H4257">
            <v>62</v>
          </cell>
        </row>
        <row r="4258">
          <cell r="F4258">
            <v>368789.80000000005</v>
          </cell>
          <cell r="G4258">
            <v>0</v>
          </cell>
          <cell r="H4258">
            <v>62</v>
          </cell>
        </row>
        <row r="4259">
          <cell r="F4259">
            <v>82616.36</v>
          </cell>
          <cell r="G4259">
            <v>0</v>
          </cell>
          <cell r="H4259">
            <v>62</v>
          </cell>
        </row>
        <row r="4260">
          <cell r="F4260">
            <v>410166.57</v>
          </cell>
          <cell r="G4260">
            <v>0</v>
          </cell>
          <cell r="H4260">
            <v>62</v>
          </cell>
        </row>
        <row r="4261">
          <cell r="F4261">
            <v>65437.81</v>
          </cell>
          <cell r="G4261">
            <v>0</v>
          </cell>
          <cell r="H4261">
            <v>62</v>
          </cell>
        </row>
        <row r="4262">
          <cell r="F4262">
            <v>18533.080000000002</v>
          </cell>
          <cell r="G4262">
            <v>0</v>
          </cell>
          <cell r="H4262">
            <v>62</v>
          </cell>
        </row>
        <row r="4263">
          <cell r="F4263">
            <v>32680.19</v>
          </cell>
          <cell r="G4263">
            <v>0</v>
          </cell>
          <cell r="H4263">
            <v>62</v>
          </cell>
        </row>
        <row r="4264">
          <cell r="F4264">
            <v>44326.41</v>
          </cell>
          <cell r="G4264">
            <v>0</v>
          </cell>
          <cell r="H4264">
            <v>62</v>
          </cell>
        </row>
        <row r="4265">
          <cell r="F4265">
            <v>37185.910000000003</v>
          </cell>
          <cell r="G4265">
            <v>0</v>
          </cell>
          <cell r="H4265">
            <v>62</v>
          </cell>
        </row>
        <row r="4266">
          <cell r="F4266">
            <v>46517.909999999996</v>
          </cell>
          <cell r="G4266">
            <v>0</v>
          </cell>
          <cell r="H4266">
            <v>62</v>
          </cell>
        </row>
        <row r="4267">
          <cell r="F4267">
            <v>162290.37</v>
          </cell>
          <cell r="G4267">
            <v>0</v>
          </cell>
          <cell r="H4267">
            <v>62</v>
          </cell>
        </row>
        <row r="4268">
          <cell r="F4268">
            <v>5471.1</v>
          </cell>
          <cell r="G4268">
            <v>0</v>
          </cell>
          <cell r="H4268">
            <v>62</v>
          </cell>
        </row>
        <row r="4269">
          <cell r="F4269">
            <v>91591.599999999991</v>
          </cell>
          <cell r="G4269">
            <v>0</v>
          </cell>
          <cell r="H4269">
            <v>62</v>
          </cell>
        </row>
        <row r="4270">
          <cell r="F4270">
            <v>33110.25</v>
          </cell>
          <cell r="G4270">
            <v>0</v>
          </cell>
          <cell r="H4270">
            <v>62</v>
          </cell>
        </row>
        <row r="4271">
          <cell r="F4271">
            <v>24570.3</v>
          </cell>
          <cell r="G4271">
            <v>0</v>
          </cell>
          <cell r="H4271">
            <v>62</v>
          </cell>
        </row>
        <row r="4272">
          <cell r="F4272">
            <v>14938.810000000001</v>
          </cell>
          <cell r="G4272">
            <v>0</v>
          </cell>
          <cell r="H4272">
            <v>62</v>
          </cell>
        </row>
        <row r="4273">
          <cell r="F4273">
            <v>18336.439999999999</v>
          </cell>
          <cell r="G4273">
            <v>0</v>
          </cell>
          <cell r="H4273">
            <v>62</v>
          </cell>
        </row>
        <row r="4274">
          <cell r="F4274">
            <v>293272.53000000003</v>
          </cell>
          <cell r="G4274">
            <v>0</v>
          </cell>
          <cell r="H4274">
            <v>62</v>
          </cell>
        </row>
        <row r="4275">
          <cell r="F4275">
            <v>19465.46</v>
          </cell>
          <cell r="G4275">
            <v>0</v>
          </cell>
          <cell r="H4275">
            <v>62</v>
          </cell>
        </row>
        <row r="4276">
          <cell r="F4276">
            <v>12714.34</v>
          </cell>
          <cell r="G4276">
            <v>0</v>
          </cell>
          <cell r="H4276">
            <v>62</v>
          </cell>
        </row>
        <row r="4277">
          <cell r="F4277">
            <v>86735.95</v>
          </cell>
          <cell r="G4277">
            <v>0</v>
          </cell>
          <cell r="H4277">
            <v>62</v>
          </cell>
        </row>
        <row r="4278">
          <cell r="F4278">
            <v>185569.81</v>
          </cell>
          <cell r="G4278">
            <v>0</v>
          </cell>
          <cell r="H4278">
            <v>62</v>
          </cell>
        </row>
        <row r="4279">
          <cell r="F4279">
            <v>12999</v>
          </cell>
          <cell r="G4279">
            <v>0</v>
          </cell>
          <cell r="H4279">
            <v>62</v>
          </cell>
        </row>
        <row r="4280">
          <cell r="F4280">
            <v>43754.239999999998</v>
          </cell>
          <cell r="G4280">
            <v>0</v>
          </cell>
          <cell r="H4280">
            <v>62</v>
          </cell>
        </row>
        <row r="4281">
          <cell r="F4281">
            <v>33999.589999999997</v>
          </cell>
          <cell r="G4281">
            <v>0</v>
          </cell>
          <cell r="H4281">
            <v>62</v>
          </cell>
        </row>
        <row r="4282">
          <cell r="F4282">
            <v>266291.71999999997</v>
          </cell>
          <cell r="G4282">
            <v>0</v>
          </cell>
          <cell r="H4282">
            <v>62</v>
          </cell>
        </row>
        <row r="4283">
          <cell r="F4283">
            <v>27614.240000000002</v>
          </cell>
          <cell r="G4283">
            <v>0</v>
          </cell>
          <cell r="H4283">
            <v>62</v>
          </cell>
        </row>
        <row r="4284">
          <cell r="F4284">
            <v>16796.04</v>
          </cell>
          <cell r="G4284">
            <v>0</v>
          </cell>
          <cell r="H4284">
            <v>62</v>
          </cell>
        </row>
        <row r="4285">
          <cell r="F4285">
            <v>55631.56</v>
          </cell>
          <cell r="G4285">
            <v>0</v>
          </cell>
          <cell r="H4285">
            <v>62</v>
          </cell>
        </row>
        <row r="4286">
          <cell r="F4286">
            <v>110381.26</v>
          </cell>
          <cell r="G4286">
            <v>0</v>
          </cell>
          <cell r="H4286">
            <v>62</v>
          </cell>
        </row>
        <row r="4287">
          <cell r="F4287">
            <v>465505.29</v>
          </cell>
          <cell r="G4287">
            <v>0</v>
          </cell>
          <cell r="H4287">
            <v>62</v>
          </cell>
        </row>
        <row r="4288">
          <cell r="F4288">
            <v>66869.17</v>
          </cell>
          <cell r="G4288">
            <v>0</v>
          </cell>
          <cell r="H4288">
            <v>62</v>
          </cell>
        </row>
        <row r="4289">
          <cell r="F4289">
            <v>50279.39</v>
          </cell>
          <cell r="G4289">
            <v>0</v>
          </cell>
          <cell r="H4289">
            <v>62</v>
          </cell>
        </row>
        <row r="4290">
          <cell r="F4290">
            <v>122952.56</v>
          </cell>
          <cell r="G4290">
            <v>0</v>
          </cell>
          <cell r="H4290">
            <v>62</v>
          </cell>
        </row>
        <row r="4291">
          <cell r="F4291">
            <v>137824.54</v>
          </cell>
          <cell r="G4291">
            <v>0</v>
          </cell>
          <cell r="H4291">
            <v>62</v>
          </cell>
        </row>
        <row r="4292">
          <cell r="F4292">
            <v>148038.81</v>
          </cell>
          <cell r="G4292">
            <v>0</v>
          </cell>
          <cell r="H4292">
            <v>62</v>
          </cell>
        </row>
        <row r="4293">
          <cell r="F4293">
            <v>311375.15999999997</v>
          </cell>
          <cell r="G4293">
            <v>0</v>
          </cell>
          <cell r="H4293">
            <v>62</v>
          </cell>
        </row>
        <row r="4294">
          <cell r="F4294">
            <v>403694.51</v>
          </cell>
          <cell r="G4294">
            <v>0</v>
          </cell>
          <cell r="H4294">
            <v>62</v>
          </cell>
        </row>
        <row r="4295">
          <cell r="F4295">
            <v>14616.86</v>
          </cell>
          <cell r="G4295">
            <v>0</v>
          </cell>
          <cell r="H4295">
            <v>62</v>
          </cell>
        </row>
        <row r="4296">
          <cell r="F4296">
            <v>12327.34</v>
          </cell>
          <cell r="G4296">
            <v>0</v>
          </cell>
          <cell r="H4296">
            <v>62</v>
          </cell>
        </row>
        <row r="4297">
          <cell r="F4297">
            <v>65195.17</v>
          </cell>
          <cell r="G4297">
            <v>0</v>
          </cell>
          <cell r="H4297">
            <v>62</v>
          </cell>
        </row>
        <row r="4298">
          <cell r="F4298">
            <v>13858.34</v>
          </cell>
          <cell r="G4298">
            <v>0</v>
          </cell>
          <cell r="H4298">
            <v>62</v>
          </cell>
        </row>
        <row r="4299">
          <cell r="F4299">
            <v>78441.740000000005</v>
          </cell>
          <cell r="G4299">
            <v>0</v>
          </cell>
          <cell r="H4299">
            <v>62</v>
          </cell>
        </row>
        <row r="4300">
          <cell r="F4300">
            <v>57132.47</v>
          </cell>
          <cell r="G4300">
            <v>0</v>
          </cell>
          <cell r="H4300">
            <v>62</v>
          </cell>
        </row>
        <row r="4301">
          <cell r="F4301">
            <v>489159.84</v>
          </cell>
          <cell r="G4301">
            <v>0</v>
          </cell>
          <cell r="H4301">
            <v>62</v>
          </cell>
        </row>
        <row r="4302">
          <cell r="F4302">
            <v>17013.169999999998</v>
          </cell>
          <cell r="G4302">
            <v>0</v>
          </cell>
          <cell r="H4302">
            <v>62</v>
          </cell>
        </row>
        <row r="4303">
          <cell r="F4303">
            <v>62137.07</v>
          </cell>
          <cell r="G4303">
            <v>0</v>
          </cell>
          <cell r="H4303">
            <v>62</v>
          </cell>
        </row>
        <row r="4304">
          <cell r="F4304">
            <v>13832.94</v>
          </cell>
          <cell r="G4304">
            <v>0</v>
          </cell>
          <cell r="H4304">
            <v>62</v>
          </cell>
        </row>
        <row r="4305">
          <cell r="F4305">
            <v>6995.38</v>
          </cell>
          <cell r="G4305">
            <v>0</v>
          </cell>
          <cell r="H4305">
            <v>62</v>
          </cell>
        </row>
        <row r="4306">
          <cell r="F4306">
            <v>375419.61</v>
          </cell>
          <cell r="G4306">
            <v>0</v>
          </cell>
          <cell r="H4306">
            <v>62</v>
          </cell>
        </row>
        <row r="4307">
          <cell r="F4307">
            <v>75584.900000000009</v>
          </cell>
          <cell r="G4307">
            <v>0</v>
          </cell>
          <cell r="H4307">
            <v>62</v>
          </cell>
        </row>
        <row r="4308">
          <cell r="F4308">
            <v>76417.23</v>
          </cell>
          <cell r="G4308">
            <v>0</v>
          </cell>
          <cell r="H4308">
            <v>62</v>
          </cell>
        </row>
        <row r="4309">
          <cell r="F4309">
            <v>157502.87</v>
          </cell>
          <cell r="G4309">
            <v>0</v>
          </cell>
          <cell r="H4309">
            <v>62</v>
          </cell>
        </row>
        <row r="4310">
          <cell r="F4310">
            <v>438751.63</v>
          </cell>
          <cell r="G4310">
            <v>0</v>
          </cell>
          <cell r="H4310">
            <v>62</v>
          </cell>
        </row>
        <row r="4311">
          <cell r="F4311">
            <v>334852.44</v>
          </cell>
          <cell r="G4311">
            <v>0</v>
          </cell>
          <cell r="H4311">
            <v>62</v>
          </cell>
        </row>
        <row r="4312">
          <cell r="F4312">
            <v>231687.34</v>
          </cell>
          <cell r="G4312">
            <v>0</v>
          </cell>
          <cell r="H4312">
            <v>62</v>
          </cell>
        </row>
        <row r="4313">
          <cell r="F4313">
            <v>168802.31</v>
          </cell>
          <cell r="G4313">
            <v>0</v>
          </cell>
          <cell r="H4313">
            <v>62</v>
          </cell>
        </row>
        <row r="4314">
          <cell r="F4314">
            <v>124908.95</v>
          </cell>
          <cell r="G4314">
            <v>0</v>
          </cell>
          <cell r="H4314">
            <v>62</v>
          </cell>
        </row>
        <row r="4315">
          <cell r="F4315">
            <v>339181.5</v>
          </cell>
          <cell r="G4315">
            <v>0</v>
          </cell>
          <cell r="H4315">
            <v>62</v>
          </cell>
        </row>
        <row r="4316">
          <cell r="F4316">
            <v>126050.47</v>
          </cell>
          <cell r="G4316">
            <v>0</v>
          </cell>
          <cell r="H4316">
            <v>62</v>
          </cell>
        </row>
        <row r="4317">
          <cell r="F4317">
            <v>249267.19</v>
          </cell>
          <cell r="G4317">
            <v>0</v>
          </cell>
          <cell r="H4317">
            <v>62</v>
          </cell>
        </row>
        <row r="4318">
          <cell r="F4318">
            <v>145877.34</v>
          </cell>
          <cell r="G4318">
            <v>0</v>
          </cell>
          <cell r="H4318">
            <v>62</v>
          </cell>
        </row>
        <row r="4319">
          <cell r="F4319">
            <v>27532.43</v>
          </cell>
          <cell r="G4319">
            <v>0</v>
          </cell>
          <cell r="H4319">
            <v>62</v>
          </cell>
        </row>
        <row r="4320">
          <cell r="F4320">
            <v>10628.63</v>
          </cell>
          <cell r="G4320">
            <v>0</v>
          </cell>
          <cell r="H4320">
            <v>62</v>
          </cell>
        </row>
        <row r="4321">
          <cell r="F4321">
            <v>126910.77</v>
          </cell>
          <cell r="G4321">
            <v>0</v>
          </cell>
          <cell r="H4321">
            <v>62</v>
          </cell>
        </row>
        <row r="4322">
          <cell r="F4322">
            <v>10546.21</v>
          </cell>
          <cell r="G4322">
            <v>0</v>
          </cell>
          <cell r="H4322">
            <v>62</v>
          </cell>
        </row>
        <row r="4323">
          <cell r="F4323">
            <v>3036.82</v>
          </cell>
          <cell r="G4323">
            <v>0</v>
          </cell>
          <cell r="H4323">
            <v>62</v>
          </cell>
        </row>
        <row r="4324">
          <cell r="F4324">
            <v>5055.9699999999993</v>
          </cell>
          <cell r="G4324">
            <v>0</v>
          </cell>
          <cell r="H4324">
            <v>62</v>
          </cell>
        </row>
        <row r="4325">
          <cell r="F4325">
            <v>75049.84</v>
          </cell>
          <cell r="G4325">
            <v>0</v>
          </cell>
          <cell r="H4325">
            <v>62</v>
          </cell>
        </row>
        <row r="4326">
          <cell r="F4326">
            <v>280134.13</v>
          </cell>
          <cell r="G4326">
            <v>0</v>
          </cell>
          <cell r="H4326">
            <v>62</v>
          </cell>
        </row>
        <row r="4327">
          <cell r="F4327">
            <v>495095.74000000005</v>
          </cell>
          <cell r="G4327">
            <v>0</v>
          </cell>
          <cell r="H4327">
            <v>62</v>
          </cell>
        </row>
        <row r="4328">
          <cell r="F4328">
            <v>123491.52</v>
          </cell>
          <cell r="G4328">
            <v>0</v>
          </cell>
          <cell r="H4328">
            <v>62</v>
          </cell>
        </row>
        <row r="4329">
          <cell r="F4329">
            <v>375353.1</v>
          </cell>
          <cell r="G4329">
            <v>0</v>
          </cell>
          <cell r="H4329">
            <v>62</v>
          </cell>
        </row>
        <row r="4330">
          <cell r="F4330">
            <v>35138.46</v>
          </cell>
          <cell r="G4330">
            <v>0</v>
          </cell>
          <cell r="H4330">
            <v>62</v>
          </cell>
        </row>
        <row r="4331">
          <cell r="F4331">
            <v>148817.34</v>
          </cell>
          <cell r="G4331">
            <v>0</v>
          </cell>
          <cell r="H4331">
            <v>62</v>
          </cell>
        </row>
        <row r="4332">
          <cell r="F4332">
            <v>18644.89</v>
          </cell>
          <cell r="G4332">
            <v>0</v>
          </cell>
          <cell r="H4332">
            <v>62</v>
          </cell>
        </row>
        <row r="4333">
          <cell r="F4333">
            <v>63085.06</v>
          </cell>
          <cell r="G4333">
            <v>0</v>
          </cell>
          <cell r="H4333">
            <v>62</v>
          </cell>
        </row>
        <row r="4334">
          <cell r="F4334">
            <v>0</v>
          </cell>
          <cell r="G4334">
            <v>0</v>
          </cell>
          <cell r="H4334">
            <v>62</v>
          </cell>
        </row>
        <row r="4335">
          <cell r="F4335">
            <v>466107.77999999997</v>
          </cell>
          <cell r="G4335">
            <v>0</v>
          </cell>
          <cell r="H4335">
            <v>62</v>
          </cell>
        </row>
        <row r="4336">
          <cell r="F4336">
            <v>53850.79</v>
          </cell>
          <cell r="G4336">
            <v>0</v>
          </cell>
          <cell r="H4336">
            <v>62</v>
          </cell>
        </row>
        <row r="4337">
          <cell r="F4337">
            <v>113388.87000000001</v>
          </cell>
          <cell r="G4337">
            <v>0</v>
          </cell>
          <cell r="H4337">
            <v>62</v>
          </cell>
        </row>
        <row r="4338">
          <cell r="F4338">
            <v>69211.94</v>
          </cell>
          <cell r="G4338">
            <v>0</v>
          </cell>
          <cell r="H4338">
            <v>62</v>
          </cell>
        </row>
        <row r="4339">
          <cell r="F4339">
            <v>0</v>
          </cell>
          <cell r="G4339">
            <v>0</v>
          </cell>
          <cell r="H4339">
            <v>62</v>
          </cell>
        </row>
        <row r="4340">
          <cell r="F4340">
            <v>24792.53</v>
          </cell>
          <cell r="G4340">
            <v>0</v>
          </cell>
          <cell r="H4340">
            <v>62</v>
          </cell>
        </row>
        <row r="4341">
          <cell r="F4341">
            <v>18006.52</v>
          </cell>
          <cell r="G4341">
            <v>0</v>
          </cell>
          <cell r="H4341">
            <v>62</v>
          </cell>
        </row>
        <row r="4342">
          <cell r="F4342">
            <v>16699.46</v>
          </cell>
          <cell r="G4342">
            <v>0</v>
          </cell>
          <cell r="H4342">
            <v>62</v>
          </cell>
        </row>
        <row r="4343">
          <cell r="F4343">
            <v>44267.45</v>
          </cell>
          <cell r="G4343">
            <v>0</v>
          </cell>
          <cell r="H4343">
            <v>62</v>
          </cell>
        </row>
        <row r="4344">
          <cell r="F4344">
            <v>1413.02</v>
          </cell>
          <cell r="G4344">
            <v>0</v>
          </cell>
          <cell r="H4344">
            <v>62</v>
          </cell>
        </row>
        <row r="4345">
          <cell r="F4345">
            <v>202596.75</v>
          </cell>
          <cell r="G4345">
            <v>0</v>
          </cell>
          <cell r="H4345">
            <v>62</v>
          </cell>
        </row>
        <row r="4346">
          <cell r="F4346">
            <v>136448.03</v>
          </cell>
          <cell r="G4346">
            <v>0</v>
          </cell>
          <cell r="H4346">
            <v>62</v>
          </cell>
        </row>
        <row r="4347">
          <cell r="F4347">
            <v>122533.67</v>
          </cell>
          <cell r="G4347">
            <v>0</v>
          </cell>
          <cell r="H4347">
            <v>62</v>
          </cell>
        </row>
        <row r="4348">
          <cell r="F4348">
            <v>134923.6</v>
          </cell>
          <cell r="G4348">
            <v>0</v>
          </cell>
          <cell r="H4348">
            <v>62</v>
          </cell>
        </row>
        <row r="4349">
          <cell r="F4349">
            <v>194243.19</v>
          </cell>
          <cell r="G4349">
            <v>0</v>
          </cell>
          <cell r="H4349">
            <v>62</v>
          </cell>
        </row>
        <row r="4350">
          <cell r="F4350">
            <v>296542.63</v>
          </cell>
          <cell r="G4350">
            <v>0</v>
          </cell>
          <cell r="H4350">
            <v>62</v>
          </cell>
        </row>
        <row r="4351">
          <cell r="F4351">
            <v>301583.40999999997</v>
          </cell>
          <cell r="G4351">
            <v>0</v>
          </cell>
          <cell r="H4351">
            <v>62</v>
          </cell>
        </row>
        <row r="4352">
          <cell r="F4352">
            <v>10099.040000000001</v>
          </cell>
          <cell r="G4352">
            <v>0</v>
          </cell>
          <cell r="H4352">
            <v>62</v>
          </cell>
        </row>
        <row r="4353">
          <cell r="F4353">
            <v>158443.68</v>
          </cell>
          <cell r="G4353">
            <v>0</v>
          </cell>
          <cell r="H4353">
            <v>62</v>
          </cell>
        </row>
        <row r="4354">
          <cell r="F4354">
            <v>156814.31</v>
          </cell>
          <cell r="G4354">
            <v>0</v>
          </cell>
          <cell r="H4354">
            <v>62</v>
          </cell>
        </row>
        <row r="4355">
          <cell r="F4355">
            <v>46930.14</v>
          </cell>
          <cell r="G4355">
            <v>0</v>
          </cell>
          <cell r="H4355">
            <v>62</v>
          </cell>
        </row>
        <row r="4356">
          <cell r="F4356">
            <v>102976.06</v>
          </cell>
          <cell r="G4356">
            <v>0</v>
          </cell>
          <cell r="H4356">
            <v>62</v>
          </cell>
        </row>
        <row r="4357">
          <cell r="F4357">
            <v>144846.89000000001</v>
          </cell>
          <cell r="G4357">
            <v>0</v>
          </cell>
          <cell r="H4357">
            <v>62</v>
          </cell>
        </row>
        <row r="4358">
          <cell r="F4358">
            <v>64228.579999999994</v>
          </cell>
          <cell r="G4358">
            <v>0</v>
          </cell>
          <cell r="H4358">
            <v>62</v>
          </cell>
        </row>
        <row r="4359">
          <cell r="F4359">
            <v>139465.24</v>
          </cell>
          <cell r="G4359">
            <v>0</v>
          </cell>
          <cell r="H4359">
            <v>62</v>
          </cell>
        </row>
        <row r="4360">
          <cell r="F4360">
            <v>18136.54</v>
          </cell>
          <cell r="G4360">
            <v>0</v>
          </cell>
          <cell r="H4360">
            <v>62</v>
          </cell>
        </row>
        <row r="4361">
          <cell r="F4361">
            <v>8965.1200000000008</v>
          </cell>
          <cell r="G4361">
            <v>0</v>
          </cell>
          <cell r="H4361">
            <v>62</v>
          </cell>
        </row>
        <row r="4362">
          <cell r="F4362">
            <v>20586.05</v>
          </cell>
          <cell r="G4362">
            <v>0</v>
          </cell>
          <cell r="H4362">
            <v>62</v>
          </cell>
        </row>
        <row r="4363">
          <cell r="F4363">
            <v>127454.78</v>
          </cell>
          <cell r="G4363">
            <v>0</v>
          </cell>
          <cell r="H4363">
            <v>62</v>
          </cell>
        </row>
        <row r="4364">
          <cell r="F4364">
            <v>48122.85</v>
          </cell>
          <cell r="G4364">
            <v>0</v>
          </cell>
          <cell r="H4364">
            <v>62</v>
          </cell>
        </row>
        <row r="4365">
          <cell r="F4365">
            <v>13091.43</v>
          </cell>
          <cell r="G4365">
            <v>0</v>
          </cell>
          <cell r="H4365">
            <v>62</v>
          </cell>
        </row>
        <row r="4366">
          <cell r="F4366">
            <v>23399.93</v>
          </cell>
          <cell r="G4366">
            <v>0</v>
          </cell>
          <cell r="H4366">
            <v>62</v>
          </cell>
        </row>
        <row r="4367">
          <cell r="F4367">
            <v>10958.28</v>
          </cell>
          <cell r="G4367">
            <v>0</v>
          </cell>
          <cell r="H4367">
            <v>62</v>
          </cell>
        </row>
        <row r="4368">
          <cell r="F4368">
            <v>4866.99</v>
          </cell>
          <cell r="G4368">
            <v>0</v>
          </cell>
          <cell r="H4368">
            <v>62</v>
          </cell>
        </row>
        <row r="4369">
          <cell r="F4369">
            <v>15161.62</v>
          </cell>
          <cell r="G4369">
            <v>0</v>
          </cell>
          <cell r="H4369">
            <v>62</v>
          </cell>
        </row>
        <row r="4370">
          <cell r="F4370">
            <v>2981.68</v>
          </cell>
          <cell r="G4370">
            <v>0</v>
          </cell>
          <cell r="H4370">
            <v>62</v>
          </cell>
        </row>
        <row r="4371">
          <cell r="F4371">
            <v>9739.8700000000008</v>
          </cell>
          <cell r="G4371">
            <v>0</v>
          </cell>
          <cell r="H4371">
            <v>62</v>
          </cell>
        </row>
        <row r="4372">
          <cell r="F4372">
            <v>14293.9</v>
          </cell>
          <cell r="G4372">
            <v>0</v>
          </cell>
          <cell r="H4372">
            <v>62</v>
          </cell>
        </row>
        <row r="4373">
          <cell r="F4373">
            <v>7526.52</v>
          </cell>
          <cell r="G4373">
            <v>0</v>
          </cell>
          <cell r="H4373">
            <v>62</v>
          </cell>
        </row>
        <row r="4374">
          <cell r="F4374">
            <v>20476.64</v>
          </cell>
          <cell r="G4374">
            <v>0</v>
          </cell>
          <cell r="H4374">
            <v>62</v>
          </cell>
        </row>
        <row r="4375">
          <cell r="F4375">
            <v>1499.45</v>
          </cell>
          <cell r="G4375">
            <v>0</v>
          </cell>
          <cell r="H4375">
            <v>62</v>
          </cell>
        </row>
        <row r="4376">
          <cell r="F4376">
            <v>11402.61</v>
          </cell>
          <cell r="G4376">
            <v>0</v>
          </cell>
          <cell r="H4376">
            <v>62</v>
          </cell>
        </row>
        <row r="4377">
          <cell r="F4377">
            <v>18569.900000000001</v>
          </cell>
          <cell r="G4377">
            <v>0</v>
          </cell>
          <cell r="H4377">
            <v>62</v>
          </cell>
        </row>
        <row r="4378">
          <cell r="F4378">
            <v>-0.55000000000000004</v>
          </cell>
          <cell r="G4378">
            <v>0</v>
          </cell>
          <cell r="H4378">
            <v>62</v>
          </cell>
        </row>
        <row r="4379">
          <cell r="F4379">
            <v>6633.1299999999992</v>
          </cell>
          <cell r="G4379">
            <v>0</v>
          </cell>
          <cell r="H4379">
            <v>62</v>
          </cell>
        </row>
        <row r="4380">
          <cell r="F4380">
            <v>4009.58</v>
          </cell>
          <cell r="G4380">
            <v>0</v>
          </cell>
          <cell r="H4380">
            <v>62</v>
          </cell>
        </row>
        <row r="4381">
          <cell r="F4381">
            <v>14660.45</v>
          </cell>
          <cell r="G4381">
            <v>0</v>
          </cell>
          <cell r="H4381">
            <v>62</v>
          </cell>
        </row>
        <row r="4382">
          <cell r="F4382">
            <v>1201.7</v>
          </cell>
          <cell r="G4382">
            <v>0</v>
          </cell>
          <cell r="H4382">
            <v>62</v>
          </cell>
        </row>
        <row r="4383">
          <cell r="F4383">
            <v>35986.120000000003</v>
          </cell>
          <cell r="G4383">
            <v>0</v>
          </cell>
          <cell r="H4383">
            <v>62</v>
          </cell>
        </row>
        <row r="4384">
          <cell r="F4384">
            <v>1167.5899999999999</v>
          </cell>
          <cell r="G4384">
            <v>0</v>
          </cell>
          <cell r="H4384">
            <v>62</v>
          </cell>
        </row>
        <row r="4385">
          <cell r="F4385">
            <v>2763.05</v>
          </cell>
          <cell r="G4385">
            <v>0</v>
          </cell>
          <cell r="H4385">
            <v>62</v>
          </cell>
        </row>
        <row r="4386">
          <cell r="F4386">
            <v>1475.9</v>
          </cell>
          <cell r="G4386">
            <v>0</v>
          </cell>
          <cell r="H4386">
            <v>62</v>
          </cell>
        </row>
        <row r="4387">
          <cell r="F4387">
            <v>13529.880000000001</v>
          </cell>
          <cell r="G4387">
            <v>0</v>
          </cell>
          <cell r="H4387">
            <v>62</v>
          </cell>
        </row>
        <row r="4388">
          <cell r="F4388">
            <v>8118.68</v>
          </cell>
          <cell r="G4388">
            <v>0</v>
          </cell>
          <cell r="H4388">
            <v>62</v>
          </cell>
        </row>
        <row r="4389">
          <cell r="F4389">
            <v>5764.69</v>
          </cell>
          <cell r="G4389">
            <v>0</v>
          </cell>
          <cell r="H4389">
            <v>62</v>
          </cell>
        </row>
        <row r="4390">
          <cell r="F4390">
            <v>910.09</v>
          </cell>
          <cell r="G4390">
            <v>0</v>
          </cell>
          <cell r="H4390">
            <v>62</v>
          </cell>
        </row>
        <row r="4391">
          <cell r="F4391">
            <v>4763.32</v>
          </cell>
          <cell r="G4391">
            <v>0</v>
          </cell>
          <cell r="H4391">
            <v>62</v>
          </cell>
        </row>
        <row r="4392">
          <cell r="F4392">
            <v>3573.89</v>
          </cell>
          <cell r="G4392">
            <v>0</v>
          </cell>
          <cell r="H4392">
            <v>62</v>
          </cell>
        </row>
        <row r="4393">
          <cell r="F4393">
            <v>1269.08</v>
          </cell>
          <cell r="G4393">
            <v>0</v>
          </cell>
          <cell r="H4393">
            <v>62</v>
          </cell>
        </row>
        <row r="4394">
          <cell r="F4394">
            <v>8461.09</v>
          </cell>
          <cell r="G4394">
            <v>0</v>
          </cell>
          <cell r="H4394">
            <v>62</v>
          </cell>
        </row>
        <row r="4395">
          <cell r="F4395">
            <v>4315.99</v>
          </cell>
          <cell r="G4395">
            <v>0</v>
          </cell>
          <cell r="H4395">
            <v>62</v>
          </cell>
        </row>
        <row r="4396">
          <cell r="F4396">
            <v>9299.91</v>
          </cell>
          <cell r="G4396">
            <v>0</v>
          </cell>
          <cell r="H4396">
            <v>62</v>
          </cell>
        </row>
        <row r="4397">
          <cell r="F4397">
            <v>10002.469999999999</v>
          </cell>
          <cell r="G4397">
            <v>0</v>
          </cell>
          <cell r="H4397">
            <v>62</v>
          </cell>
        </row>
        <row r="4398">
          <cell r="F4398">
            <v>12386.11</v>
          </cell>
          <cell r="G4398">
            <v>0</v>
          </cell>
          <cell r="H4398">
            <v>62</v>
          </cell>
        </row>
        <row r="4399">
          <cell r="F4399">
            <v>2232.7399999999998</v>
          </cell>
          <cell r="G4399">
            <v>0</v>
          </cell>
          <cell r="H4399">
            <v>62</v>
          </cell>
        </row>
        <row r="4400">
          <cell r="F4400">
            <v>7567.92</v>
          </cell>
          <cell r="G4400">
            <v>0</v>
          </cell>
          <cell r="H4400">
            <v>62</v>
          </cell>
        </row>
        <row r="4401">
          <cell r="F4401">
            <v>-0.61</v>
          </cell>
          <cell r="G4401">
            <v>0</v>
          </cell>
          <cell r="H4401">
            <v>62</v>
          </cell>
        </row>
        <row r="4402">
          <cell r="F4402">
            <v>33546.759999999995</v>
          </cell>
          <cell r="G4402">
            <v>0</v>
          </cell>
          <cell r="H4402">
            <v>62</v>
          </cell>
        </row>
        <row r="4403">
          <cell r="F4403">
            <v>9250.1200000000008</v>
          </cell>
          <cell r="G4403">
            <v>0</v>
          </cell>
          <cell r="H4403">
            <v>62</v>
          </cell>
        </row>
        <row r="4404">
          <cell r="F4404">
            <v>18371.5</v>
          </cell>
          <cell r="G4404">
            <v>0</v>
          </cell>
          <cell r="H4404">
            <v>62</v>
          </cell>
        </row>
        <row r="4405">
          <cell r="F4405">
            <v>56862.54</v>
          </cell>
          <cell r="G4405">
            <v>0</v>
          </cell>
          <cell r="H4405">
            <v>62</v>
          </cell>
        </row>
        <row r="4406">
          <cell r="F4406">
            <v>5205.16</v>
          </cell>
          <cell r="G4406">
            <v>0</v>
          </cell>
          <cell r="H4406">
            <v>62</v>
          </cell>
        </row>
        <row r="4407">
          <cell r="F4407">
            <v>23081.08</v>
          </cell>
          <cell r="G4407">
            <v>0</v>
          </cell>
          <cell r="H4407">
            <v>62</v>
          </cell>
        </row>
        <row r="4408">
          <cell r="F4408">
            <v>1364.49</v>
          </cell>
          <cell r="G4408">
            <v>0</v>
          </cell>
          <cell r="H4408">
            <v>62</v>
          </cell>
        </row>
        <row r="4409">
          <cell r="F4409">
            <v>3580.07</v>
          </cell>
          <cell r="G4409">
            <v>0</v>
          </cell>
          <cell r="H4409">
            <v>62</v>
          </cell>
        </row>
        <row r="4410">
          <cell r="F4410">
            <v>10077.36</v>
          </cell>
          <cell r="G4410">
            <v>0</v>
          </cell>
          <cell r="H4410">
            <v>62</v>
          </cell>
        </row>
        <row r="4411">
          <cell r="F4411">
            <v>9805.9</v>
          </cell>
          <cell r="G4411">
            <v>0</v>
          </cell>
          <cell r="H4411">
            <v>62</v>
          </cell>
        </row>
        <row r="4412">
          <cell r="F4412">
            <v>1140.8</v>
          </cell>
          <cell r="G4412">
            <v>0</v>
          </cell>
          <cell r="H4412">
            <v>62</v>
          </cell>
        </row>
        <row r="4413">
          <cell r="F4413">
            <v>1176.4500000000003</v>
          </cell>
          <cell r="G4413">
            <v>0</v>
          </cell>
          <cell r="H4413">
            <v>62</v>
          </cell>
        </row>
        <row r="4414">
          <cell r="F4414">
            <v>249.06</v>
          </cell>
          <cell r="G4414">
            <v>0</v>
          </cell>
          <cell r="H4414">
            <v>62</v>
          </cell>
        </row>
        <row r="4415">
          <cell r="F4415">
            <v>12658.39</v>
          </cell>
          <cell r="G4415">
            <v>0</v>
          </cell>
          <cell r="H4415">
            <v>62</v>
          </cell>
        </row>
        <row r="4416">
          <cell r="F4416">
            <v>6756.27</v>
          </cell>
          <cell r="G4416">
            <v>0</v>
          </cell>
          <cell r="H4416">
            <v>62</v>
          </cell>
        </row>
        <row r="4417">
          <cell r="F4417">
            <v>1860.63</v>
          </cell>
          <cell r="G4417">
            <v>0</v>
          </cell>
          <cell r="H4417">
            <v>62</v>
          </cell>
        </row>
        <row r="4418">
          <cell r="F4418">
            <v>5626.0499999999993</v>
          </cell>
          <cell r="G4418">
            <v>0</v>
          </cell>
          <cell r="H4418">
            <v>62</v>
          </cell>
        </row>
        <row r="4419">
          <cell r="F4419">
            <v>9938.2999999999993</v>
          </cell>
          <cell r="G4419">
            <v>0</v>
          </cell>
          <cell r="H4419">
            <v>62</v>
          </cell>
        </row>
        <row r="4420">
          <cell r="F4420">
            <v>26418.67</v>
          </cell>
          <cell r="G4420">
            <v>0</v>
          </cell>
          <cell r="H4420">
            <v>62</v>
          </cell>
        </row>
        <row r="4421">
          <cell r="F4421">
            <v>5115.2</v>
          </cell>
          <cell r="G4421">
            <v>0</v>
          </cell>
          <cell r="H4421">
            <v>62</v>
          </cell>
        </row>
        <row r="4422">
          <cell r="F4422">
            <v>2402.23</v>
          </cell>
          <cell r="G4422">
            <v>0</v>
          </cell>
          <cell r="H4422">
            <v>62</v>
          </cell>
        </row>
        <row r="4423">
          <cell r="F4423">
            <v>1211.78</v>
          </cell>
          <cell r="G4423">
            <v>0</v>
          </cell>
          <cell r="H4423">
            <v>62</v>
          </cell>
        </row>
        <row r="4424">
          <cell r="F4424">
            <v>800.61</v>
          </cell>
          <cell r="G4424">
            <v>0</v>
          </cell>
          <cell r="H4424">
            <v>62</v>
          </cell>
        </row>
        <row r="4425">
          <cell r="F4425">
            <v>2725.76</v>
          </cell>
          <cell r="G4425">
            <v>0</v>
          </cell>
          <cell r="H4425">
            <v>62</v>
          </cell>
        </row>
        <row r="4426">
          <cell r="F4426">
            <v>1109.69</v>
          </cell>
          <cell r="G4426">
            <v>0</v>
          </cell>
          <cell r="H4426">
            <v>62</v>
          </cell>
        </row>
        <row r="4427">
          <cell r="F4427">
            <v>944.73</v>
          </cell>
          <cell r="G4427">
            <v>0</v>
          </cell>
          <cell r="H4427">
            <v>62</v>
          </cell>
        </row>
        <row r="4428">
          <cell r="F4428">
            <v>4490.25</v>
          </cell>
          <cell r="G4428">
            <v>0</v>
          </cell>
          <cell r="H4428">
            <v>62</v>
          </cell>
        </row>
        <row r="4429">
          <cell r="F4429">
            <v>7682.63</v>
          </cell>
          <cell r="G4429">
            <v>0</v>
          </cell>
          <cell r="H4429">
            <v>62</v>
          </cell>
        </row>
        <row r="4430">
          <cell r="F4430">
            <v>10228.75</v>
          </cell>
          <cell r="G4430">
            <v>0</v>
          </cell>
          <cell r="H4430">
            <v>62</v>
          </cell>
        </row>
        <row r="4431">
          <cell r="F4431">
            <v>12509.71</v>
          </cell>
          <cell r="G4431">
            <v>0</v>
          </cell>
          <cell r="H4431">
            <v>62</v>
          </cell>
        </row>
        <row r="4432">
          <cell r="F4432">
            <v>858.36</v>
          </cell>
          <cell r="G4432">
            <v>0</v>
          </cell>
          <cell r="H4432">
            <v>62</v>
          </cell>
        </row>
        <row r="4433">
          <cell r="F4433">
            <v>6977.47</v>
          </cell>
          <cell r="G4433">
            <v>0</v>
          </cell>
          <cell r="H4433">
            <v>62</v>
          </cell>
        </row>
        <row r="4434">
          <cell r="F4434">
            <v>1975.04</v>
          </cell>
          <cell r="G4434">
            <v>0</v>
          </cell>
          <cell r="H4434">
            <v>62</v>
          </cell>
        </row>
        <row r="4435">
          <cell r="F4435">
            <v>39443.520000000004</v>
          </cell>
          <cell r="G4435">
            <v>0</v>
          </cell>
          <cell r="H4435">
            <v>62</v>
          </cell>
        </row>
        <row r="4436">
          <cell r="F4436">
            <v>8510.99</v>
          </cell>
          <cell r="G4436">
            <v>0</v>
          </cell>
          <cell r="H4436">
            <v>62</v>
          </cell>
        </row>
        <row r="4437">
          <cell r="F4437">
            <v>13634.9</v>
          </cell>
          <cell r="G4437">
            <v>0</v>
          </cell>
          <cell r="H4437">
            <v>62</v>
          </cell>
        </row>
        <row r="4438">
          <cell r="F4438">
            <v>2783.28</v>
          </cell>
          <cell r="G4438">
            <v>0</v>
          </cell>
          <cell r="H4438">
            <v>62</v>
          </cell>
        </row>
        <row r="4439">
          <cell r="F4439">
            <v>17374.899999999998</v>
          </cell>
          <cell r="G4439">
            <v>0</v>
          </cell>
          <cell r="H4439">
            <v>62</v>
          </cell>
        </row>
        <row r="4440">
          <cell r="F4440">
            <v>367.36</v>
          </cell>
          <cell r="G4440">
            <v>0</v>
          </cell>
          <cell r="H4440">
            <v>62</v>
          </cell>
        </row>
        <row r="4441">
          <cell r="F4441">
            <v>10070.869999999999</v>
          </cell>
          <cell r="G4441">
            <v>0</v>
          </cell>
          <cell r="H4441">
            <v>62</v>
          </cell>
        </row>
        <row r="4442">
          <cell r="F4442">
            <v>33469.769999999997</v>
          </cell>
          <cell r="G4442">
            <v>0</v>
          </cell>
          <cell r="H4442">
            <v>62</v>
          </cell>
        </row>
        <row r="4443">
          <cell r="F4443">
            <v>8813.619999999999</v>
          </cell>
          <cell r="G4443">
            <v>0</v>
          </cell>
          <cell r="H4443">
            <v>62</v>
          </cell>
        </row>
        <row r="4444">
          <cell r="F4444">
            <v>5002.37</v>
          </cell>
          <cell r="G4444">
            <v>0</v>
          </cell>
          <cell r="H4444">
            <v>62</v>
          </cell>
        </row>
        <row r="4445">
          <cell r="F4445">
            <v>12925.14</v>
          </cell>
          <cell r="G4445">
            <v>0</v>
          </cell>
          <cell r="H4445">
            <v>62</v>
          </cell>
        </row>
        <row r="4446">
          <cell r="F4446">
            <v>10398.93</v>
          </cell>
          <cell r="G4446">
            <v>0</v>
          </cell>
          <cell r="H4446">
            <v>62</v>
          </cell>
        </row>
        <row r="4447">
          <cell r="F4447">
            <v>9486.32</v>
          </cell>
          <cell r="G4447">
            <v>0</v>
          </cell>
          <cell r="H4447">
            <v>62</v>
          </cell>
        </row>
        <row r="4448">
          <cell r="F4448">
            <v>5370.12</v>
          </cell>
          <cell r="G4448">
            <v>0</v>
          </cell>
          <cell r="H4448">
            <v>62</v>
          </cell>
        </row>
        <row r="4449">
          <cell r="F4449">
            <v>1252.4000000000001</v>
          </cell>
          <cell r="G4449">
            <v>0</v>
          </cell>
          <cell r="H4449">
            <v>62</v>
          </cell>
        </row>
        <row r="4450">
          <cell r="F4450">
            <v>420.71</v>
          </cell>
          <cell r="G4450">
            <v>0</v>
          </cell>
          <cell r="H4450">
            <v>62</v>
          </cell>
        </row>
        <row r="4451">
          <cell r="F4451">
            <v>1586.19</v>
          </cell>
          <cell r="G4451">
            <v>0</v>
          </cell>
          <cell r="H4451">
            <v>62</v>
          </cell>
        </row>
        <row r="4452">
          <cell r="F4452">
            <v>12223.54</v>
          </cell>
          <cell r="G4452">
            <v>0</v>
          </cell>
          <cell r="H4452">
            <v>62</v>
          </cell>
        </row>
        <row r="4453">
          <cell r="F4453">
            <v>1438.94</v>
          </cell>
          <cell r="G4453">
            <v>0</v>
          </cell>
          <cell r="H4453">
            <v>62</v>
          </cell>
        </row>
        <row r="4454">
          <cell r="F4454">
            <v>721.34</v>
          </cell>
          <cell r="G4454">
            <v>0</v>
          </cell>
          <cell r="H4454">
            <v>62</v>
          </cell>
        </row>
        <row r="4455">
          <cell r="F4455">
            <v>1274.3499999999999</v>
          </cell>
          <cell r="G4455">
            <v>0</v>
          </cell>
          <cell r="H4455">
            <v>62</v>
          </cell>
        </row>
        <row r="4456">
          <cell r="F4456">
            <v>5363.97</v>
          </cell>
          <cell r="G4456">
            <v>0</v>
          </cell>
          <cell r="H4456">
            <v>62</v>
          </cell>
        </row>
        <row r="4457">
          <cell r="F4457">
            <v>7211.66</v>
          </cell>
          <cell r="G4457">
            <v>0</v>
          </cell>
          <cell r="H4457">
            <v>62</v>
          </cell>
        </row>
        <row r="4458">
          <cell r="F4458">
            <v>7071.7</v>
          </cell>
          <cell r="G4458">
            <v>0</v>
          </cell>
          <cell r="H4458">
            <v>62</v>
          </cell>
        </row>
        <row r="4459">
          <cell r="F4459">
            <v>14082.72</v>
          </cell>
          <cell r="G4459">
            <v>0</v>
          </cell>
          <cell r="H4459">
            <v>62</v>
          </cell>
        </row>
        <row r="4460">
          <cell r="F4460">
            <v>1066.99</v>
          </cell>
          <cell r="G4460">
            <v>0</v>
          </cell>
          <cell r="H4460">
            <v>62</v>
          </cell>
        </row>
        <row r="4461">
          <cell r="F4461">
            <v>776.06</v>
          </cell>
          <cell r="G4461">
            <v>0</v>
          </cell>
          <cell r="H4461">
            <v>62</v>
          </cell>
        </row>
        <row r="4462">
          <cell r="F4462">
            <v>461.62</v>
          </cell>
          <cell r="G4462">
            <v>0</v>
          </cell>
          <cell r="H4462">
            <v>62</v>
          </cell>
        </row>
        <row r="4463">
          <cell r="F4463">
            <v>2530.44</v>
          </cell>
          <cell r="G4463">
            <v>0</v>
          </cell>
          <cell r="H4463">
            <v>62</v>
          </cell>
        </row>
        <row r="4464">
          <cell r="F4464">
            <v>8767.91</v>
          </cell>
          <cell r="G4464">
            <v>0</v>
          </cell>
          <cell r="H4464">
            <v>62</v>
          </cell>
        </row>
        <row r="4465">
          <cell r="F4465">
            <v>22276.18</v>
          </cell>
          <cell r="G4465">
            <v>0</v>
          </cell>
          <cell r="H4465">
            <v>62</v>
          </cell>
        </row>
        <row r="4466">
          <cell r="F4466">
            <v>21269.5</v>
          </cell>
          <cell r="G4466">
            <v>0</v>
          </cell>
          <cell r="H4466">
            <v>62</v>
          </cell>
        </row>
        <row r="4467">
          <cell r="F4467">
            <v>129.83000000000001</v>
          </cell>
          <cell r="G4467">
            <v>0</v>
          </cell>
          <cell r="H4467">
            <v>62</v>
          </cell>
        </row>
        <row r="4468">
          <cell r="F4468">
            <v>200.1</v>
          </cell>
          <cell r="G4468">
            <v>0</v>
          </cell>
          <cell r="H4468">
            <v>62</v>
          </cell>
        </row>
        <row r="4469">
          <cell r="F4469">
            <v>19925.849999999999</v>
          </cell>
          <cell r="G4469">
            <v>0</v>
          </cell>
          <cell r="H4469">
            <v>62</v>
          </cell>
        </row>
        <row r="4470">
          <cell r="F4470">
            <v>-0.94</v>
          </cell>
          <cell r="G4470">
            <v>0</v>
          </cell>
          <cell r="H4470">
            <v>62</v>
          </cell>
        </row>
        <row r="4471">
          <cell r="F4471">
            <v>11950.82</v>
          </cell>
          <cell r="G4471">
            <v>0</v>
          </cell>
          <cell r="H4471">
            <v>62</v>
          </cell>
        </row>
        <row r="4472">
          <cell r="F4472">
            <v>12913.71</v>
          </cell>
          <cell r="G4472">
            <v>0</v>
          </cell>
          <cell r="H4472">
            <v>62</v>
          </cell>
        </row>
        <row r="4473">
          <cell r="F4473">
            <v>1481.05</v>
          </cell>
          <cell r="G4473">
            <v>0</v>
          </cell>
          <cell r="H4473">
            <v>62</v>
          </cell>
        </row>
        <row r="4474">
          <cell r="F4474">
            <v>25555.62</v>
          </cell>
          <cell r="G4474">
            <v>0</v>
          </cell>
          <cell r="H4474">
            <v>62</v>
          </cell>
        </row>
        <row r="4475">
          <cell r="F4475">
            <v>1100.1500000000001</v>
          </cell>
          <cell r="G4475">
            <v>0</v>
          </cell>
          <cell r="H4475">
            <v>62</v>
          </cell>
        </row>
        <row r="4476">
          <cell r="F4476">
            <v>3230.49</v>
          </cell>
          <cell r="G4476">
            <v>0</v>
          </cell>
          <cell r="H4476">
            <v>62</v>
          </cell>
        </row>
        <row r="4477">
          <cell r="F4477">
            <v>26571.199999999997</v>
          </cell>
          <cell r="G4477">
            <v>0</v>
          </cell>
          <cell r="H4477">
            <v>62</v>
          </cell>
        </row>
        <row r="4478">
          <cell r="F4478">
            <v>34419.33</v>
          </cell>
          <cell r="G4478">
            <v>0</v>
          </cell>
          <cell r="H4478">
            <v>62</v>
          </cell>
        </row>
        <row r="4479">
          <cell r="F4479">
            <v>1442.74</v>
          </cell>
          <cell r="G4479">
            <v>0</v>
          </cell>
          <cell r="H4479">
            <v>62</v>
          </cell>
        </row>
        <row r="4480">
          <cell r="F4480">
            <v>4788.55</v>
          </cell>
          <cell r="G4480">
            <v>0</v>
          </cell>
          <cell r="H4480">
            <v>62</v>
          </cell>
        </row>
        <row r="4481">
          <cell r="F4481">
            <v>25750.48</v>
          </cell>
          <cell r="G4481">
            <v>0</v>
          </cell>
          <cell r="H4481">
            <v>62</v>
          </cell>
        </row>
        <row r="4482">
          <cell r="F4482">
            <v>4304.54</v>
          </cell>
          <cell r="G4482">
            <v>0</v>
          </cell>
          <cell r="H4482">
            <v>62</v>
          </cell>
        </row>
        <row r="4483">
          <cell r="F4483">
            <v>3460.28</v>
          </cell>
          <cell r="G4483">
            <v>0</v>
          </cell>
          <cell r="H4483">
            <v>62</v>
          </cell>
        </row>
        <row r="4484">
          <cell r="F4484">
            <v>44155.31</v>
          </cell>
          <cell r="G4484">
            <v>0</v>
          </cell>
          <cell r="H4484">
            <v>62</v>
          </cell>
        </row>
        <row r="4485">
          <cell r="F4485">
            <v>34429.200000000004</v>
          </cell>
          <cell r="G4485">
            <v>0</v>
          </cell>
          <cell r="H4485">
            <v>62</v>
          </cell>
        </row>
        <row r="4486">
          <cell r="F4486">
            <v>8381.06</v>
          </cell>
          <cell r="G4486">
            <v>0</v>
          </cell>
          <cell r="H4486">
            <v>62</v>
          </cell>
        </row>
        <row r="4487">
          <cell r="F4487">
            <v>2836.44</v>
          </cell>
          <cell r="G4487">
            <v>0</v>
          </cell>
          <cell r="H4487">
            <v>62</v>
          </cell>
        </row>
        <row r="4488">
          <cell r="F4488">
            <v>323.65999999999997</v>
          </cell>
          <cell r="G4488">
            <v>0</v>
          </cell>
          <cell r="H4488">
            <v>62</v>
          </cell>
        </row>
        <row r="4489">
          <cell r="F4489">
            <v>-0.6</v>
          </cell>
          <cell r="G4489">
            <v>0</v>
          </cell>
          <cell r="H4489">
            <v>62</v>
          </cell>
        </row>
        <row r="4490">
          <cell r="F4490">
            <v>2277.42</v>
          </cell>
          <cell r="G4490">
            <v>0</v>
          </cell>
          <cell r="H4490">
            <v>62</v>
          </cell>
        </row>
        <row r="4491">
          <cell r="F4491">
            <v>14153.45</v>
          </cell>
          <cell r="G4491">
            <v>0</v>
          </cell>
          <cell r="H4491">
            <v>62</v>
          </cell>
        </row>
        <row r="4492">
          <cell r="F4492">
            <v>1217.22</v>
          </cell>
          <cell r="G4492">
            <v>0</v>
          </cell>
          <cell r="H4492">
            <v>62</v>
          </cell>
        </row>
        <row r="4493">
          <cell r="F4493">
            <v>404.21</v>
          </cell>
          <cell r="G4493">
            <v>0</v>
          </cell>
          <cell r="H4493">
            <v>62</v>
          </cell>
        </row>
        <row r="4494">
          <cell r="F4494">
            <v>533.79</v>
          </cell>
          <cell r="G4494">
            <v>0</v>
          </cell>
          <cell r="H4494">
            <v>62</v>
          </cell>
        </row>
        <row r="4495">
          <cell r="F4495">
            <v>9881.98</v>
          </cell>
          <cell r="G4495">
            <v>0</v>
          </cell>
          <cell r="H4495">
            <v>62</v>
          </cell>
        </row>
        <row r="4496">
          <cell r="F4496">
            <v>6068.91</v>
          </cell>
          <cell r="G4496">
            <v>0</v>
          </cell>
          <cell r="H4496">
            <v>62</v>
          </cell>
        </row>
        <row r="4497">
          <cell r="F4497">
            <v>1557.47</v>
          </cell>
          <cell r="G4497">
            <v>0</v>
          </cell>
          <cell r="H4497">
            <v>62</v>
          </cell>
        </row>
        <row r="4498">
          <cell r="F4498">
            <v>8855.02</v>
          </cell>
          <cell r="G4498">
            <v>0</v>
          </cell>
          <cell r="H4498">
            <v>62</v>
          </cell>
        </row>
        <row r="4499">
          <cell r="F4499">
            <v>250.68</v>
          </cell>
          <cell r="G4499">
            <v>0</v>
          </cell>
          <cell r="H4499">
            <v>62</v>
          </cell>
        </row>
        <row r="4500">
          <cell r="F4500">
            <v>1428.33</v>
          </cell>
          <cell r="G4500">
            <v>0</v>
          </cell>
          <cell r="H4500">
            <v>62</v>
          </cell>
        </row>
        <row r="4501">
          <cell r="F4501">
            <v>4254.8900000000003</v>
          </cell>
          <cell r="G4501">
            <v>0</v>
          </cell>
          <cell r="H4501">
            <v>62</v>
          </cell>
        </row>
        <row r="4502">
          <cell r="F4502">
            <v>7632.33</v>
          </cell>
          <cell r="G4502">
            <v>0</v>
          </cell>
          <cell r="H4502">
            <v>62</v>
          </cell>
        </row>
        <row r="4503">
          <cell r="F4503">
            <v>1149.4199999999998</v>
          </cell>
          <cell r="G4503">
            <v>0</v>
          </cell>
          <cell r="H4503">
            <v>62</v>
          </cell>
        </row>
        <row r="4504">
          <cell r="F4504">
            <v>513.33000000000004</v>
          </cell>
          <cell r="G4504">
            <v>0</v>
          </cell>
          <cell r="H4504">
            <v>62</v>
          </cell>
        </row>
        <row r="4505">
          <cell r="F4505">
            <v>1025.54</v>
          </cell>
          <cell r="G4505">
            <v>0</v>
          </cell>
          <cell r="H4505">
            <v>62</v>
          </cell>
        </row>
        <row r="4506">
          <cell r="F4506">
            <v>74.98</v>
          </cell>
          <cell r="G4506">
            <v>0</v>
          </cell>
          <cell r="H4506">
            <v>62</v>
          </cell>
        </row>
        <row r="4507">
          <cell r="F4507">
            <v>261.8</v>
          </cell>
          <cell r="G4507">
            <v>0</v>
          </cell>
          <cell r="H4507">
            <v>62</v>
          </cell>
        </row>
        <row r="4508">
          <cell r="F4508">
            <v>79945.14</v>
          </cell>
          <cell r="G4508">
            <v>0</v>
          </cell>
          <cell r="H4508">
            <v>62</v>
          </cell>
        </row>
        <row r="4509">
          <cell r="F4509">
            <v>399.91</v>
          </cell>
          <cell r="G4509">
            <v>0</v>
          </cell>
          <cell r="H4509">
            <v>62</v>
          </cell>
        </row>
        <row r="4510">
          <cell r="F4510">
            <v>3603.92</v>
          </cell>
          <cell r="G4510">
            <v>0</v>
          </cell>
          <cell r="H4510">
            <v>62</v>
          </cell>
        </row>
        <row r="4511">
          <cell r="F4511">
            <v>16374.24</v>
          </cell>
          <cell r="G4511">
            <v>0</v>
          </cell>
          <cell r="H4511">
            <v>62</v>
          </cell>
        </row>
        <row r="4512">
          <cell r="F4512">
            <v>1690.9499999999998</v>
          </cell>
          <cell r="G4512">
            <v>0</v>
          </cell>
          <cell r="H4512">
            <v>62</v>
          </cell>
        </row>
        <row r="4513">
          <cell r="F4513">
            <v>207.45</v>
          </cell>
          <cell r="G4513">
            <v>0</v>
          </cell>
          <cell r="H4513">
            <v>62</v>
          </cell>
        </row>
        <row r="4514">
          <cell r="F4514">
            <v>369.66</v>
          </cell>
          <cell r="G4514">
            <v>0</v>
          </cell>
          <cell r="H4514">
            <v>62</v>
          </cell>
        </row>
        <row r="4515">
          <cell r="F4515">
            <v>744.1</v>
          </cell>
          <cell r="G4515">
            <v>0</v>
          </cell>
          <cell r="H4515">
            <v>62</v>
          </cell>
        </row>
        <row r="4516">
          <cell r="F4516">
            <v>534.73</v>
          </cell>
          <cell r="G4516">
            <v>0</v>
          </cell>
          <cell r="H4516">
            <v>62</v>
          </cell>
        </row>
        <row r="4517">
          <cell r="F4517">
            <v>614.9</v>
          </cell>
          <cell r="G4517">
            <v>0</v>
          </cell>
          <cell r="H4517">
            <v>62</v>
          </cell>
        </row>
        <row r="4518">
          <cell r="F4518">
            <v>1503.13</v>
          </cell>
          <cell r="G4518">
            <v>0</v>
          </cell>
          <cell r="H4518">
            <v>62</v>
          </cell>
        </row>
        <row r="4519">
          <cell r="F4519">
            <v>1712.2599999999998</v>
          </cell>
          <cell r="G4519">
            <v>0</v>
          </cell>
          <cell r="H4519">
            <v>62</v>
          </cell>
        </row>
        <row r="4520">
          <cell r="F4520">
            <v>534.30999999999995</v>
          </cell>
          <cell r="G4520">
            <v>0</v>
          </cell>
          <cell r="H4520">
            <v>62</v>
          </cell>
        </row>
        <row r="4521">
          <cell r="F4521">
            <v>406.57</v>
          </cell>
          <cell r="G4521">
            <v>0</v>
          </cell>
          <cell r="H4521">
            <v>62</v>
          </cell>
        </row>
        <row r="4522">
          <cell r="F4522">
            <v>117.48</v>
          </cell>
          <cell r="G4522">
            <v>0</v>
          </cell>
          <cell r="H4522">
            <v>62</v>
          </cell>
        </row>
        <row r="4523">
          <cell r="F4523">
            <v>146.55000000000001</v>
          </cell>
          <cell r="G4523">
            <v>0</v>
          </cell>
          <cell r="H4523">
            <v>62</v>
          </cell>
        </row>
        <row r="4524">
          <cell r="F4524">
            <v>1357.93</v>
          </cell>
          <cell r="G4524">
            <v>0</v>
          </cell>
          <cell r="H4524">
            <v>62</v>
          </cell>
        </row>
        <row r="4525">
          <cell r="F4525">
            <v>539.91999999999996</v>
          </cell>
          <cell r="G4525">
            <v>0</v>
          </cell>
          <cell r="H4525">
            <v>62</v>
          </cell>
        </row>
        <row r="4526">
          <cell r="F4526">
            <v>829.24</v>
          </cell>
          <cell r="G4526">
            <v>0</v>
          </cell>
          <cell r="H4526">
            <v>62</v>
          </cell>
        </row>
        <row r="4527">
          <cell r="F4527">
            <v>231.60000000000002</v>
          </cell>
          <cell r="G4527">
            <v>0</v>
          </cell>
          <cell r="H4527">
            <v>62</v>
          </cell>
        </row>
        <row r="4528">
          <cell r="F4528">
            <v>75453.759999999995</v>
          </cell>
          <cell r="G4528">
            <v>0</v>
          </cell>
          <cell r="H4528">
            <v>62</v>
          </cell>
        </row>
        <row r="4529">
          <cell r="F4529">
            <v>199.91</v>
          </cell>
          <cell r="G4529">
            <v>0</v>
          </cell>
          <cell r="H4529">
            <v>62</v>
          </cell>
        </row>
        <row r="4530">
          <cell r="F4530">
            <v>252.25</v>
          </cell>
          <cell r="G4530">
            <v>0</v>
          </cell>
          <cell r="H4530">
            <v>62</v>
          </cell>
        </row>
        <row r="4531">
          <cell r="F4531">
            <v>302.7</v>
          </cell>
          <cell r="G4531">
            <v>0</v>
          </cell>
          <cell r="H4531">
            <v>62</v>
          </cell>
        </row>
        <row r="4532">
          <cell r="F4532">
            <v>7007.6</v>
          </cell>
          <cell r="G4532">
            <v>0</v>
          </cell>
          <cell r="H4532">
            <v>62</v>
          </cell>
        </row>
        <row r="4533">
          <cell r="F4533">
            <v>1264.23</v>
          </cell>
          <cell r="G4533">
            <v>0</v>
          </cell>
          <cell r="H4533">
            <v>62</v>
          </cell>
        </row>
        <row r="4534">
          <cell r="F4534">
            <v>1536.26</v>
          </cell>
          <cell r="G4534">
            <v>0</v>
          </cell>
          <cell r="H4534">
            <v>62</v>
          </cell>
        </row>
        <row r="4535">
          <cell r="F4535">
            <v>1121.6500000000001</v>
          </cell>
          <cell r="G4535">
            <v>0</v>
          </cell>
          <cell r="H4535">
            <v>62</v>
          </cell>
        </row>
        <row r="4536">
          <cell r="F4536">
            <v>259.8</v>
          </cell>
          <cell r="G4536">
            <v>0</v>
          </cell>
          <cell r="H4536">
            <v>62</v>
          </cell>
        </row>
        <row r="4537">
          <cell r="F4537">
            <v>1386.6299999999999</v>
          </cell>
          <cell r="G4537">
            <v>0</v>
          </cell>
          <cell r="H4537">
            <v>62</v>
          </cell>
        </row>
        <row r="4538">
          <cell r="F4538">
            <v>362.2</v>
          </cell>
          <cell r="G4538">
            <v>0</v>
          </cell>
          <cell r="H4538">
            <v>62</v>
          </cell>
        </row>
        <row r="4539">
          <cell r="F4539">
            <v>68.52</v>
          </cell>
          <cell r="G4539">
            <v>0</v>
          </cell>
          <cell r="H4539">
            <v>62</v>
          </cell>
        </row>
        <row r="4540">
          <cell r="F4540">
            <v>32.79</v>
          </cell>
          <cell r="G4540">
            <v>0</v>
          </cell>
          <cell r="H4540">
            <v>62</v>
          </cell>
        </row>
        <row r="4541">
          <cell r="F4541">
            <v>72.31</v>
          </cell>
          <cell r="G4541">
            <v>0</v>
          </cell>
          <cell r="H4541">
            <v>62</v>
          </cell>
        </row>
        <row r="4542">
          <cell r="F4542">
            <v>142.71</v>
          </cell>
          <cell r="G4542">
            <v>0</v>
          </cell>
          <cell r="H4542">
            <v>62</v>
          </cell>
        </row>
        <row r="4543">
          <cell r="F4543">
            <v>449.7</v>
          </cell>
          <cell r="G4543">
            <v>0</v>
          </cell>
          <cell r="H4543">
            <v>62</v>
          </cell>
        </row>
        <row r="4544">
          <cell r="F4544">
            <v>1367.73</v>
          </cell>
          <cell r="G4544">
            <v>0</v>
          </cell>
          <cell r="H4544">
            <v>62</v>
          </cell>
        </row>
        <row r="4545">
          <cell r="F4545">
            <v>1607.39</v>
          </cell>
          <cell r="G4545">
            <v>0</v>
          </cell>
          <cell r="H4545">
            <v>62</v>
          </cell>
        </row>
        <row r="4546">
          <cell r="F4546">
            <v>882.22</v>
          </cell>
          <cell r="G4546">
            <v>0</v>
          </cell>
          <cell r="H4546">
            <v>62</v>
          </cell>
        </row>
        <row r="4547">
          <cell r="F4547">
            <v>985.43</v>
          </cell>
          <cell r="G4547">
            <v>0</v>
          </cell>
          <cell r="H4547">
            <v>62</v>
          </cell>
        </row>
        <row r="4548">
          <cell r="F4548">
            <v>284.66000000000003</v>
          </cell>
          <cell r="G4548">
            <v>0</v>
          </cell>
          <cell r="H4548">
            <v>62</v>
          </cell>
        </row>
        <row r="4549">
          <cell r="F4549">
            <v>8030.79</v>
          </cell>
          <cell r="G4549">
            <v>0</v>
          </cell>
          <cell r="H4549">
            <v>62</v>
          </cell>
        </row>
        <row r="4550">
          <cell r="F4550">
            <v>1470.19</v>
          </cell>
          <cell r="G4550">
            <v>0</v>
          </cell>
          <cell r="H4550">
            <v>62</v>
          </cell>
        </row>
        <row r="4551">
          <cell r="F4551">
            <v>652.81999999999994</v>
          </cell>
          <cell r="G4551">
            <v>0</v>
          </cell>
          <cell r="H4551">
            <v>62</v>
          </cell>
        </row>
        <row r="4552">
          <cell r="F4552">
            <v>85818.31</v>
          </cell>
          <cell r="G4552">
            <v>0</v>
          </cell>
          <cell r="H4552">
            <v>62</v>
          </cell>
        </row>
        <row r="4553">
          <cell r="F4553">
            <v>26126.99</v>
          </cell>
          <cell r="G4553">
            <v>0</v>
          </cell>
          <cell r="H4553">
            <v>62</v>
          </cell>
        </row>
        <row r="4554">
          <cell r="F4554">
            <v>481.19</v>
          </cell>
          <cell r="G4554">
            <v>0</v>
          </cell>
          <cell r="H4554">
            <v>62</v>
          </cell>
        </row>
        <row r="4555">
          <cell r="F4555">
            <v>148.56</v>
          </cell>
          <cell r="G4555">
            <v>0</v>
          </cell>
          <cell r="H4555">
            <v>62</v>
          </cell>
        </row>
        <row r="4556">
          <cell r="F4556">
            <v>3173.2200000000003</v>
          </cell>
          <cell r="G4556">
            <v>0</v>
          </cell>
          <cell r="H4556">
            <v>62</v>
          </cell>
        </row>
        <row r="4557">
          <cell r="F4557">
            <v>141.26</v>
          </cell>
          <cell r="G4557">
            <v>0</v>
          </cell>
          <cell r="H4557">
            <v>62</v>
          </cell>
        </row>
        <row r="4558">
          <cell r="F4558">
            <v>200.57</v>
          </cell>
          <cell r="G4558">
            <v>0</v>
          </cell>
          <cell r="H4558">
            <v>62</v>
          </cell>
        </row>
        <row r="4559">
          <cell r="F4559">
            <v>275.73</v>
          </cell>
          <cell r="G4559">
            <v>0</v>
          </cell>
          <cell r="H4559">
            <v>62</v>
          </cell>
        </row>
        <row r="4560">
          <cell r="F4560">
            <v>6305.7</v>
          </cell>
          <cell r="G4560">
            <v>0</v>
          </cell>
          <cell r="H4560">
            <v>62</v>
          </cell>
        </row>
        <row r="4561">
          <cell r="F4561">
            <v>9836.7199999999993</v>
          </cell>
          <cell r="G4561">
            <v>0</v>
          </cell>
          <cell r="H4561">
            <v>62</v>
          </cell>
        </row>
        <row r="4562">
          <cell r="F4562">
            <v>590.75</v>
          </cell>
          <cell r="G4562">
            <v>0</v>
          </cell>
          <cell r="H4562">
            <v>62</v>
          </cell>
        </row>
        <row r="4563">
          <cell r="F4563">
            <v>1687</v>
          </cell>
          <cell r="G4563">
            <v>0</v>
          </cell>
          <cell r="H4563">
            <v>62</v>
          </cell>
        </row>
        <row r="4564">
          <cell r="F4564">
            <v>663.79</v>
          </cell>
          <cell r="G4564">
            <v>0</v>
          </cell>
          <cell r="H4564">
            <v>62</v>
          </cell>
        </row>
        <row r="4565">
          <cell r="F4565">
            <v>470.02</v>
          </cell>
          <cell r="G4565">
            <v>0</v>
          </cell>
          <cell r="H4565">
            <v>62</v>
          </cell>
        </row>
        <row r="4566">
          <cell r="F4566">
            <v>3203.9599999999996</v>
          </cell>
          <cell r="G4566">
            <v>0</v>
          </cell>
          <cell r="H4566">
            <v>62</v>
          </cell>
        </row>
        <row r="4567">
          <cell r="F4567">
            <v>151.35</v>
          </cell>
          <cell r="G4567">
            <v>0</v>
          </cell>
          <cell r="H4567">
            <v>62</v>
          </cell>
        </row>
        <row r="4568">
          <cell r="F4568">
            <v>198</v>
          </cell>
          <cell r="G4568">
            <v>0</v>
          </cell>
          <cell r="H4568">
            <v>62</v>
          </cell>
        </row>
        <row r="4569">
          <cell r="F4569">
            <v>898.5</v>
          </cell>
          <cell r="G4569">
            <v>0</v>
          </cell>
          <cell r="H4569">
            <v>62</v>
          </cell>
        </row>
        <row r="4570">
          <cell r="F4570">
            <v>18799.32</v>
          </cell>
          <cell r="G4570">
            <v>0</v>
          </cell>
          <cell r="H4570">
            <v>62</v>
          </cell>
        </row>
        <row r="4571">
          <cell r="F4571">
            <v>479.75</v>
          </cell>
          <cell r="G4571">
            <v>0</v>
          </cell>
          <cell r="H4571">
            <v>62</v>
          </cell>
        </row>
        <row r="4572">
          <cell r="F4572">
            <v>1608.91</v>
          </cell>
          <cell r="G4572">
            <v>0</v>
          </cell>
          <cell r="H4572">
            <v>62</v>
          </cell>
        </row>
        <row r="4573">
          <cell r="F4573">
            <v>228.09</v>
          </cell>
          <cell r="G4573">
            <v>0</v>
          </cell>
          <cell r="H4573">
            <v>62</v>
          </cell>
        </row>
        <row r="4574">
          <cell r="F4574">
            <v>211.24</v>
          </cell>
          <cell r="G4574">
            <v>0</v>
          </cell>
          <cell r="H4574">
            <v>62</v>
          </cell>
        </row>
        <row r="4575">
          <cell r="F4575">
            <v>17.21</v>
          </cell>
          <cell r="G4575">
            <v>0</v>
          </cell>
          <cell r="H4575">
            <v>62</v>
          </cell>
        </row>
        <row r="4576">
          <cell r="F4576">
            <v>243.2</v>
          </cell>
          <cell r="G4576">
            <v>0</v>
          </cell>
          <cell r="H4576">
            <v>62</v>
          </cell>
        </row>
        <row r="4577">
          <cell r="F4577">
            <v>0.97</v>
          </cell>
          <cell r="G4577">
            <v>0</v>
          </cell>
          <cell r="H4577">
            <v>62</v>
          </cell>
        </row>
        <row r="4578">
          <cell r="F4578">
            <v>31.87</v>
          </cell>
          <cell r="G4578">
            <v>0</v>
          </cell>
          <cell r="H4578">
            <v>62</v>
          </cell>
        </row>
        <row r="4579">
          <cell r="F4579">
            <v>2588.34</v>
          </cell>
          <cell r="G4579">
            <v>0</v>
          </cell>
          <cell r="H4579">
            <v>62</v>
          </cell>
        </row>
        <row r="4580">
          <cell r="F4580">
            <v>106.75</v>
          </cell>
          <cell r="G4580">
            <v>0</v>
          </cell>
          <cell r="H4580">
            <v>62</v>
          </cell>
        </row>
        <row r="4581">
          <cell r="F4581">
            <v>579.03</v>
          </cell>
          <cell r="G4581">
            <v>0</v>
          </cell>
          <cell r="H4581">
            <v>62</v>
          </cell>
        </row>
        <row r="4582">
          <cell r="F4582">
            <v>2556.31</v>
          </cell>
          <cell r="G4582">
            <v>0</v>
          </cell>
          <cell r="H4582">
            <v>62</v>
          </cell>
        </row>
        <row r="4583">
          <cell r="F4583">
            <v>1336.89</v>
          </cell>
          <cell r="G4583">
            <v>0</v>
          </cell>
          <cell r="H4583">
            <v>62</v>
          </cell>
        </row>
        <row r="4584">
          <cell r="F4584">
            <v>0</v>
          </cell>
          <cell r="G4584">
            <v>0</v>
          </cell>
          <cell r="H4584">
            <v>62</v>
          </cell>
        </row>
        <row r="4585">
          <cell r="F4585">
            <v>354.82000000000005</v>
          </cell>
          <cell r="G4585">
            <v>0</v>
          </cell>
          <cell r="H4585">
            <v>62</v>
          </cell>
        </row>
        <row r="4586">
          <cell r="F4586">
            <v>140.47999999999999</v>
          </cell>
          <cell r="G4586">
            <v>0</v>
          </cell>
          <cell r="H4586">
            <v>62</v>
          </cell>
        </row>
        <row r="4587">
          <cell r="F4587">
            <v>503.07</v>
          </cell>
          <cell r="G4587">
            <v>0</v>
          </cell>
          <cell r="H4587">
            <v>62</v>
          </cell>
        </row>
        <row r="4588">
          <cell r="F4588">
            <v>548.91999999999996</v>
          </cell>
          <cell r="G4588">
            <v>0</v>
          </cell>
          <cell r="H4588">
            <v>62</v>
          </cell>
        </row>
        <row r="4589">
          <cell r="F4589">
            <v>376.26</v>
          </cell>
          <cell r="G4589">
            <v>0</v>
          </cell>
          <cell r="H4589">
            <v>62</v>
          </cell>
        </row>
        <row r="4590">
          <cell r="F4590">
            <v>0</v>
          </cell>
          <cell r="G4590">
            <v>0</v>
          </cell>
          <cell r="H4590">
            <v>62</v>
          </cell>
        </row>
        <row r="4591">
          <cell r="F4591">
            <v>184.07</v>
          </cell>
          <cell r="G4591">
            <v>0</v>
          </cell>
          <cell r="H4591">
            <v>62</v>
          </cell>
        </row>
        <row r="4592">
          <cell r="F4592">
            <v>5.49</v>
          </cell>
          <cell r="G4592">
            <v>0</v>
          </cell>
          <cell r="H4592">
            <v>62</v>
          </cell>
        </row>
        <row r="4593">
          <cell r="F4593">
            <v>392.42</v>
          </cell>
          <cell r="G4593">
            <v>0</v>
          </cell>
          <cell r="H4593">
            <v>62</v>
          </cell>
        </row>
        <row r="4594">
          <cell r="F4594">
            <v>45682.01</v>
          </cell>
          <cell r="G4594">
            <v>0</v>
          </cell>
          <cell r="H4594">
            <v>62</v>
          </cell>
        </row>
        <row r="4595">
          <cell r="F4595">
            <v>6108.7699999999995</v>
          </cell>
          <cell r="G4595">
            <v>0</v>
          </cell>
          <cell r="H4595">
            <v>62</v>
          </cell>
        </row>
        <row r="4596">
          <cell r="F4596">
            <v>670.91</v>
          </cell>
          <cell r="G4596">
            <v>0</v>
          </cell>
          <cell r="H4596">
            <v>62</v>
          </cell>
        </row>
        <row r="4597">
          <cell r="F4597">
            <v>31.7</v>
          </cell>
          <cell r="G4597">
            <v>0</v>
          </cell>
          <cell r="H4597">
            <v>62</v>
          </cell>
        </row>
        <row r="4598">
          <cell r="F4598">
            <v>84.85</v>
          </cell>
          <cell r="G4598">
            <v>0</v>
          </cell>
          <cell r="H4598">
            <v>62</v>
          </cell>
        </row>
        <row r="4599">
          <cell r="F4599">
            <v>847.56</v>
          </cell>
          <cell r="G4599">
            <v>0</v>
          </cell>
          <cell r="H4599">
            <v>62</v>
          </cell>
        </row>
        <row r="4600">
          <cell r="F4600">
            <v>1606.95</v>
          </cell>
          <cell r="G4600">
            <v>0</v>
          </cell>
          <cell r="H4600">
            <v>62</v>
          </cell>
        </row>
        <row r="4601">
          <cell r="F4601">
            <v>92.89</v>
          </cell>
          <cell r="G4601">
            <v>0</v>
          </cell>
          <cell r="H4601">
            <v>62</v>
          </cell>
        </row>
        <row r="4602">
          <cell r="F4602">
            <v>1006</v>
          </cell>
          <cell r="G4602">
            <v>0</v>
          </cell>
          <cell r="H4602">
            <v>62</v>
          </cell>
        </row>
        <row r="4603">
          <cell r="F4603">
            <v>76.44</v>
          </cell>
          <cell r="G4603">
            <v>0</v>
          </cell>
          <cell r="H4603">
            <v>62</v>
          </cell>
        </row>
        <row r="4604">
          <cell r="F4604">
            <v>29752.94</v>
          </cell>
          <cell r="G4604">
            <v>0</v>
          </cell>
          <cell r="H4604">
            <v>62</v>
          </cell>
        </row>
        <row r="4605">
          <cell r="F4605">
            <v>396</v>
          </cell>
          <cell r="G4605">
            <v>0</v>
          </cell>
          <cell r="H4605">
            <v>62</v>
          </cell>
        </row>
        <row r="4606">
          <cell r="F4606">
            <v>1234.0999999999999</v>
          </cell>
          <cell r="G4606">
            <v>0</v>
          </cell>
          <cell r="H4606">
            <v>62</v>
          </cell>
        </row>
        <row r="4607">
          <cell r="F4607">
            <v>61.72</v>
          </cell>
          <cell r="G4607">
            <v>0</v>
          </cell>
          <cell r="H4607">
            <v>62</v>
          </cell>
        </row>
        <row r="4608">
          <cell r="F4608">
            <v>1029.32</v>
          </cell>
          <cell r="G4608">
            <v>0</v>
          </cell>
          <cell r="H4608">
            <v>62</v>
          </cell>
        </row>
        <row r="4609">
          <cell r="F4609">
            <v>9.0299999999999994</v>
          </cell>
          <cell r="G4609">
            <v>0</v>
          </cell>
          <cell r="H4609">
            <v>62</v>
          </cell>
        </row>
        <row r="4610">
          <cell r="F4610">
            <v>126.07</v>
          </cell>
          <cell r="G4610">
            <v>0</v>
          </cell>
          <cell r="H4610">
            <v>62</v>
          </cell>
        </row>
        <row r="4611">
          <cell r="F4611">
            <v>6722.8</v>
          </cell>
          <cell r="G4611">
            <v>0</v>
          </cell>
          <cell r="H4611">
            <v>62</v>
          </cell>
        </row>
        <row r="4612">
          <cell r="F4612">
            <v>145.66</v>
          </cell>
          <cell r="G4612">
            <v>0</v>
          </cell>
          <cell r="H4612">
            <v>62</v>
          </cell>
        </row>
        <row r="4613">
          <cell r="F4613">
            <v>2192.9699999999998</v>
          </cell>
          <cell r="G4613">
            <v>0</v>
          </cell>
          <cell r="H4613">
            <v>62</v>
          </cell>
        </row>
        <row r="4614">
          <cell r="F4614">
            <v>0</v>
          </cell>
          <cell r="G4614">
            <v>0</v>
          </cell>
          <cell r="H4614">
            <v>62</v>
          </cell>
        </row>
        <row r="4615">
          <cell r="F4615">
            <v>708.68</v>
          </cell>
          <cell r="G4615">
            <v>0</v>
          </cell>
          <cell r="H4615">
            <v>62</v>
          </cell>
        </row>
        <row r="4616">
          <cell r="F4616">
            <v>349.51000000000005</v>
          </cell>
          <cell r="G4616">
            <v>0</v>
          </cell>
          <cell r="H4616">
            <v>62</v>
          </cell>
        </row>
        <row r="4617">
          <cell r="F4617">
            <v>2559.16</v>
          </cell>
          <cell r="G4617">
            <v>0</v>
          </cell>
          <cell r="H4617">
            <v>62</v>
          </cell>
        </row>
        <row r="4618">
          <cell r="F4618">
            <v>188.38</v>
          </cell>
          <cell r="G4618">
            <v>0</v>
          </cell>
          <cell r="H4618">
            <v>62</v>
          </cell>
        </row>
        <row r="4619">
          <cell r="F4619">
            <v>5168.54</v>
          </cell>
          <cell r="G4619">
            <v>0</v>
          </cell>
          <cell r="H4619">
            <v>62</v>
          </cell>
        </row>
        <row r="4620">
          <cell r="F4620">
            <v>3945</v>
          </cell>
          <cell r="G4620">
            <v>0</v>
          </cell>
          <cell r="H4620">
            <v>62</v>
          </cell>
        </row>
        <row r="4621">
          <cell r="F4621">
            <v>310.3</v>
          </cell>
          <cell r="G4621">
            <v>0</v>
          </cell>
          <cell r="H4621">
            <v>62</v>
          </cell>
        </row>
        <row r="4622">
          <cell r="F4622">
            <v>75.3</v>
          </cell>
          <cell r="G4622">
            <v>0</v>
          </cell>
          <cell r="H4622">
            <v>62</v>
          </cell>
        </row>
        <row r="4623">
          <cell r="F4623">
            <v>970.62</v>
          </cell>
          <cell r="G4623">
            <v>0</v>
          </cell>
          <cell r="H4623">
            <v>62</v>
          </cell>
        </row>
        <row r="4624">
          <cell r="F4624">
            <v>27.03</v>
          </cell>
          <cell r="G4624">
            <v>0</v>
          </cell>
          <cell r="H4624">
            <v>62</v>
          </cell>
        </row>
        <row r="4625">
          <cell r="F4625">
            <v>20540.199999999997</v>
          </cell>
          <cell r="G4625">
            <v>0</v>
          </cell>
          <cell r="H4625">
            <v>62</v>
          </cell>
        </row>
        <row r="4626">
          <cell r="F4626">
            <v>14381.28</v>
          </cell>
          <cell r="G4626">
            <v>0</v>
          </cell>
          <cell r="H4626">
            <v>62</v>
          </cell>
        </row>
        <row r="4627">
          <cell r="F4627">
            <v>2432.46</v>
          </cell>
          <cell r="G4627">
            <v>0</v>
          </cell>
          <cell r="H4627">
            <v>62</v>
          </cell>
        </row>
        <row r="4628">
          <cell r="F4628">
            <v>24657.03</v>
          </cell>
          <cell r="G4628">
            <v>0</v>
          </cell>
          <cell r="H4628">
            <v>62</v>
          </cell>
        </row>
        <row r="4629">
          <cell r="F4629">
            <v>37662.18</v>
          </cell>
          <cell r="G4629">
            <v>0</v>
          </cell>
          <cell r="H4629">
            <v>62</v>
          </cell>
        </row>
        <row r="4630">
          <cell r="F4630">
            <v>3431.35</v>
          </cell>
          <cell r="G4630">
            <v>0</v>
          </cell>
          <cell r="H4630">
            <v>62</v>
          </cell>
        </row>
        <row r="4631">
          <cell r="F4631">
            <v>11533.41</v>
          </cell>
          <cell r="G4631">
            <v>0</v>
          </cell>
          <cell r="H4631">
            <v>62</v>
          </cell>
        </row>
        <row r="4632">
          <cell r="F4632">
            <v>5085.46</v>
          </cell>
          <cell r="G4632">
            <v>0</v>
          </cell>
          <cell r="H4632">
            <v>62</v>
          </cell>
        </row>
        <row r="4633">
          <cell r="F4633">
            <v>6480.36</v>
          </cell>
          <cell r="G4633">
            <v>0</v>
          </cell>
          <cell r="H4633">
            <v>62</v>
          </cell>
        </row>
        <row r="4634">
          <cell r="F4634">
            <v>11942.09</v>
          </cell>
          <cell r="G4634">
            <v>0</v>
          </cell>
          <cell r="H4634">
            <v>62</v>
          </cell>
        </row>
        <row r="4635">
          <cell r="F4635">
            <v>3115.4</v>
          </cell>
          <cell r="G4635">
            <v>0</v>
          </cell>
          <cell r="H4635">
            <v>62</v>
          </cell>
        </row>
        <row r="4636">
          <cell r="F4636">
            <v>4335.9399999999996</v>
          </cell>
          <cell r="G4636">
            <v>0</v>
          </cell>
          <cell r="H4636">
            <v>62</v>
          </cell>
        </row>
        <row r="4637">
          <cell r="F4637">
            <v>37740.04</v>
          </cell>
          <cell r="G4637">
            <v>0</v>
          </cell>
          <cell r="H4637">
            <v>62</v>
          </cell>
        </row>
        <row r="4638">
          <cell r="F4638">
            <v>13985.41</v>
          </cell>
          <cell r="G4638">
            <v>0</v>
          </cell>
          <cell r="H4638">
            <v>62</v>
          </cell>
        </row>
        <row r="4639">
          <cell r="F4639">
            <v>19161.77</v>
          </cell>
          <cell r="G4639">
            <v>0</v>
          </cell>
          <cell r="H4639">
            <v>62</v>
          </cell>
        </row>
        <row r="4640">
          <cell r="F4640">
            <v>5451.24</v>
          </cell>
          <cell r="G4640">
            <v>0</v>
          </cell>
          <cell r="H4640">
            <v>62</v>
          </cell>
        </row>
        <row r="4641">
          <cell r="F4641">
            <v>30505.29</v>
          </cell>
          <cell r="G4641">
            <v>0</v>
          </cell>
          <cell r="H4641">
            <v>62</v>
          </cell>
        </row>
        <row r="4642">
          <cell r="F4642">
            <v>15939.35</v>
          </cell>
          <cell r="G4642">
            <v>0</v>
          </cell>
          <cell r="H4642">
            <v>62</v>
          </cell>
        </row>
        <row r="4643">
          <cell r="F4643">
            <v>8089.76</v>
          </cell>
          <cell r="G4643">
            <v>0</v>
          </cell>
          <cell r="H4643">
            <v>62</v>
          </cell>
        </row>
        <row r="4644">
          <cell r="F4644">
            <v>2301.9699999999998</v>
          </cell>
          <cell r="G4644">
            <v>0</v>
          </cell>
          <cell r="H4644">
            <v>62</v>
          </cell>
        </row>
        <row r="4645">
          <cell r="F4645">
            <v>842.6</v>
          </cell>
          <cell r="G4645">
            <v>0</v>
          </cell>
          <cell r="H4645">
            <v>62</v>
          </cell>
        </row>
        <row r="4646">
          <cell r="F4646">
            <v>5588.07</v>
          </cell>
          <cell r="G4646">
            <v>0</v>
          </cell>
          <cell r="H4646">
            <v>62</v>
          </cell>
        </row>
        <row r="4647">
          <cell r="F4647">
            <v>15447.580000000002</v>
          </cell>
          <cell r="G4647">
            <v>0</v>
          </cell>
          <cell r="H4647">
            <v>62</v>
          </cell>
        </row>
        <row r="4648">
          <cell r="F4648">
            <v>9491.4699999999993</v>
          </cell>
          <cell r="G4648">
            <v>0</v>
          </cell>
          <cell r="H4648">
            <v>62</v>
          </cell>
        </row>
        <row r="4649">
          <cell r="F4649">
            <v>7084.91</v>
          </cell>
          <cell r="G4649">
            <v>0</v>
          </cell>
          <cell r="H4649">
            <v>62</v>
          </cell>
        </row>
        <row r="4650">
          <cell r="F4650">
            <v>1403.5</v>
          </cell>
          <cell r="G4650">
            <v>0</v>
          </cell>
          <cell r="H4650">
            <v>62</v>
          </cell>
        </row>
        <row r="4651">
          <cell r="F4651">
            <v>1345.83</v>
          </cell>
          <cell r="G4651">
            <v>0</v>
          </cell>
          <cell r="H4651">
            <v>62</v>
          </cell>
        </row>
        <row r="4652">
          <cell r="F4652">
            <v>14465.17</v>
          </cell>
          <cell r="G4652">
            <v>0</v>
          </cell>
          <cell r="H4652">
            <v>62</v>
          </cell>
        </row>
        <row r="4653">
          <cell r="F4653">
            <v>1551.15</v>
          </cell>
          <cell r="G4653">
            <v>0</v>
          </cell>
          <cell r="H4653">
            <v>62</v>
          </cell>
        </row>
        <row r="4654">
          <cell r="F4654">
            <v>11021.18</v>
          </cell>
          <cell r="G4654">
            <v>0</v>
          </cell>
          <cell r="H4654">
            <v>62</v>
          </cell>
        </row>
        <row r="4655">
          <cell r="F4655">
            <v>5080.87</v>
          </cell>
          <cell r="G4655">
            <v>0</v>
          </cell>
          <cell r="H4655">
            <v>62</v>
          </cell>
        </row>
        <row r="4656">
          <cell r="F4656">
            <v>13622.23</v>
          </cell>
          <cell r="G4656">
            <v>0</v>
          </cell>
          <cell r="H4656">
            <v>62</v>
          </cell>
        </row>
        <row r="4657">
          <cell r="F4657">
            <v>10179.65</v>
          </cell>
          <cell r="G4657">
            <v>0</v>
          </cell>
          <cell r="H4657">
            <v>62</v>
          </cell>
        </row>
        <row r="4658">
          <cell r="F4658">
            <v>7256.89</v>
          </cell>
          <cell r="G4658">
            <v>0</v>
          </cell>
          <cell r="H4658">
            <v>62</v>
          </cell>
        </row>
        <row r="4659">
          <cell r="F4659">
            <v>3493.18</v>
          </cell>
          <cell r="G4659">
            <v>0</v>
          </cell>
          <cell r="H4659">
            <v>62</v>
          </cell>
        </row>
        <row r="4660">
          <cell r="F4660">
            <v>1083.31</v>
          </cell>
          <cell r="G4660">
            <v>0</v>
          </cell>
          <cell r="H4660">
            <v>62</v>
          </cell>
        </row>
        <row r="4661">
          <cell r="F4661">
            <v>13263.29</v>
          </cell>
          <cell r="G4661">
            <v>0</v>
          </cell>
          <cell r="H4661">
            <v>62</v>
          </cell>
        </row>
        <row r="4662">
          <cell r="F4662">
            <v>14564.56</v>
          </cell>
          <cell r="G4662">
            <v>0</v>
          </cell>
          <cell r="H4662">
            <v>62</v>
          </cell>
        </row>
        <row r="4663">
          <cell r="F4663">
            <v>26580.560000000001</v>
          </cell>
          <cell r="G4663">
            <v>0</v>
          </cell>
          <cell r="H4663">
            <v>62</v>
          </cell>
        </row>
        <row r="4664">
          <cell r="F4664">
            <v>1277.96</v>
          </cell>
          <cell r="G4664">
            <v>0</v>
          </cell>
          <cell r="H4664">
            <v>62</v>
          </cell>
        </row>
        <row r="4665">
          <cell r="F4665">
            <v>1513.73</v>
          </cell>
          <cell r="G4665">
            <v>0</v>
          </cell>
          <cell r="H4665">
            <v>62</v>
          </cell>
        </row>
        <row r="4666">
          <cell r="F4666">
            <v>40661.230000000003</v>
          </cell>
          <cell r="G4666">
            <v>0</v>
          </cell>
          <cell r="H4666">
            <v>62</v>
          </cell>
        </row>
        <row r="4667">
          <cell r="F4667">
            <v>2247.42</v>
          </cell>
          <cell r="G4667">
            <v>0</v>
          </cell>
          <cell r="H4667">
            <v>62</v>
          </cell>
        </row>
        <row r="4668">
          <cell r="F4668">
            <v>2842.01</v>
          </cell>
          <cell r="G4668">
            <v>0</v>
          </cell>
          <cell r="H4668">
            <v>62</v>
          </cell>
        </row>
        <row r="4669">
          <cell r="F4669">
            <v>1171.23</v>
          </cell>
          <cell r="G4669">
            <v>0</v>
          </cell>
          <cell r="H4669">
            <v>62</v>
          </cell>
        </row>
        <row r="4670">
          <cell r="F4670">
            <v>4643.49</v>
          </cell>
          <cell r="G4670">
            <v>0</v>
          </cell>
          <cell r="H4670">
            <v>62</v>
          </cell>
        </row>
        <row r="4671">
          <cell r="F4671">
            <v>20970.41</v>
          </cell>
          <cell r="G4671">
            <v>0</v>
          </cell>
          <cell r="H4671">
            <v>62</v>
          </cell>
        </row>
        <row r="4672">
          <cell r="F4672">
            <v>11428.46</v>
          </cell>
          <cell r="G4672">
            <v>0</v>
          </cell>
          <cell r="H4672">
            <v>62</v>
          </cell>
        </row>
        <row r="4673">
          <cell r="F4673">
            <v>26991.360000000001</v>
          </cell>
          <cell r="G4673">
            <v>0</v>
          </cell>
          <cell r="H4673">
            <v>62</v>
          </cell>
        </row>
        <row r="4674">
          <cell r="F4674">
            <v>910.97</v>
          </cell>
          <cell r="G4674">
            <v>0</v>
          </cell>
          <cell r="H4674">
            <v>62</v>
          </cell>
        </row>
        <row r="4675">
          <cell r="F4675">
            <v>7929.74</v>
          </cell>
          <cell r="G4675">
            <v>0</v>
          </cell>
          <cell r="H4675">
            <v>62</v>
          </cell>
        </row>
        <row r="4676">
          <cell r="F4676">
            <v>11096.8</v>
          </cell>
          <cell r="G4676">
            <v>0</v>
          </cell>
          <cell r="H4676">
            <v>62</v>
          </cell>
        </row>
        <row r="4677">
          <cell r="F4677">
            <v>677.75</v>
          </cell>
          <cell r="G4677">
            <v>0</v>
          </cell>
          <cell r="H4677">
            <v>62</v>
          </cell>
        </row>
        <row r="4678">
          <cell r="F4678">
            <v>947</v>
          </cell>
          <cell r="G4678">
            <v>0</v>
          </cell>
          <cell r="H4678">
            <v>62</v>
          </cell>
        </row>
        <row r="4679">
          <cell r="F4679">
            <v>11686.9</v>
          </cell>
          <cell r="G4679">
            <v>0</v>
          </cell>
          <cell r="H4679">
            <v>62</v>
          </cell>
        </row>
        <row r="4680">
          <cell r="F4680">
            <v>10331.59</v>
          </cell>
          <cell r="G4680">
            <v>0</v>
          </cell>
          <cell r="H4680">
            <v>62</v>
          </cell>
        </row>
        <row r="4681">
          <cell r="F4681">
            <v>437.93</v>
          </cell>
          <cell r="G4681">
            <v>0</v>
          </cell>
          <cell r="H4681">
            <v>62</v>
          </cell>
        </row>
        <row r="4682">
          <cell r="F4682">
            <v>787.79</v>
          </cell>
          <cell r="G4682">
            <v>0</v>
          </cell>
          <cell r="H4682">
            <v>62</v>
          </cell>
        </row>
        <row r="4683">
          <cell r="F4683">
            <v>9902.0499999999993</v>
          </cell>
          <cell r="G4683">
            <v>0</v>
          </cell>
          <cell r="H4683">
            <v>62</v>
          </cell>
        </row>
        <row r="4684">
          <cell r="F4684">
            <v>5611.52</v>
          </cell>
          <cell r="G4684">
            <v>0</v>
          </cell>
          <cell r="H4684">
            <v>62</v>
          </cell>
        </row>
        <row r="4685">
          <cell r="F4685">
            <v>4628.1499999999996</v>
          </cell>
          <cell r="G4685">
            <v>0</v>
          </cell>
          <cell r="H4685">
            <v>62</v>
          </cell>
        </row>
        <row r="4686">
          <cell r="F4686">
            <v>11662.63</v>
          </cell>
          <cell r="G4686">
            <v>0</v>
          </cell>
          <cell r="H4686">
            <v>62</v>
          </cell>
        </row>
        <row r="4687">
          <cell r="F4687">
            <v>4078.45</v>
          </cell>
          <cell r="G4687">
            <v>0</v>
          </cell>
          <cell r="H4687">
            <v>62</v>
          </cell>
        </row>
        <row r="4688">
          <cell r="F4688">
            <v>9557.93</v>
          </cell>
          <cell r="G4688">
            <v>0</v>
          </cell>
          <cell r="H4688">
            <v>62</v>
          </cell>
        </row>
        <row r="4689">
          <cell r="F4689">
            <v>451.44</v>
          </cell>
          <cell r="G4689">
            <v>0</v>
          </cell>
          <cell r="H4689">
            <v>62</v>
          </cell>
        </row>
        <row r="4690">
          <cell r="F4690">
            <v>27884.71</v>
          </cell>
          <cell r="G4690">
            <v>0</v>
          </cell>
          <cell r="H4690">
            <v>62</v>
          </cell>
        </row>
        <row r="4691">
          <cell r="F4691">
            <v>42021.79</v>
          </cell>
          <cell r="G4691">
            <v>0</v>
          </cell>
          <cell r="H4691">
            <v>62</v>
          </cell>
        </row>
        <row r="4692">
          <cell r="F4692">
            <v>32027.890000000003</v>
          </cell>
          <cell r="G4692">
            <v>0</v>
          </cell>
          <cell r="H4692">
            <v>62</v>
          </cell>
        </row>
        <row r="4693">
          <cell r="F4693">
            <v>7101.85</v>
          </cell>
          <cell r="G4693">
            <v>0</v>
          </cell>
          <cell r="H4693">
            <v>62</v>
          </cell>
        </row>
        <row r="4694">
          <cell r="F4694">
            <v>31557.479999999996</v>
          </cell>
          <cell r="G4694">
            <v>0</v>
          </cell>
          <cell r="H4694">
            <v>62</v>
          </cell>
        </row>
        <row r="4695">
          <cell r="F4695">
            <v>12400.96</v>
          </cell>
          <cell r="G4695">
            <v>0</v>
          </cell>
          <cell r="H4695">
            <v>62</v>
          </cell>
        </row>
        <row r="4696">
          <cell r="F4696">
            <v>21854.6</v>
          </cell>
          <cell r="G4696">
            <v>0</v>
          </cell>
          <cell r="H4696">
            <v>62</v>
          </cell>
        </row>
        <row r="4697">
          <cell r="F4697">
            <v>3643.86</v>
          </cell>
          <cell r="G4697">
            <v>0</v>
          </cell>
          <cell r="H4697">
            <v>62</v>
          </cell>
        </row>
        <row r="4698">
          <cell r="F4698">
            <v>6044.41</v>
          </cell>
          <cell r="G4698">
            <v>0</v>
          </cell>
          <cell r="H4698">
            <v>62</v>
          </cell>
        </row>
        <row r="4699">
          <cell r="F4699">
            <v>43075.32</v>
          </cell>
          <cell r="G4699">
            <v>0</v>
          </cell>
          <cell r="H4699">
            <v>62</v>
          </cell>
        </row>
        <row r="4700">
          <cell r="F4700">
            <v>757.94</v>
          </cell>
          <cell r="G4700">
            <v>0</v>
          </cell>
          <cell r="H4700">
            <v>62</v>
          </cell>
        </row>
        <row r="4701">
          <cell r="F4701">
            <v>14750.61</v>
          </cell>
          <cell r="G4701">
            <v>0</v>
          </cell>
          <cell r="H4701">
            <v>62</v>
          </cell>
        </row>
        <row r="4702">
          <cell r="F4702">
            <v>2827.95</v>
          </cell>
          <cell r="G4702">
            <v>0</v>
          </cell>
          <cell r="H4702">
            <v>62</v>
          </cell>
        </row>
        <row r="4703">
          <cell r="F4703">
            <v>3741.02</v>
          </cell>
          <cell r="G4703">
            <v>0</v>
          </cell>
          <cell r="H4703">
            <v>62</v>
          </cell>
        </row>
        <row r="4704">
          <cell r="F4704">
            <v>11877.39</v>
          </cell>
          <cell r="G4704">
            <v>0</v>
          </cell>
          <cell r="H4704">
            <v>62</v>
          </cell>
        </row>
        <row r="4705">
          <cell r="F4705">
            <v>1643.6</v>
          </cell>
          <cell r="G4705">
            <v>0</v>
          </cell>
          <cell r="H4705">
            <v>62</v>
          </cell>
        </row>
        <row r="4706">
          <cell r="F4706">
            <v>4489.29</v>
          </cell>
          <cell r="G4706">
            <v>0</v>
          </cell>
          <cell r="H4706">
            <v>62</v>
          </cell>
        </row>
        <row r="4707">
          <cell r="F4707">
            <v>1078.54</v>
          </cell>
          <cell r="G4707">
            <v>0</v>
          </cell>
          <cell r="H4707">
            <v>62</v>
          </cell>
        </row>
        <row r="4708">
          <cell r="F4708">
            <v>8347.19</v>
          </cell>
          <cell r="G4708">
            <v>0</v>
          </cell>
          <cell r="H4708">
            <v>62</v>
          </cell>
        </row>
        <row r="4709">
          <cell r="F4709">
            <v>1237.93</v>
          </cell>
          <cell r="G4709">
            <v>0</v>
          </cell>
          <cell r="H4709">
            <v>62</v>
          </cell>
        </row>
        <row r="4710">
          <cell r="F4710">
            <v>3954.65</v>
          </cell>
          <cell r="G4710">
            <v>0</v>
          </cell>
          <cell r="H4710">
            <v>62</v>
          </cell>
        </row>
        <row r="4711">
          <cell r="F4711">
            <v>1309.3599999999999</v>
          </cell>
          <cell r="G4711">
            <v>0</v>
          </cell>
          <cell r="H4711">
            <v>62</v>
          </cell>
        </row>
        <row r="4712">
          <cell r="F4712">
            <v>14878.55</v>
          </cell>
          <cell r="G4712">
            <v>0</v>
          </cell>
          <cell r="H4712">
            <v>62</v>
          </cell>
        </row>
        <row r="4713">
          <cell r="F4713">
            <v>1371.87</v>
          </cell>
          <cell r="G4713">
            <v>0</v>
          </cell>
          <cell r="H4713">
            <v>62</v>
          </cell>
        </row>
        <row r="4714">
          <cell r="F4714">
            <v>2258.88</v>
          </cell>
          <cell r="G4714">
            <v>0</v>
          </cell>
          <cell r="H4714">
            <v>62</v>
          </cell>
        </row>
        <row r="4715">
          <cell r="F4715">
            <v>3637.74</v>
          </cell>
          <cell r="G4715">
            <v>0</v>
          </cell>
          <cell r="H4715">
            <v>62</v>
          </cell>
        </row>
        <row r="4716">
          <cell r="F4716">
            <v>4034.45</v>
          </cell>
          <cell r="G4716">
            <v>0</v>
          </cell>
          <cell r="H4716">
            <v>62</v>
          </cell>
        </row>
        <row r="4717">
          <cell r="F4717">
            <v>2298.89</v>
          </cell>
          <cell r="G4717">
            <v>0</v>
          </cell>
          <cell r="H4717">
            <v>62</v>
          </cell>
        </row>
        <row r="4718">
          <cell r="F4718">
            <v>1850.7500000000002</v>
          </cell>
          <cell r="G4718">
            <v>0</v>
          </cell>
          <cell r="H4718">
            <v>62</v>
          </cell>
        </row>
        <row r="4719">
          <cell r="F4719">
            <v>9282.7199999999993</v>
          </cell>
          <cell r="G4719">
            <v>0</v>
          </cell>
          <cell r="H4719">
            <v>62</v>
          </cell>
        </row>
        <row r="4720">
          <cell r="F4720">
            <v>1859.43</v>
          </cell>
          <cell r="G4720">
            <v>0</v>
          </cell>
          <cell r="H4720">
            <v>62</v>
          </cell>
        </row>
        <row r="4721">
          <cell r="F4721">
            <v>2543.4299999999998</v>
          </cell>
          <cell r="G4721">
            <v>0</v>
          </cell>
          <cell r="H4721">
            <v>62</v>
          </cell>
        </row>
        <row r="4722">
          <cell r="F4722">
            <v>2135.84</v>
          </cell>
          <cell r="G4722">
            <v>0</v>
          </cell>
          <cell r="H4722">
            <v>62</v>
          </cell>
        </row>
        <row r="4723">
          <cell r="F4723">
            <v>1447.63</v>
          </cell>
          <cell r="G4723">
            <v>0</v>
          </cell>
          <cell r="H4723">
            <v>62</v>
          </cell>
        </row>
        <row r="4724">
          <cell r="F4724">
            <v>1752.68</v>
          </cell>
          <cell r="G4724">
            <v>0</v>
          </cell>
          <cell r="H4724">
            <v>62</v>
          </cell>
        </row>
        <row r="4725">
          <cell r="F4725">
            <v>2619.71</v>
          </cell>
          <cell r="G4725">
            <v>0</v>
          </cell>
          <cell r="H4725">
            <v>62</v>
          </cell>
        </row>
        <row r="4726">
          <cell r="F4726">
            <v>11174.03</v>
          </cell>
          <cell r="G4726">
            <v>0</v>
          </cell>
          <cell r="H4726">
            <v>62</v>
          </cell>
        </row>
        <row r="4727">
          <cell r="F4727">
            <v>1126.56</v>
          </cell>
          <cell r="G4727">
            <v>0</v>
          </cell>
          <cell r="H4727">
            <v>62</v>
          </cell>
        </row>
        <row r="4728">
          <cell r="F4728">
            <v>11532.54</v>
          </cell>
          <cell r="G4728">
            <v>0</v>
          </cell>
          <cell r="H4728">
            <v>62</v>
          </cell>
        </row>
        <row r="4729">
          <cell r="F4729">
            <v>11125.47</v>
          </cell>
          <cell r="G4729">
            <v>0</v>
          </cell>
          <cell r="H4729">
            <v>62</v>
          </cell>
        </row>
        <row r="4730">
          <cell r="F4730">
            <v>8631.9500000000007</v>
          </cell>
          <cell r="G4730">
            <v>0</v>
          </cell>
          <cell r="H4730">
            <v>62</v>
          </cell>
        </row>
        <row r="4731">
          <cell r="F4731">
            <v>35406.1</v>
          </cell>
          <cell r="G4731">
            <v>0</v>
          </cell>
          <cell r="H4731">
            <v>62</v>
          </cell>
        </row>
        <row r="4732">
          <cell r="F4732">
            <v>973.8</v>
          </cell>
          <cell r="G4732">
            <v>0</v>
          </cell>
          <cell r="H4732">
            <v>62</v>
          </cell>
        </row>
        <row r="4733">
          <cell r="F4733">
            <v>19014.809999999998</v>
          </cell>
          <cell r="G4733">
            <v>0</v>
          </cell>
          <cell r="H4733">
            <v>62</v>
          </cell>
        </row>
        <row r="4734">
          <cell r="F4734">
            <v>1014.15</v>
          </cell>
          <cell r="G4734">
            <v>0</v>
          </cell>
          <cell r="H4734">
            <v>62</v>
          </cell>
        </row>
        <row r="4735">
          <cell r="F4735">
            <v>27531.599999999999</v>
          </cell>
          <cell r="G4735">
            <v>0</v>
          </cell>
          <cell r="H4735">
            <v>62</v>
          </cell>
        </row>
        <row r="4736">
          <cell r="F4736">
            <v>884.03</v>
          </cell>
          <cell r="G4736">
            <v>0</v>
          </cell>
          <cell r="H4736">
            <v>62</v>
          </cell>
        </row>
        <row r="4737">
          <cell r="F4737">
            <v>42392.81</v>
          </cell>
          <cell r="G4737">
            <v>0</v>
          </cell>
          <cell r="H4737">
            <v>62</v>
          </cell>
        </row>
        <row r="4738">
          <cell r="F4738">
            <v>22717.200000000001</v>
          </cell>
          <cell r="G4738">
            <v>0</v>
          </cell>
          <cell r="H4738">
            <v>62</v>
          </cell>
        </row>
        <row r="4739">
          <cell r="F4739">
            <v>24657.24</v>
          </cell>
          <cell r="G4739">
            <v>0</v>
          </cell>
          <cell r="H4739">
            <v>62</v>
          </cell>
        </row>
        <row r="4740">
          <cell r="F4740">
            <v>6069.11</v>
          </cell>
          <cell r="G4740">
            <v>0</v>
          </cell>
          <cell r="H4740">
            <v>62</v>
          </cell>
        </row>
        <row r="4741">
          <cell r="F4741">
            <v>17114.2</v>
          </cell>
          <cell r="G4741">
            <v>0</v>
          </cell>
          <cell r="H4741">
            <v>62</v>
          </cell>
        </row>
        <row r="4742">
          <cell r="F4742">
            <v>11303.94</v>
          </cell>
          <cell r="G4742">
            <v>0</v>
          </cell>
          <cell r="H4742">
            <v>62</v>
          </cell>
        </row>
        <row r="4743">
          <cell r="F4743">
            <v>1345.84</v>
          </cell>
          <cell r="G4743">
            <v>0</v>
          </cell>
          <cell r="H4743">
            <v>62</v>
          </cell>
        </row>
        <row r="4744">
          <cell r="F4744">
            <v>18703.75</v>
          </cell>
          <cell r="G4744">
            <v>0</v>
          </cell>
          <cell r="H4744">
            <v>62</v>
          </cell>
        </row>
        <row r="4745">
          <cell r="F4745">
            <v>2017.95</v>
          </cell>
          <cell r="G4745">
            <v>0</v>
          </cell>
          <cell r="H4745">
            <v>62</v>
          </cell>
        </row>
        <row r="4746">
          <cell r="F4746">
            <v>2836.4</v>
          </cell>
          <cell r="G4746">
            <v>0</v>
          </cell>
          <cell r="H4746">
            <v>62</v>
          </cell>
        </row>
        <row r="4747">
          <cell r="F4747">
            <v>7478.89</v>
          </cell>
          <cell r="G4747">
            <v>0</v>
          </cell>
          <cell r="H4747">
            <v>62</v>
          </cell>
        </row>
        <row r="4748">
          <cell r="F4748">
            <v>3506.58</v>
          </cell>
          <cell r="G4748">
            <v>0</v>
          </cell>
          <cell r="H4748">
            <v>62</v>
          </cell>
        </row>
        <row r="4749">
          <cell r="F4749">
            <v>31796.67</v>
          </cell>
          <cell r="G4749">
            <v>0</v>
          </cell>
          <cell r="H4749">
            <v>62</v>
          </cell>
        </row>
        <row r="4750">
          <cell r="F4750">
            <v>10865.77</v>
          </cell>
          <cell r="G4750">
            <v>0</v>
          </cell>
          <cell r="H4750">
            <v>62</v>
          </cell>
        </row>
        <row r="4751">
          <cell r="F4751">
            <v>10148.56</v>
          </cell>
          <cell r="G4751">
            <v>0</v>
          </cell>
          <cell r="H4751">
            <v>62</v>
          </cell>
        </row>
        <row r="4752">
          <cell r="F4752">
            <v>1975.92</v>
          </cell>
          <cell r="G4752">
            <v>0</v>
          </cell>
          <cell r="H4752">
            <v>62</v>
          </cell>
        </row>
        <row r="4753">
          <cell r="F4753">
            <v>1287.22</v>
          </cell>
          <cell r="G4753">
            <v>0</v>
          </cell>
          <cell r="H4753">
            <v>62</v>
          </cell>
        </row>
        <row r="4754">
          <cell r="F4754">
            <v>6253.94</v>
          </cell>
          <cell r="G4754">
            <v>0</v>
          </cell>
          <cell r="H4754">
            <v>62</v>
          </cell>
        </row>
        <row r="4755">
          <cell r="F4755">
            <v>6160.33</v>
          </cell>
          <cell r="G4755">
            <v>0</v>
          </cell>
          <cell r="H4755">
            <v>62</v>
          </cell>
        </row>
        <row r="4756">
          <cell r="F4756">
            <v>603.92999999999995</v>
          </cell>
          <cell r="G4756">
            <v>0</v>
          </cell>
          <cell r="H4756">
            <v>62</v>
          </cell>
        </row>
        <row r="4757">
          <cell r="F4757">
            <v>14828.13</v>
          </cell>
          <cell r="G4757">
            <v>0</v>
          </cell>
          <cell r="H4757">
            <v>62</v>
          </cell>
        </row>
        <row r="4758">
          <cell r="F4758">
            <v>1928.59</v>
          </cell>
          <cell r="G4758">
            <v>0</v>
          </cell>
          <cell r="H4758">
            <v>62</v>
          </cell>
        </row>
        <row r="4759">
          <cell r="F4759">
            <v>6819.88</v>
          </cell>
          <cell r="G4759">
            <v>0</v>
          </cell>
          <cell r="H4759">
            <v>62</v>
          </cell>
        </row>
        <row r="4760">
          <cell r="F4760">
            <v>9736.43</v>
          </cell>
          <cell r="G4760">
            <v>0</v>
          </cell>
          <cell r="H4760">
            <v>62</v>
          </cell>
        </row>
        <row r="4761">
          <cell r="F4761">
            <v>12717.34</v>
          </cell>
          <cell r="G4761">
            <v>0</v>
          </cell>
          <cell r="H4761">
            <v>62</v>
          </cell>
        </row>
        <row r="4762">
          <cell r="F4762">
            <v>5898</v>
          </cell>
          <cell r="G4762">
            <v>0</v>
          </cell>
          <cell r="H4762">
            <v>62</v>
          </cell>
        </row>
        <row r="4763">
          <cell r="F4763">
            <v>62195.090000000004</v>
          </cell>
          <cell r="G4763">
            <v>0</v>
          </cell>
          <cell r="H4763">
            <v>62</v>
          </cell>
        </row>
        <row r="4764">
          <cell r="F4764">
            <v>16677.16</v>
          </cell>
          <cell r="G4764">
            <v>0</v>
          </cell>
          <cell r="H4764">
            <v>62</v>
          </cell>
        </row>
        <row r="4765">
          <cell r="F4765">
            <v>5919.24</v>
          </cell>
          <cell r="G4765">
            <v>0</v>
          </cell>
          <cell r="H4765">
            <v>62</v>
          </cell>
        </row>
        <row r="4766">
          <cell r="F4766">
            <v>670.75</v>
          </cell>
          <cell r="G4766">
            <v>0</v>
          </cell>
          <cell r="H4766">
            <v>62</v>
          </cell>
        </row>
        <row r="4767">
          <cell r="F4767">
            <v>2979.31</v>
          </cell>
          <cell r="G4767">
            <v>0</v>
          </cell>
          <cell r="H4767">
            <v>62</v>
          </cell>
        </row>
        <row r="4768">
          <cell r="F4768">
            <v>5244.37</v>
          </cell>
          <cell r="G4768">
            <v>0</v>
          </cell>
          <cell r="H4768">
            <v>62</v>
          </cell>
        </row>
        <row r="4769">
          <cell r="F4769">
            <v>1829.87</v>
          </cell>
          <cell r="G4769">
            <v>0</v>
          </cell>
          <cell r="H4769">
            <v>62</v>
          </cell>
        </row>
        <row r="4770">
          <cell r="F4770">
            <v>91.79</v>
          </cell>
          <cell r="G4770">
            <v>0</v>
          </cell>
          <cell r="H4770">
            <v>62</v>
          </cell>
        </row>
        <row r="4771">
          <cell r="F4771">
            <v>5967.45</v>
          </cell>
          <cell r="G4771">
            <v>0</v>
          </cell>
          <cell r="H4771">
            <v>62</v>
          </cell>
        </row>
        <row r="4772">
          <cell r="F4772">
            <v>2669</v>
          </cell>
          <cell r="G4772">
            <v>0</v>
          </cell>
          <cell r="H4772">
            <v>62</v>
          </cell>
        </row>
        <row r="4773">
          <cell r="F4773">
            <v>1514.23</v>
          </cell>
          <cell r="G4773">
            <v>0</v>
          </cell>
          <cell r="H4773">
            <v>62</v>
          </cell>
        </row>
        <row r="4774">
          <cell r="F4774">
            <v>3458.02</v>
          </cell>
          <cell r="G4774">
            <v>0</v>
          </cell>
          <cell r="H4774">
            <v>62</v>
          </cell>
        </row>
        <row r="4775">
          <cell r="F4775">
            <v>6658.89</v>
          </cell>
          <cell r="G4775">
            <v>0</v>
          </cell>
          <cell r="H4775">
            <v>62</v>
          </cell>
        </row>
        <row r="4776">
          <cell r="F4776">
            <v>12448.1</v>
          </cell>
          <cell r="G4776">
            <v>0</v>
          </cell>
          <cell r="H4776">
            <v>62</v>
          </cell>
        </row>
        <row r="4777">
          <cell r="F4777">
            <v>54.88</v>
          </cell>
          <cell r="G4777">
            <v>0</v>
          </cell>
          <cell r="H4777">
            <v>62</v>
          </cell>
        </row>
        <row r="4778">
          <cell r="F4778">
            <v>2834.74</v>
          </cell>
          <cell r="G4778">
            <v>0</v>
          </cell>
          <cell r="H4778">
            <v>62</v>
          </cell>
        </row>
        <row r="4779">
          <cell r="F4779">
            <v>21.44</v>
          </cell>
          <cell r="G4779">
            <v>0</v>
          </cell>
          <cell r="H4779">
            <v>62</v>
          </cell>
        </row>
        <row r="4780">
          <cell r="F4780">
            <v>763.09</v>
          </cell>
          <cell r="G4780">
            <v>0</v>
          </cell>
          <cell r="H4780">
            <v>62</v>
          </cell>
        </row>
        <row r="4781">
          <cell r="F4781">
            <v>14646.08</v>
          </cell>
          <cell r="G4781">
            <v>0</v>
          </cell>
          <cell r="H4781">
            <v>62</v>
          </cell>
        </row>
        <row r="4782">
          <cell r="F4782">
            <v>1595.14</v>
          </cell>
          <cell r="G4782">
            <v>0</v>
          </cell>
          <cell r="H4782">
            <v>62</v>
          </cell>
        </row>
        <row r="4783">
          <cell r="F4783">
            <v>1126.3</v>
          </cell>
          <cell r="G4783">
            <v>0</v>
          </cell>
          <cell r="H4783">
            <v>62</v>
          </cell>
        </row>
        <row r="4784">
          <cell r="F4784">
            <v>1669.56</v>
          </cell>
          <cell r="G4784">
            <v>0</v>
          </cell>
          <cell r="H4784">
            <v>62</v>
          </cell>
        </row>
        <row r="4785">
          <cell r="F4785">
            <v>3138.9</v>
          </cell>
          <cell r="G4785">
            <v>0</v>
          </cell>
          <cell r="H4785">
            <v>62</v>
          </cell>
        </row>
        <row r="4786">
          <cell r="F4786">
            <v>4848.8900000000003</v>
          </cell>
          <cell r="G4786">
            <v>0</v>
          </cell>
          <cell r="H4786">
            <v>62</v>
          </cell>
        </row>
        <row r="4787">
          <cell r="F4787">
            <v>7467.58</v>
          </cell>
          <cell r="G4787">
            <v>0</v>
          </cell>
          <cell r="H4787">
            <v>62</v>
          </cell>
        </row>
        <row r="4788">
          <cell r="F4788">
            <v>695.24</v>
          </cell>
          <cell r="G4788">
            <v>0</v>
          </cell>
          <cell r="H4788">
            <v>62</v>
          </cell>
        </row>
        <row r="4789">
          <cell r="F4789">
            <v>3316.98</v>
          </cell>
          <cell r="G4789">
            <v>0</v>
          </cell>
          <cell r="H4789">
            <v>62</v>
          </cell>
        </row>
        <row r="4790">
          <cell r="F4790">
            <v>16717.7</v>
          </cell>
          <cell r="G4790">
            <v>0</v>
          </cell>
          <cell r="H4790">
            <v>62</v>
          </cell>
        </row>
        <row r="4791">
          <cell r="F4791">
            <v>4237</v>
          </cell>
          <cell r="G4791">
            <v>0</v>
          </cell>
          <cell r="H4791">
            <v>62</v>
          </cell>
        </row>
        <row r="4792">
          <cell r="F4792">
            <v>3915.48</v>
          </cell>
          <cell r="G4792">
            <v>0</v>
          </cell>
          <cell r="H4792">
            <v>62</v>
          </cell>
        </row>
        <row r="4793">
          <cell r="F4793">
            <v>1913.7</v>
          </cell>
          <cell r="G4793">
            <v>0</v>
          </cell>
          <cell r="H4793">
            <v>62</v>
          </cell>
        </row>
        <row r="4794">
          <cell r="F4794">
            <v>2220.04</v>
          </cell>
          <cell r="G4794">
            <v>0</v>
          </cell>
          <cell r="H4794">
            <v>62</v>
          </cell>
        </row>
        <row r="4795">
          <cell r="F4795">
            <v>7657.6</v>
          </cell>
          <cell r="G4795">
            <v>0</v>
          </cell>
          <cell r="H4795">
            <v>62</v>
          </cell>
        </row>
        <row r="4796">
          <cell r="F4796">
            <v>526.83000000000004</v>
          </cell>
          <cell r="G4796">
            <v>0</v>
          </cell>
          <cell r="H4796">
            <v>62</v>
          </cell>
        </row>
        <row r="4797">
          <cell r="F4797">
            <v>4668.82</v>
          </cell>
          <cell r="G4797">
            <v>0</v>
          </cell>
          <cell r="H4797">
            <v>62</v>
          </cell>
        </row>
        <row r="4798">
          <cell r="F4798">
            <v>2293.85</v>
          </cell>
          <cell r="G4798">
            <v>0</v>
          </cell>
          <cell r="H4798">
            <v>62</v>
          </cell>
        </row>
        <row r="4799">
          <cell r="F4799">
            <v>10445.76</v>
          </cell>
          <cell r="G4799">
            <v>0</v>
          </cell>
          <cell r="H4799">
            <v>62</v>
          </cell>
        </row>
        <row r="4800">
          <cell r="F4800">
            <v>402.07</v>
          </cell>
          <cell r="G4800">
            <v>0</v>
          </cell>
          <cell r="H4800">
            <v>62</v>
          </cell>
        </row>
        <row r="4801">
          <cell r="F4801">
            <v>590.09</v>
          </cell>
          <cell r="G4801">
            <v>0</v>
          </cell>
          <cell r="H4801">
            <v>62</v>
          </cell>
        </row>
        <row r="4802">
          <cell r="F4802">
            <v>4428.24</v>
          </cell>
          <cell r="G4802">
            <v>0</v>
          </cell>
          <cell r="H4802">
            <v>62</v>
          </cell>
        </row>
        <row r="4803">
          <cell r="F4803">
            <v>681.32</v>
          </cell>
          <cell r="G4803">
            <v>0</v>
          </cell>
          <cell r="H4803">
            <v>62</v>
          </cell>
        </row>
        <row r="4804">
          <cell r="F4804">
            <v>3277.4</v>
          </cell>
          <cell r="G4804">
            <v>0</v>
          </cell>
          <cell r="H4804">
            <v>62</v>
          </cell>
        </row>
        <row r="4805">
          <cell r="F4805">
            <v>4634.12</v>
          </cell>
          <cell r="G4805">
            <v>0</v>
          </cell>
          <cell r="H4805">
            <v>62</v>
          </cell>
        </row>
        <row r="4806">
          <cell r="F4806">
            <v>1.89</v>
          </cell>
          <cell r="G4806">
            <v>0</v>
          </cell>
          <cell r="H4806">
            <v>62</v>
          </cell>
        </row>
        <row r="4807">
          <cell r="F4807">
            <v>3482.17</v>
          </cell>
          <cell r="G4807">
            <v>0</v>
          </cell>
          <cell r="H4807">
            <v>62</v>
          </cell>
        </row>
        <row r="4808">
          <cell r="F4808">
            <v>2410.2800000000002</v>
          </cell>
          <cell r="G4808">
            <v>0</v>
          </cell>
          <cell r="H4808">
            <v>62</v>
          </cell>
        </row>
        <row r="4809">
          <cell r="F4809">
            <v>1099.08</v>
          </cell>
          <cell r="G4809">
            <v>0</v>
          </cell>
          <cell r="H4809">
            <v>62</v>
          </cell>
        </row>
        <row r="4810">
          <cell r="F4810">
            <v>2207.71</v>
          </cell>
          <cell r="G4810">
            <v>0</v>
          </cell>
          <cell r="H4810">
            <v>62</v>
          </cell>
        </row>
        <row r="4811">
          <cell r="F4811">
            <v>11386.9</v>
          </cell>
          <cell r="G4811">
            <v>0</v>
          </cell>
          <cell r="H4811">
            <v>62</v>
          </cell>
        </row>
        <row r="4812">
          <cell r="F4812">
            <v>1560.82</v>
          </cell>
          <cell r="G4812">
            <v>0</v>
          </cell>
          <cell r="H4812">
            <v>62</v>
          </cell>
        </row>
        <row r="4813">
          <cell r="F4813">
            <v>3849.87</v>
          </cell>
          <cell r="G4813">
            <v>0</v>
          </cell>
          <cell r="H4813">
            <v>62</v>
          </cell>
        </row>
        <row r="4814">
          <cell r="F4814">
            <v>6083.53</v>
          </cell>
          <cell r="G4814">
            <v>0</v>
          </cell>
          <cell r="H4814">
            <v>62</v>
          </cell>
        </row>
        <row r="4815">
          <cell r="F4815">
            <v>1200.92</v>
          </cell>
          <cell r="G4815">
            <v>0</v>
          </cell>
          <cell r="H4815">
            <v>62</v>
          </cell>
        </row>
        <row r="4816">
          <cell r="F4816">
            <v>272.2</v>
          </cell>
          <cell r="G4816">
            <v>0</v>
          </cell>
          <cell r="H4816">
            <v>62</v>
          </cell>
        </row>
        <row r="4817">
          <cell r="F4817">
            <v>2220.04</v>
          </cell>
          <cell r="G4817">
            <v>0</v>
          </cell>
          <cell r="H4817">
            <v>62</v>
          </cell>
        </row>
        <row r="4818">
          <cell r="F4818">
            <v>55.76</v>
          </cell>
          <cell r="G4818">
            <v>0</v>
          </cell>
          <cell r="H4818">
            <v>62</v>
          </cell>
        </row>
        <row r="4819">
          <cell r="F4819">
            <v>217.6</v>
          </cell>
          <cell r="G4819">
            <v>0</v>
          </cell>
          <cell r="H4819">
            <v>62</v>
          </cell>
        </row>
        <row r="4820">
          <cell r="F4820">
            <v>1482</v>
          </cell>
          <cell r="G4820">
            <v>0</v>
          </cell>
          <cell r="H4820">
            <v>62</v>
          </cell>
        </row>
        <row r="4821">
          <cell r="F4821">
            <v>2443.7399999999998</v>
          </cell>
          <cell r="G4821">
            <v>0</v>
          </cell>
          <cell r="H4821">
            <v>62</v>
          </cell>
        </row>
        <row r="4822">
          <cell r="F4822">
            <v>4569.88</v>
          </cell>
          <cell r="G4822">
            <v>0</v>
          </cell>
          <cell r="H4822">
            <v>62</v>
          </cell>
        </row>
        <row r="4823">
          <cell r="F4823">
            <v>2049.7399999999998</v>
          </cell>
          <cell r="G4823">
            <v>0</v>
          </cell>
          <cell r="H4823">
            <v>62</v>
          </cell>
        </row>
        <row r="4824">
          <cell r="F4824">
            <v>4399.2700000000004</v>
          </cell>
          <cell r="G4824">
            <v>0</v>
          </cell>
          <cell r="H4824">
            <v>62</v>
          </cell>
        </row>
        <row r="4825">
          <cell r="F4825">
            <v>234.9</v>
          </cell>
          <cell r="G4825">
            <v>0</v>
          </cell>
          <cell r="H4825">
            <v>62</v>
          </cell>
        </row>
        <row r="4826">
          <cell r="F4826">
            <v>606.09</v>
          </cell>
          <cell r="G4826">
            <v>0</v>
          </cell>
          <cell r="H4826">
            <v>62</v>
          </cell>
        </row>
        <row r="4827">
          <cell r="F4827">
            <v>1624.5</v>
          </cell>
          <cell r="G4827">
            <v>0</v>
          </cell>
          <cell r="H4827">
            <v>62</v>
          </cell>
        </row>
        <row r="4828">
          <cell r="F4828">
            <v>13841.98</v>
          </cell>
          <cell r="G4828">
            <v>0</v>
          </cell>
          <cell r="H4828">
            <v>62</v>
          </cell>
        </row>
        <row r="4829">
          <cell r="F4829">
            <v>954.56</v>
          </cell>
          <cell r="G4829">
            <v>0</v>
          </cell>
          <cell r="H4829">
            <v>62</v>
          </cell>
        </row>
        <row r="4830">
          <cell r="F4830">
            <v>18469.64</v>
          </cell>
          <cell r="G4830">
            <v>0</v>
          </cell>
          <cell r="H4830">
            <v>62</v>
          </cell>
        </row>
        <row r="4831">
          <cell r="F4831">
            <v>2514</v>
          </cell>
          <cell r="G4831">
            <v>0</v>
          </cell>
          <cell r="H4831">
            <v>62</v>
          </cell>
        </row>
        <row r="4832">
          <cell r="F4832">
            <v>6313.33</v>
          </cell>
          <cell r="G4832">
            <v>0</v>
          </cell>
          <cell r="H4832">
            <v>62</v>
          </cell>
        </row>
        <row r="4833">
          <cell r="F4833">
            <v>2489.7399999999998</v>
          </cell>
          <cell r="G4833">
            <v>0</v>
          </cell>
          <cell r="H4833">
            <v>62</v>
          </cell>
        </row>
        <row r="4834">
          <cell r="F4834">
            <v>14736.9</v>
          </cell>
          <cell r="G4834">
            <v>0</v>
          </cell>
          <cell r="H4834">
            <v>62</v>
          </cell>
        </row>
        <row r="4835">
          <cell r="F4835">
            <v>137.56</v>
          </cell>
          <cell r="G4835">
            <v>0</v>
          </cell>
          <cell r="H4835">
            <v>62</v>
          </cell>
        </row>
        <row r="4836">
          <cell r="F4836">
            <v>1136.3800000000001</v>
          </cell>
          <cell r="G4836">
            <v>0</v>
          </cell>
          <cell r="H4836">
            <v>62</v>
          </cell>
        </row>
        <row r="4837">
          <cell r="F4837">
            <v>936.24</v>
          </cell>
          <cell r="G4837">
            <v>0</v>
          </cell>
          <cell r="H4837">
            <v>62</v>
          </cell>
        </row>
        <row r="4838">
          <cell r="F4838">
            <v>2017.84</v>
          </cell>
          <cell r="G4838">
            <v>0</v>
          </cell>
          <cell r="H4838">
            <v>62</v>
          </cell>
        </row>
        <row r="4839">
          <cell r="F4839">
            <v>1190.47</v>
          </cell>
          <cell r="G4839">
            <v>0</v>
          </cell>
          <cell r="H4839">
            <v>62</v>
          </cell>
        </row>
        <row r="4840">
          <cell r="F4840">
            <v>1600.6</v>
          </cell>
          <cell r="G4840">
            <v>0</v>
          </cell>
          <cell r="H4840">
            <v>62</v>
          </cell>
        </row>
        <row r="4841">
          <cell r="F4841">
            <v>621.08000000000004</v>
          </cell>
          <cell r="G4841">
            <v>0</v>
          </cell>
          <cell r="H4841">
            <v>62</v>
          </cell>
        </row>
        <row r="4842">
          <cell r="F4842">
            <v>173.7</v>
          </cell>
          <cell r="G4842">
            <v>0</v>
          </cell>
          <cell r="H4842">
            <v>62</v>
          </cell>
        </row>
        <row r="4843">
          <cell r="F4843">
            <v>388.13</v>
          </cell>
          <cell r="G4843">
            <v>0</v>
          </cell>
          <cell r="H4843">
            <v>62</v>
          </cell>
        </row>
        <row r="4844">
          <cell r="F4844">
            <v>1097.1300000000001</v>
          </cell>
          <cell r="G4844">
            <v>0</v>
          </cell>
          <cell r="H4844">
            <v>62</v>
          </cell>
        </row>
        <row r="4845">
          <cell r="F4845">
            <v>0</v>
          </cell>
          <cell r="G4845">
            <v>0</v>
          </cell>
          <cell r="H4845">
            <v>62</v>
          </cell>
        </row>
        <row r="4846">
          <cell r="F4846">
            <v>26.27</v>
          </cell>
          <cell r="G4846">
            <v>0</v>
          </cell>
          <cell r="H4846">
            <v>62</v>
          </cell>
        </row>
        <row r="4847">
          <cell r="F4847">
            <v>434.18</v>
          </cell>
          <cell r="G4847">
            <v>0</v>
          </cell>
          <cell r="H4847">
            <v>62</v>
          </cell>
        </row>
        <row r="4848">
          <cell r="F4848">
            <v>110.1</v>
          </cell>
          <cell r="G4848">
            <v>0</v>
          </cell>
          <cell r="H4848">
            <v>62</v>
          </cell>
        </row>
        <row r="4849">
          <cell r="F4849">
            <v>342.8</v>
          </cell>
          <cell r="G4849">
            <v>0</v>
          </cell>
          <cell r="H4849">
            <v>62</v>
          </cell>
        </row>
        <row r="4850">
          <cell r="F4850">
            <v>78.819999999999993</v>
          </cell>
          <cell r="G4850">
            <v>0</v>
          </cell>
          <cell r="H4850">
            <v>62</v>
          </cell>
        </row>
        <row r="4851">
          <cell r="F4851">
            <v>187.77</v>
          </cell>
          <cell r="G4851">
            <v>0</v>
          </cell>
          <cell r="H4851">
            <v>62</v>
          </cell>
        </row>
        <row r="4852">
          <cell r="F4852">
            <v>934.34</v>
          </cell>
          <cell r="G4852">
            <v>0</v>
          </cell>
          <cell r="H4852">
            <v>62</v>
          </cell>
        </row>
        <row r="4853">
          <cell r="F4853">
            <v>453.34</v>
          </cell>
          <cell r="G4853">
            <v>0</v>
          </cell>
          <cell r="H4853">
            <v>62</v>
          </cell>
        </row>
        <row r="4854">
          <cell r="F4854">
            <v>-272.55000000000018</v>
          </cell>
          <cell r="G4854">
            <v>0</v>
          </cell>
          <cell r="H4854">
            <v>62</v>
          </cell>
        </row>
        <row r="4855">
          <cell r="F4855">
            <v>-128.32</v>
          </cell>
          <cell r="G4855">
            <v>0</v>
          </cell>
          <cell r="H4855">
            <v>62</v>
          </cell>
        </row>
        <row r="4856">
          <cell r="F4856">
            <v>-67.48</v>
          </cell>
          <cell r="G4856">
            <v>0</v>
          </cell>
          <cell r="H4856">
            <v>62</v>
          </cell>
        </row>
        <row r="4857">
          <cell r="F4857">
            <v>199.99</v>
          </cell>
          <cell r="G4857">
            <v>0</v>
          </cell>
          <cell r="H4857">
            <v>62</v>
          </cell>
        </row>
        <row r="4858">
          <cell r="F4858">
            <v>164.09</v>
          </cell>
          <cell r="G4858">
            <v>0</v>
          </cell>
          <cell r="H4858">
            <v>62</v>
          </cell>
        </row>
        <row r="4859">
          <cell r="F4859">
            <v>986.9799999999999</v>
          </cell>
          <cell r="G4859">
            <v>0</v>
          </cell>
          <cell r="H4859">
            <v>62</v>
          </cell>
        </row>
        <row r="4860">
          <cell r="F4860">
            <v>-40.98</v>
          </cell>
          <cell r="G4860">
            <v>0</v>
          </cell>
          <cell r="H4860">
            <v>62</v>
          </cell>
        </row>
        <row r="4861">
          <cell r="F4861">
            <v>-7836.7699999999995</v>
          </cell>
          <cell r="G4861">
            <v>0</v>
          </cell>
          <cell r="H4861">
            <v>62</v>
          </cell>
        </row>
        <row r="4862">
          <cell r="F4862">
            <v>200.08</v>
          </cell>
          <cell r="G4862">
            <v>0</v>
          </cell>
          <cell r="H4862">
            <v>62</v>
          </cell>
        </row>
        <row r="4863">
          <cell r="F4863">
            <v>-11603.48</v>
          </cell>
          <cell r="G4863">
            <v>0</v>
          </cell>
          <cell r="H4863">
            <v>62</v>
          </cell>
        </row>
        <row r="4864">
          <cell r="F4864">
            <v>-259.58</v>
          </cell>
          <cell r="G4864">
            <v>0</v>
          </cell>
          <cell r="H4864">
            <v>62</v>
          </cell>
        </row>
        <row r="4865">
          <cell r="F4865">
            <v>2650.54</v>
          </cell>
          <cell r="G4865">
            <v>0</v>
          </cell>
          <cell r="H4865">
            <v>62</v>
          </cell>
        </row>
        <row r="4866">
          <cell r="F4866">
            <v>-3080.4300000000003</v>
          </cell>
          <cell r="G4866">
            <v>0</v>
          </cell>
          <cell r="H4866">
            <v>62</v>
          </cell>
        </row>
        <row r="4867">
          <cell r="F4867">
            <v>2599.61</v>
          </cell>
          <cell r="G4867">
            <v>0</v>
          </cell>
          <cell r="H4867">
            <v>62</v>
          </cell>
        </row>
        <row r="4868">
          <cell r="F4868">
            <v>-2187.5100000000002</v>
          </cell>
          <cell r="G4868">
            <v>0</v>
          </cell>
          <cell r="H4868">
            <v>62</v>
          </cell>
        </row>
        <row r="4869">
          <cell r="F4869">
            <v>-459.32</v>
          </cell>
          <cell r="G4869">
            <v>0</v>
          </cell>
          <cell r="H4869">
            <v>62</v>
          </cell>
        </row>
        <row r="4870">
          <cell r="F4870">
            <v>-935.14</v>
          </cell>
          <cell r="G4870">
            <v>0</v>
          </cell>
          <cell r="H4870">
            <v>62</v>
          </cell>
        </row>
        <row r="4871">
          <cell r="F4871">
            <v>-2717.04</v>
          </cell>
          <cell r="G4871">
            <v>0</v>
          </cell>
          <cell r="H4871">
            <v>62</v>
          </cell>
        </row>
        <row r="4872">
          <cell r="F4872">
            <v>5777.0499999999993</v>
          </cell>
          <cell r="G4872">
            <v>0</v>
          </cell>
          <cell r="H4872">
            <v>62</v>
          </cell>
        </row>
        <row r="4873">
          <cell r="F4873">
            <v>982.62999999999965</v>
          </cell>
          <cell r="G4873">
            <v>0</v>
          </cell>
          <cell r="H4873">
            <v>62</v>
          </cell>
        </row>
        <row r="4874">
          <cell r="F4874">
            <v>711.56999999999994</v>
          </cell>
          <cell r="G4874">
            <v>0</v>
          </cell>
          <cell r="H4874">
            <v>62</v>
          </cell>
        </row>
        <row r="4875">
          <cell r="F4875">
            <v>1242.81</v>
          </cell>
          <cell r="G4875">
            <v>0</v>
          </cell>
          <cell r="H4875">
            <v>62</v>
          </cell>
        </row>
        <row r="4876">
          <cell r="F4876">
            <v>265.56999999999994</v>
          </cell>
          <cell r="G4876">
            <v>0</v>
          </cell>
          <cell r="H4876">
            <v>62</v>
          </cell>
        </row>
        <row r="4877">
          <cell r="F4877">
            <v>-1329.6100000000001</v>
          </cell>
          <cell r="G4877">
            <v>0</v>
          </cell>
          <cell r="H4877">
            <v>62</v>
          </cell>
        </row>
        <row r="4878">
          <cell r="F4878">
            <v>-810.35</v>
          </cell>
          <cell r="G4878">
            <v>0</v>
          </cell>
          <cell r="H4878">
            <v>62</v>
          </cell>
        </row>
        <row r="4879">
          <cell r="F4879">
            <v>0</v>
          </cell>
          <cell r="G4879">
            <v>0</v>
          </cell>
          <cell r="H4879">
            <v>62</v>
          </cell>
        </row>
        <row r="4880">
          <cell r="F4880">
            <v>-3050.77</v>
          </cell>
          <cell r="G4880">
            <v>0</v>
          </cell>
          <cell r="H4880">
            <v>62</v>
          </cell>
        </row>
        <row r="4881">
          <cell r="F4881">
            <v>274.97000000000003</v>
          </cell>
          <cell r="G4881">
            <v>0</v>
          </cell>
          <cell r="H4881">
            <v>62</v>
          </cell>
        </row>
        <row r="4882">
          <cell r="F4882">
            <v>1382.31</v>
          </cell>
          <cell r="G4882">
            <v>0</v>
          </cell>
          <cell r="H4882">
            <v>62</v>
          </cell>
        </row>
        <row r="4883">
          <cell r="F4883">
            <v>1204.26</v>
          </cell>
          <cell r="G4883">
            <v>0</v>
          </cell>
          <cell r="H4883">
            <v>62</v>
          </cell>
        </row>
        <row r="4884">
          <cell r="F4884">
            <v>407.14</v>
          </cell>
          <cell r="G4884">
            <v>0</v>
          </cell>
          <cell r="H4884">
            <v>62</v>
          </cell>
        </row>
        <row r="4885">
          <cell r="F4885">
            <v>2051.73</v>
          </cell>
          <cell r="G4885">
            <v>0</v>
          </cell>
          <cell r="H4885">
            <v>62</v>
          </cell>
        </row>
        <row r="4886">
          <cell r="F4886">
            <v>166.48</v>
          </cell>
          <cell r="G4886">
            <v>0</v>
          </cell>
          <cell r="H4886">
            <v>62</v>
          </cell>
        </row>
        <row r="4887">
          <cell r="F4887">
            <v>494.59000000000015</v>
          </cell>
          <cell r="G4887">
            <v>0</v>
          </cell>
          <cell r="H4887">
            <v>62</v>
          </cell>
        </row>
        <row r="4888">
          <cell r="F4888">
            <v>607</v>
          </cell>
          <cell r="G4888">
            <v>0</v>
          </cell>
          <cell r="H4888">
            <v>62</v>
          </cell>
        </row>
        <row r="4889">
          <cell r="F4889">
            <v>811.31000000000017</v>
          </cell>
          <cell r="G4889">
            <v>0</v>
          </cell>
          <cell r="H4889">
            <v>62</v>
          </cell>
        </row>
        <row r="4890">
          <cell r="F4890">
            <v>241</v>
          </cell>
          <cell r="G4890">
            <v>0</v>
          </cell>
          <cell r="H4890">
            <v>62</v>
          </cell>
        </row>
        <row r="4891">
          <cell r="F4891">
            <v>331.93</v>
          </cell>
          <cell r="G4891">
            <v>0</v>
          </cell>
          <cell r="H4891">
            <v>62</v>
          </cell>
        </row>
        <row r="4892">
          <cell r="F4892">
            <v>147.4</v>
          </cell>
          <cell r="G4892">
            <v>0</v>
          </cell>
          <cell r="H4892">
            <v>62</v>
          </cell>
        </row>
        <row r="4893">
          <cell r="F4893">
            <v>21.39</v>
          </cell>
          <cell r="G4893">
            <v>0</v>
          </cell>
          <cell r="H4893">
            <v>62</v>
          </cell>
        </row>
        <row r="4894">
          <cell r="F4894">
            <v>4052.53</v>
          </cell>
          <cell r="G4894">
            <v>0</v>
          </cell>
          <cell r="H4894">
            <v>62</v>
          </cell>
        </row>
        <row r="4895">
          <cell r="F4895">
            <v>431.25</v>
          </cell>
          <cell r="G4895">
            <v>0</v>
          </cell>
          <cell r="H4895">
            <v>62</v>
          </cell>
        </row>
        <row r="4896">
          <cell r="F4896">
            <v>1795.55</v>
          </cell>
          <cell r="G4896">
            <v>0</v>
          </cell>
          <cell r="H4896">
            <v>62</v>
          </cell>
        </row>
        <row r="4897">
          <cell r="F4897">
            <v>1343.75</v>
          </cell>
          <cell r="G4897">
            <v>0</v>
          </cell>
          <cell r="H4897">
            <v>62</v>
          </cell>
        </row>
        <row r="4898">
          <cell r="F4898">
            <v>1965.8099999999995</v>
          </cell>
          <cell r="G4898">
            <v>0</v>
          </cell>
          <cell r="H4898">
            <v>62</v>
          </cell>
        </row>
        <row r="4899">
          <cell r="F4899">
            <v>1165.53</v>
          </cell>
          <cell r="G4899">
            <v>0</v>
          </cell>
          <cell r="H4899">
            <v>62</v>
          </cell>
        </row>
        <row r="4900">
          <cell r="F4900">
            <v>84.99</v>
          </cell>
          <cell r="G4900">
            <v>0</v>
          </cell>
          <cell r="H4900">
            <v>62</v>
          </cell>
        </row>
        <row r="4901">
          <cell r="F4901">
            <v>0</v>
          </cell>
          <cell r="G4901">
            <v>0</v>
          </cell>
          <cell r="H4901">
            <v>62</v>
          </cell>
        </row>
        <row r="4902">
          <cell r="F4902">
            <v>924.26999999999975</v>
          </cell>
          <cell r="G4902">
            <v>0</v>
          </cell>
          <cell r="H4902">
            <v>62</v>
          </cell>
        </row>
        <row r="4903">
          <cell r="F4903">
            <v>-1517.4300000000003</v>
          </cell>
          <cell r="G4903">
            <v>0</v>
          </cell>
          <cell r="H4903">
            <v>62</v>
          </cell>
        </row>
        <row r="4904">
          <cell r="F4904">
            <v>-1269.6300000000001</v>
          </cell>
          <cell r="G4904">
            <v>0</v>
          </cell>
          <cell r="H4904">
            <v>62</v>
          </cell>
        </row>
        <row r="4905">
          <cell r="F4905">
            <v>-1450.2</v>
          </cell>
          <cell r="G4905">
            <v>0</v>
          </cell>
          <cell r="H4905">
            <v>62</v>
          </cell>
        </row>
        <row r="4906">
          <cell r="F4906">
            <v>184.29</v>
          </cell>
          <cell r="G4906">
            <v>0</v>
          </cell>
          <cell r="H4906">
            <v>62</v>
          </cell>
        </row>
        <row r="4907">
          <cell r="F4907">
            <v>2120.25</v>
          </cell>
          <cell r="G4907">
            <v>0</v>
          </cell>
          <cell r="H4907">
            <v>62</v>
          </cell>
        </row>
        <row r="4908">
          <cell r="F4908">
            <v>978.05</v>
          </cell>
          <cell r="G4908">
            <v>0</v>
          </cell>
          <cell r="H4908">
            <v>62</v>
          </cell>
        </row>
        <row r="4909">
          <cell r="F4909">
            <v>2416.3199999999997</v>
          </cell>
          <cell r="G4909">
            <v>0</v>
          </cell>
          <cell r="H4909">
            <v>62</v>
          </cell>
        </row>
        <row r="4910">
          <cell r="F4910">
            <v>633.22</v>
          </cell>
          <cell r="G4910">
            <v>0</v>
          </cell>
          <cell r="H4910">
            <v>62</v>
          </cell>
        </row>
        <row r="4911">
          <cell r="F4911">
            <v>932.23999999999978</v>
          </cell>
          <cell r="G4911">
            <v>0</v>
          </cell>
          <cell r="H4911">
            <v>62</v>
          </cell>
        </row>
        <row r="4912">
          <cell r="F4912">
            <v>652.84</v>
          </cell>
          <cell r="G4912">
            <v>0</v>
          </cell>
          <cell r="H4912">
            <v>62</v>
          </cell>
        </row>
        <row r="4913">
          <cell r="F4913">
            <v>-1533.1000000000001</v>
          </cell>
          <cell r="G4913">
            <v>0</v>
          </cell>
          <cell r="H4913">
            <v>62</v>
          </cell>
        </row>
        <row r="4914">
          <cell r="F4914">
            <v>-387.58000000000015</v>
          </cell>
          <cell r="G4914">
            <v>0</v>
          </cell>
          <cell r="H4914">
            <v>62</v>
          </cell>
        </row>
        <row r="4915">
          <cell r="F4915">
            <v>19445.579999999998</v>
          </cell>
          <cell r="G4915">
            <v>0</v>
          </cell>
          <cell r="H4915">
            <v>62</v>
          </cell>
        </row>
        <row r="4916">
          <cell r="F4916">
            <v>805</v>
          </cell>
          <cell r="G4916">
            <v>0</v>
          </cell>
          <cell r="H4916">
            <v>62</v>
          </cell>
        </row>
        <row r="4917">
          <cell r="F4917">
            <v>2906.3900000000003</v>
          </cell>
          <cell r="G4917">
            <v>0</v>
          </cell>
          <cell r="H4917">
            <v>62</v>
          </cell>
        </row>
        <row r="4918">
          <cell r="F4918">
            <v>-335.75</v>
          </cell>
          <cell r="G4918">
            <v>0</v>
          </cell>
          <cell r="H4918">
            <v>62</v>
          </cell>
        </row>
        <row r="4919">
          <cell r="F4919">
            <v>452.01</v>
          </cell>
          <cell r="G4919">
            <v>0</v>
          </cell>
          <cell r="H4919">
            <v>62</v>
          </cell>
        </row>
        <row r="4920">
          <cell r="F4920">
            <v>-201.9</v>
          </cell>
          <cell r="G4920">
            <v>0</v>
          </cell>
          <cell r="H4920">
            <v>62</v>
          </cell>
        </row>
        <row r="4921">
          <cell r="F4921">
            <v>-498.76</v>
          </cell>
          <cell r="G4921">
            <v>0</v>
          </cell>
          <cell r="H4921">
            <v>62</v>
          </cell>
        </row>
        <row r="4922">
          <cell r="F4922">
            <v>-1384.2</v>
          </cell>
          <cell r="G4922">
            <v>0</v>
          </cell>
          <cell r="H4922">
            <v>62</v>
          </cell>
        </row>
        <row r="4923">
          <cell r="F4923">
            <v>-2254.04</v>
          </cell>
          <cell r="G4923">
            <v>0</v>
          </cell>
          <cell r="H4923">
            <v>62</v>
          </cell>
        </row>
        <row r="4924">
          <cell r="F4924">
            <v>103.98</v>
          </cell>
          <cell r="G4924">
            <v>0</v>
          </cell>
          <cell r="H4924">
            <v>62</v>
          </cell>
        </row>
        <row r="4925">
          <cell r="F4925">
            <v>98036.790000000008</v>
          </cell>
          <cell r="G4925">
            <v>0</v>
          </cell>
          <cell r="H4925">
            <v>62</v>
          </cell>
        </row>
        <row r="4926">
          <cell r="F4926">
            <v>762.62</v>
          </cell>
          <cell r="G4926">
            <v>0</v>
          </cell>
          <cell r="H4926">
            <v>62</v>
          </cell>
        </row>
        <row r="4927">
          <cell r="F4927">
            <v>1049.3800000000001</v>
          </cell>
          <cell r="G4927">
            <v>0</v>
          </cell>
          <cell r="H4927">
            <v>62</v>
          </cell>
        </row>
        <row r="4928">
          <cell r="F4928">
            <v>-168.42</v>
          </cell>
          <cell r="G4928">
            <v>0</v>
          </cell>
          <cell r="H4928">
            <v>62</v>
          </cell>
        </row>
        <row r="4929">
          <cell r="F4929">
            <v>-2281.91</v>
          </cell>
          <cell r="G4929">
            <v>0</v>
          </cell>
          <cell r="H4929">
            <v>62</v>
          </cell>
        </row>
        <row r="4930">
          <cell r="F4930">
            <v>-1212.82</v>
          </cell>
          <cell r="G4930">
            <v>0</v>
          </cell>
          <cell r="H4930">
            <v>62</v>
          </cell>
        </row>
        <row r="4931">
          <cell r="F4931">
            <v>1733.1399999999999</v>
          </cell>
          <cell r="G4931">
            <v>0</v>
          </cell>
          <cell r="H4931">
            <v>62</v>
          </cell>
        </row>
        <row r="4932">
          <cell r="F4932">
            <v>1881.5000000000005</v>
          </cell>
          <cell r="G4932">
            <v>0</v>
          </cell>
          <cell r="H4932">
            <v>62</v>
          </cell>
        </row>
        <row r="4933">
          <cell r="F4933">
            <v>-878.9</v>
          </cell>
          <cell r="G4933">
            <v>0</v>
          </cell>
          <cell r="H4933">
            <v>62</v>
          </cell>
        </row>
        <row r="4934">
          <cell r="F4934">
            <v>-3242.51</v>
          </cell>
          <cell r="G4934">
            <v>0</v>
          </cell>
          <cell r="H4934">
            <v>62</v>
          </cell>
        </row>
        <row r="4935">
          <cell r="F4935">
            <v>4692.41</v>
          </cell>
          <cell r="G4935">
            <v>0</v>
          </cell>
          <cell r="H4935">
            <v>62</v>
          </cell>
        </row>
        <row r="4936">
          <cell r="F4936">
            <v>6545.52</v>
          </cell>
          <cell r="G4936">
            <v>0</v>
          </cell>
          <cell r="H4936">
            <v>62</v>
          </cell>
        </row>
        <row r="4937">
          <cell r="F4937">
            <v>6630.73</v>
          </cell>
          <cell r="G4937">
            <v>0</v>
          </cell>
          <cell r="H4937">
            <v>62</v>
          </cell>
        </row>
        <row r="4938">
          <cell r="F4938">
            <v>6334.1299999999992</v>
          </cell>
          <cell r="G4938">
            <v>0</v>
          </cell>
          <cell r="H4938">
            <v>62</v>
          </cell>
        </row>
        <row r="4939">
          <cell r="F4939">
            <v>-1073.22</v>
          </cell>
          <cell r="G4939">
            <v>0</v>
          </cell>
          <cell r="H4939">
            <v>62</v>
          </cell>
        </row>
        <row r="4940">
          <cell r="F4940">
            <v>-82.93</v>
          </cell>
          <cell r="G4940">
            <v>0</v>
          </cell>
          <cell r="H4940">
            <v>62</v>
          </cell>
        </row>
        <row r="4941">
          <cell r="F4941">
            <v>-404.27</v>
          </cell>
          <cell r="G4941">
            <v>0</v>
          </cell>
          <cell r="H4941">
            <v>62</v>
          </cell>
        </row>
        <row r="4942">
          <cell r="F4942">
            <v>-497.1400000000001</v>
          </cell>
          <cell r="G4942">
            <v>0</v>
          </cell>
          <cell r="H4942">
            <v>62</v>
          </cell>
        </row>
        <row r="4943">
          <cell r="F4943">
            <v>-1888.61</v>
          </cell>
          <cell r="G4943">
            <v>0</v>
          </cell>
          <cell r="H4943">
            <v>62</v>
          </cell>
        </row>
        <row r="4944">
          <cell r="F4944">
            <v>-202.04</v>
          </cell>
          <cell r="G4944">
            <v>0</v>
          </cell>
          <cell r="H4944">
            <v>62</v>
          </cell>
        </row>
        <row r="4945">
          <cell r="F4945">
            <v>-47.46</v>
          </cell>
          <cell r="G4945">
            <v>0</v>
          </cell>
          <cell r="H4945">
            <v>62</v>
          </cell>
        </row>
        <row r="4946">
          <cell r="F4946">
            <v>810.35</v>
          </cell>
          <cell r="G4946">
            <v>0</v>
          </cell>
          <cell r="H4946">
            <v>62</v>
          </cell>
        </row>
        <row r="4947">
          <cell r="F4947">
            <v>121.38</v>
          </cell>
          <cell r="G4947">
            <v>0</v>
          </cell>
          <cell r="H4947">
            <v>62</v>
          </cell>
        </row>
        <row r="4948">
          <cell r="F4948">
            <v>3084.1100000000006</v>
          </cell>
          <cell r="G4948">
            <v>0</v>
          </cell>
          <cell r="H4948">
            <v>62</v>
          </cell>
        </row>
        <row r="4949">
          <cell r="F4949">
            <v>-611.94000000000005</v>
          </cell>
          <cell r="G4949">
            <v>0</v>
          </cell>
          <cell r="H4949">
            <v>62</v>
          </cell>
        </row>
        <row r="4950">
          <cell r="F4950">
            <v>1521.42</v>
          </cell>
          <cell r="G4950">
            <v>0</v>
          </cell>
          <cell r="H4950">
            <v>62</v>
          </cell>
        </row>
        <row r="4951">
          <cell r="F4951">
            <v>41.45</v>
          </cell>
          <cell r="G4951">
            <v>0</v>
          </cell>
          <cell r="H4951">
            <v>62</v>
          </cell>
        </row>
        <row r="4952">
          <cell r="F4952">
            <v>1002.1600000000001</v>
          </cell>
          <cell r="G4952">
            <v>0</v>
          </cell>
          <cell r="H4952">
            <v>62</v>
          </cell>
        </row>
        <row r="4953">
          <cell r="F4953">
            <v>83.079999999999984</v>
          </cell>
          <cell r="G4953">
            <v>0</v>
          </cell>
          <cell r="H4953">
            <v>62</v>
          </cell>
        </row>
        <row r="4954">
          <cell r="F4954">
            <v>5234.6799999999994</v>
          </cell>
          <cell r="G4954">
            <v>0</v>
          </cell>
          <cell r="H4954">
            <v>62</v>
          </cell>
        </row>
        <row r="4955">
          <cell r="F4955">
            <v>-1310.94</v>
          </cell>
          <cell r="G4955">
            <v>0</v>
          </cell>
          <cell r="H4955">
            <v>62</v>
          </cell>
        </row>
        <row r="4956">
          <cell r="F4956">
            <v>-1478.34</v>
          </cell>
          <cell r="G4956">
            <v>0</v>
          </cell>
          <cell r="H4956">
            <v>62</v>
          </cell>
        </row>
        <row r="4957">
          <cell r="F4957">
            <v>77.31</v>
          </cell>
          <cell r="G4957">
            <v>0</v>
          </cell>
          <cell r="H4957">
            <v>62</v>
          </cell>
        </row>
        <row r="4958">
          <cell r="F4958">
            <v>-1157.2</v>
          </cell>
          <cell r="G4958">
            <v>0</v>
          </cell>
          <cell r="H4958">
            <v>62</v>
          </cell>
        </row>
        <row r="4959">
          <cell r="F4959">
            <v>-723.61</v>
          </cell>
          <cell r="G4959">
            <v>0</v>
          </cell>
          <cell r="H4959">
            <v>62</v>
          </cell>
        </row>
        <row r="4960">
          <cell r="F4960">
            <v>-2345.63</v>
          </cell>
          <cell r="G4960">
            <v>0</v>
          </cell>
          <cell r="H4960">
            <v>62</v>
          </cell>
        </row>
        <row r="4961">
          <cell r="F4961">
            <v>-1403.69</v>
          </cell>
          <cell r="G4961">
            <v>0</v>
          </cell>
          <cell r="H4961">
            <v>62</v>
          </cell>
        </row>
        <row r="4962">
          <cell r="F4962">
            <v>-687.61000000000013</v>
          </cell>
          <cell r="G4962">
            <v>0</v>
          </cell>
          <cell r="H4962">
            <v>62</v>
          </cell>
        </row>
        <row r="4963">
          <cell r="F4963">
            <v>48</v>
          </cell>
          <cell r="G4963">
            <v>0</v>
          </cell>
          <cell r="H4963">
            <v>62</v>
          </cell>
        </row>
        <row r="4964">
          <cell r="F4964">
            <v>50501.9</v>
          </cell>
          <cell r="G4964">
            <v>0</v>
          </cell>
          <cell r="H4964">
            <v>62</v>
          </cell>
        </row>
        <row r="4965">
          <cell r="F4965">
            <v>6684.9800000000005</v>
          </cell>
          <cell r="G4965">
            <v>0</v>
          </cell>
          <cell r="H4965">
            <v>62</v>
          </cell>
        </row>
        <row r="4966">
          <cell r="F4966">
            <v>44701.06</v>
          </cell>
          <cell r="G4966">
            <v>0</v>
          </cell>
          <cell r="H4966">
            <v>62</v>
          </cell>
        </row>
        <row r="4967">
          <cell r="F4967">
            <v>27981.85</v>
          </cell>
          <cell r="G4967">
            <v>0</v>
          </cell>
          <cell r="H4967">
            <v>62</v>
          </cell>
        </row>
        <row r="4968">
          <cell r="F4968">
            <v>0</v>
          </cell>
          <cell r="G4968">
            <v>0</v>
          </cell>
          <cell r="H4968">
            <v>62</v>
          </cell>
        </row>
        <row r="4969">
          <cell r="F4969">
            <v>1053.54</v>
          </cell>
          <cell r="G4969">
            <v>0</v>
          </cell>
          <cell r="H4969">
            <v>62</v>
          </cell>
        </row>
        <row r="4970">
          <cell r="F4970">
            <v>0</v>
          </cell>
          <cell r="G4970">
            <v>0</v>
          </cell>
          <cell r="H4970">
            <v>62</v>
          </cell>
        </row>
        <row r="4971">
          <cell r="F4971">
            <v>46256.51</v>
          </cell>
          <cell r="G4971">
            <v>0</v>
          </cell>
          <cell r="H4971">
            <v>62</v>
          </cell>
        </row>
        <row r="4972">
          <cell r="F4972">
            <v>66322.3</v>
          </cell>
          <cell r="G4972">
            <v>0</v>
          </cell>
          <cell r="H4972">
            <v>62</v>
          </cell>
        </row>
        <row r="4973">
          <cell r="F4973">
            <v>66505.41</v>
          </cell>
          <cell r="G4973">
            <v>0</v>
          </cell>
          <cell r="H4973">
            <v>62</v>
          </cell>
        </row>
        <row r="4974">
          <cell r="F4974">
            <v>11747.08</v>
          </cell>
          <cell r="G4974">
            <v>0</v>
          </cell>
          <cell r="H4974">
            <v>62</v>
          </cell>
        </row>
        <row r="4975">
          <cell r="F4975">
            <v>4658.5</v>
          </cell>
          <cell r="G4975">
            <v>0</v>
          </cell>
          <cell r="H4975">
            <v>62</v>
          </cell>
        </row>
        <row r="4976">
          <cell r="F4976">
            <v>5158.38</v>
          </cell>
          <cell r="G4976">
            <v>0</v>
          </cell>
          <cell r="H4976">
            <v>62</v>
          </cell>
        </row>
        <row r="4977">
          <cell r="F4977">
            <v>64598.25</v>
          </cell>
          <cell r="G4977">
            <v>0</v>
          </cell>
          <cell r="H4977">
            <v>62</v>
          </cell>
        </row>
        <row r="4978">
          <cell r="F4978">
            <v>23013.879999999997</v>
          </cell>
          <cell r="G4978">
            <v>0</v>
          </cell>
          <cell r="H4978">
            <v>62</v>
          </cell>
        </row>
        <row r="4979">
          <cell r="F4979">
            <v>162014.28</v>
          </cell>
          <cell r="G4979">
            <v>0</v>
          </cell>
          <cell r="H4979">
            <v>62</v>
          </cell>
        </row>
        <row r="4980">
          <cell r="F4980">
            <v>171939.59000000003</v>
          </cell>
          <cell r="G4980">
            <v>0</v>
          </cell>
          <cell r="H4980">
            <v>62</v>
          </cell>
        </row>
        <row r="4981">
          <cell r="F4981">
            <v>56283.560000000005</v>
          </cell>
          <cell r="G4981">
            <v>0</v>
          </cell>
          <cell r="H4981">
            <v>62</v>
          </cell>
        </row>
        <row r="4982">
          <cell r="F4982">
            <v>5032.7700000000004</v>
          </cell>
          <cell r="G4982">
            <v>0</v>
          </cell>
          <cell r="H4982">
            <v>62</v>
          </cell>
        </row>
        <row r="4983">
          <cell r="F4983">
            <v>51243.43</v>
          </cell>
          <cell r="G4983">
            <v>0</v>
          </cell>
          <cell r="H4983">
            <v>62</v>
          </cell>
        </row>
        <row r="4984">
          <cell r="F4984">
            <v>0</v>
          </cell>
          <cell r="G4984">
            <v>0</v>
          </cell>
          <cell r="H4984">
            <v>62</v>
          </cell>
        </row>
        <row r="4985">
          <cell r="F4985">
            <v>5020.47</v>
          </cell>
          <cell r="G4985">
            <v>0</v>
          </cell>
          <cell r="H4985">
            <v>62</v>
          </cell>
        </row>
        <row r="4986">
          <cell r="F4986">
            <v>139641.76999999999</v>
          </cell>
          <cell r="G4986">
            <v>0</v>
          </cell>
          <cell r="H4986">
            <v>62</v>
          </cell>
        </row>
        <row r="4987">
          <cell r="F4987">
            <v>16287.97</v>
          </cell>
          <cell r="G4987">
            <v>0</v>
          </cell>
          <cell r="H4987">
            <v>62</v>
          </cell>
        </row>
        <row r="4988">
          <cell r="F4988">
            <v>28644.66</v>
          </cell>
          <cell r="G4988">
            <v>0</v>
          </cell>
          <cell r="H4988">
            <v>62</v>
          </cell>
        </row>
        <row r="4989">
          <cell r="F4989">
            <v>21138.719999999998</v>
          </cell>
          <cell r="G4989">
            <v>0</v>
          </cell>
          <cell r="H4989">
            <v>62</v>
          </cell>
        </row>
        <row r="4990">
          <cell r="F4990">
            <v>9621.64</v>
          </cell>
          <cell r="G4990">
            <v>0</v>
          </cell>
          <cell r="H4990">
            <v>62</v>
          </cell>
        </row>
        <row r="4991">
          <cell r="F4991">
            <v>16370.960000000001</v>
          </cell>
          <cell r="G4991">
            <v>0</v>
          </cell>
          <cell r="H4991">
            <v>62</v>
          </cell>
        </row>
        <row r="4992">
          <cell r="F4992">
            <v>521.13</v>
          </cell>
          <cell r="G4992">
            <v>0</v>
          </cell>
          <cell r="H4992">
            <v>62</v>
          </cell>
        </row>
        <row r="4993">
          <cell r="F4993">
            <v>106905.56999999999</v>
          </cell>
          <cell r="G4993">
            <v>0</v>
          </cell>
          <cell r="H4993">
            <v>62</v>
          </cell>
        </row>
        <row r="4994">
          <cell r="F4994">
            <v>18481.03</v>
          </cell>
          <cell r="G4994">
            <v>0</v>
          </cell>
          <cell r="H4994">
            <v>62</v>
          </cell>
        </row>
        <row r="4995">
          <cell r="F4995">
            <v>33588.720000000001</v>
          </cell>
          <cell r="G4995">
            <v>0</v>
          </cell>
          <cell r="H4995">
            <v>62</v>
          </cell>
        </row>
        <row r="4996">
          <cell r="F4996">
            <v>66423.69</v>
          </cell>
          <cell r="G4996">
            <v>0</v>
          </cell>
          <cell r="H4996">
            <v>62</v>
          </cell>
        </row>
        <row r="4997">
          <cell r="F4997">
            <v>37443.22</v>
          </cell>
          <cell r="G4997">
            <v>0</v>
          </cell>
          <cell r="H4997">
            <v>62</v>
          </cell>
        </row>
        <row r="4998">
          <cell r="F4998">
            <v>6310.5499999999993</v>
          </cell>
          <cell r="G4998">
            <v>0</v>
          </cell>
          <cell r="H4998">
            <v>62</v>
          </cell>
        </row>
        <row r="4999">
          <cell r="F4999">
            <v>57316.979999999996</v>
          </cell>
          <cell r="G4999">
            <v>0</v>
          </cell>
          <cell r="H4999">
            <v>62</v>
          </cell>
        </row>
        <row r="5000">
          <cell r="F5000">
            <v>19921.640000000003</v>
          </cell>
          <cell r="G5000">
            <v>0</v>
          </cell>
          <cell r="H5000">
            <v>62</v>
          </cell>
        </row>
        <row r="5001">
          <cell r="F5001">
            <v>0</v>
          </cell>
          <cell r="G5001">
            <v>0</v>
          </cell>
          <cell r="H5001">
            <v>62</v>
          </cell>
        </row>
        <row r="5002">
          <cell r="F5002">
            <v>6221.1100000000006</v>
          </cell>
          <cell r="G5002">
            <v>0</v>
          </cell>
          <cell r="H5002">
            <v>62</v>
          </cell>
        </row>
        <row r="5003">
          <cell r="F5003">
            <v>25598.63</v>
          </cell>
          <cell r="G5003">
            <v>0</v>
          </cell>
          <cell r="H5003">
            <v>62</v>
          </cell>
        </row>
        <row r="5004">
          <cell r="F5004">
            <v>165304.44</v>
          </cell>
          <cell r="G5004">
            <v>0</v>
          </cell>
          <cell r="H5004">
            <v>62</v>
          </cell>
        </row>
        <row r="5005">
          <cell r="F5005">
            <v>6109.9400000000005</v>
          </cell>
          <cell r="G5005">
            <v>0</v>
          </cell>
          <cell r="H5005">
            <v>62</v>
          </cell>
        </row>
        <row r="5006">
          <cell r="F5006">
            <v>87773.75</v>
          </cell>
          <cell r="G5006">
            <v>0</v>
          </cell>
          <cell r="H5006">
            <v>62</v>
          </cell>
        </row>
        <row r="5007">
          <cell r="F5007">
            <v>26061.850000000002</v>
          </cell>
          <cell r="G5007">
            <v>0</v>
          </cell>
          <cell r="H5007">
            <v>62</v>
          </cell>
        </row>
        <row r="5008">
          <cell r="F5008">
            <v>93425.57</v>
          </cell>
          <cell r="G5008">
            <v>0</v>
          </cell>
          <cell r="H5008">
            <v>62</v>
          </cell>
        </row>
        <row r="5009">
          <cell r="F5009">
            <v>8796.08</v>
          </cell>
          <cell r="G5009">
            <v>0</v>
          </cell>
          <cell r="H5009">
            <v>62</v>
          </cell>
        </row>
        <row r="5010">
          <cell r="F5010">
            <v>3755.7</v>
          </cell>
          <cell r="G5010">
            <v>0</v>
          </cell>
          <cell r="H5010">
            <v>62</v>
          </cell>
        </row>
        <row r="5011">
          <cell r="F5011">
            <v>7100.02</v>
          </cell>
          <cell r="G5011">
            <v>0</v>
          </cell>
          <cell r="H5011">
            <v>62</v>
          </cell>
        </row>
        <row r="5012">
          <cell r="F5012">
            <v>4012.51</v>
          </cell>
          <cell r="G5012">
            <v>0</v>
          </cell>
          <cell r="H5012">
            <v>62</v>
          </cell>
        </row>
        <row r="5013">
          <cell r="F5013">
            <v>181139.76</v>
          </cell>
          <cell r="G5013">
            <v>0</v>
          </cell>
          <cell r="H5013">
            <v>62</v>
          </cell>
        </row>
        <row r="5014">
          <cell r="F5014">
            <v>28700.29</v>
          </cell>
          <cell r="G5014">
            <v>0</v>
          </cell>
          <cell r="H5014">
            <v>62</v>
          </cell>
        </row>
        <row r="5015">
          <cell r="F5015">
            <v>104299.22</v>
          </cell>
          <cell r="G5015">
            <v>0</v>
          </cell>
          <cell r="H5015">
            <v>62</v>
          </cell>
        </row>
        <row r="5016">
          <cell r="F5016">
            <v>68930.63</v>
          </cell>
          <cell r="G5016">
            <v>0</v>
          </cell>
          <cell r="H5016">
            <v>62</v>
          </cell>
        </row>
        <row r="5017">
          <cell r="F5017">
            <v>23102.239999999998</v>
          </cell>
          <cell r="G5017">
            <v>0</v>
          </cell>
          <cell r="H5017">
            <v>62</v>
          </cell>
        </row>
        <row r="5018">
          <cell r="F5018">
            <v>60586.74</v>
          </cell>
          <cell r="G5018">
            <v>0</v>
          </cell>
          <cell r="H5018">
            <v>62</v>
          </cell>
        </row>
        <row r="5019">
          <cell r="F5019">
            <v>5011.4399999999996</v>
          </cell>
          <cell r="G5019">
            <v>0</v>
          </cell>
          <cell r="H5019">
            <v>62</v>
          </cell>
        </row>
        <row r="5020">
          <cell r="F5020">
            <v>12260.85</v>
          </cell>
          <cell r="G5020">
            <v>0</v>
          </cell>
          <cell r="H5020">
            <v>62</v>
          </cell>
        </row>
        <row r="5021">
          <cell r="F5021">
            <v>272669.44999999995</v>
          </cell>
          <cell r="G5021">
            <v>0</v>
          </cell>
          <cell r="H5021">
            <v>62</v>
          </cell>
        </row>
        <row r="5022">
          <cell r="F5022">
            <v>2813.7200000000003</v>
          </cell>
          <cell r="G5022">
            <v>0</v>
          </cell>
          <cell r="H5022">
            <v>62</v>
          </cell>
        </row>
        <row r="5023">
          <cell r="F5023">
            <v>59650.590000000004</v>
          </cell>
          <cell r="G5023">
            <v>0</v>
          </cell>
          <cell r="H5023">
            <v>62</v>
          </cell>
        </row>
        <row r="5024">
          <cell r="F5024">
            <v>44007.439999999995</v>
          </cell>
          <cell r="G5024">
            <v>0</v>
          </cell>
          <cell r="H5024">
            <v>62</v>
          </cell>
        </row>
        <row r="5025">
          <cell r="F5025">
            <v>0</v>
          </cell>
          <cell r="G5025">
            <v>0</v>
          </cell>
          <cell r="H5025">
            <v>62</v>
          </cell>
        </row>
        <row r="5026">
          <cell r="F5026">
            <v>11731.12</v>
          </cell>
          <cell r="G5026">
            <v>0</v>
          </cell>
          <cell r="H5026">
            <v>62</v>
          </cell>
        </row>
        <row r="5027">
          <cell r="F5027">
            <v>158304.53999999998</v>
          </cell>
          <cell r="G5027">
            <v>0</v>
          </cell>
          <cell r="H5027">
            <v>62</v>
          </cell>
        </row>
        <row r="5028">
          <cell r="F5028">
            <v>49872.02</v>
          </cell>
          <cell r="G5028">
            <v>0</v>
          </cell>
          <cell r="H5028">
            <v>62</v>
          </cell>
        </row>
        <row r="5029">
          <cell r="F5029">
            <v>47567.15</v>
          </cell>
          <cell r="G5029">
            <v>0</v>
          </cell>
          <cell r="H5029">
            <v>62</v>
          </cell>
        </row>
        <row r="5030">
          <cell r="F5030">
            <v>125653.65000000001</v>
          </cell>
          <cell r="G5030">
            <v>0</v>
          </cell>
          <cell r="H5030">
            <v>62</v>
          </cell>
        </row>
        <row r="5031">
          <cell r="F5031">
            <v>45358.85</v>
          </cell>
          <cell r="G5031">
            <v>0</v>
          </cell>
          <cell r="H5031">
            <v>62</v>
          </cell>
        </row>
        <row r="5032">
          <cell r="F5032">
            <v>2002.3999999999999</v>
          </cell>
          <cell r="G5032">
            <v>0</v>
          </cell>
          <cell r="H5032">
            <v>62</v>
          </cell>
        </row>
        <row r="5033">
          <cell r="F5033">
            <v>1790.8600000000001</v>
          </cell>
          <cell r="G5033">
            <v>0</v>
          </cell>
          <cell r="H5033">
            <v>62</v>
          </cell>
        </row>
        <row r="5034">
          <cell r="F5034">
            <v>15181.54</v>
          </cell>
          <cell r="G5034">
            <v>0</v>
          </cell>
          <cell r="H5034">
            <v>62</v>
          </cell>
        </row>
        <row r="5035">
          <cell r="F5035">
            <v>5448.78</v>
          </cell>
          <cell r="G5035">
            <v>0</v>
          </cell>
          <cell r="H5035">
            <v>62</v>
          </cell>
        </row>
        <row r="5036">
          <cell r="F5036">
            <v>51932.82</v>
          </cell>
          <cell r="G5036">
            <v>0</v>
          </cell>
          <cell r="H5036">
            <v>62</v>
          </cell>
        </row>
        <row r="5037">
          <cell r="F5037">
            <v>32060.13</v>
          </cell>
          <cell r="G5037">
            <v>0</v>
          </cell>
          <cell r="H5037">
            <v>62</v>
          </cell>
        </row>
        <row r="5038">
          <cell r="F5038">
            <v>73520.010000000009</v>
          </cell>
          <cell r="G5038">
            <v>0</v>
          </cell>
          <cell r="H5038">
            <v>62</v>
          </cell>
        </row>
        <row r="5039">
          <cell r="F5039">
            <v>42976.38</v>
          </cell>
          <cell r="G5039">
            <v>0</v>
          </cell>
          <cell r="H5039">
            <v>62</v>
          </cell>
        </row>
        <row r="5040">
          <cell r="F5040">
            <v>30561.440000000002</v>
          </cell>
          <cell r="G5040">
            <v>0</v>
          </cell>
          <cell r="H5040">
            <v>62</v>
          </cell>
        </row>
        <row r="5041">
          <cell r="F5041">
            <v>29374.400000000001</v>
          </cell>
          <cell r="G5041">
            <v>0</v>
          </cell>
          <cell r="H5041">
            <v>62</v>
          </cell>
        </row>
        <row r="5042">
          <cell r="F5042">
            <v>30312.71</v>
          </cell>
          <cell r="G5042">
            <v>0</v>
          </cell>
          <cell r="H5042">
            <v>62</v>
          </cell>
        </row>
        <row r="5043">
          <cell r="F5043">
            <v>0</v>
          </cell>
          <cell r="G5043">
            <v>0</v>
          </cell>
          <cell r="H5043">
            <v>62</v>
          </cell>
        </row>
        <row r="5044">
          <cell r="F5044">
            <v>5934.04</v>
          </cell>
          <cell r="G5044">
            <v>0</v>
          </cell>
          <cell r="H5044">
            <v>62</v>
          </cell>
        </row>
        <row r="5045">
          <cell r="F5045">
            <v>45836.229999999996</v>
          </cell>
          <cell r="G5045">
            <v>0</v>
          </cell>
          <cell r="H5045">
            <v>62</v>
          </cell>
        </row>
        <row r="5046">
          <cell r="F5046">
            <v>42840.85</v>
          </cell>
          <cell r="G5046">
            <v>0</v>
          </cell>
          <cell r="H5046">
            <v>62</v>
          </cell>
        </row>
        <row r="5047">
          <cell r="F5047">
            <v>55611.759999999995</v>
          </cell>
          <cell r="G5047">
            <v>0</v>
          </cell>
          <cell r="H5047">
            <v>62</v>
          </cell>
        </row>
        <row r="5048">
          <cell r="F5048">
            <v>7224.38</v>
          </cell>
          <cell r="G5048">
            <v>0</v>
          </cell>
          <cell r="H5048">
            <v>62</v>
          </cell>
        </row>
        <row r="5049">
          <cell r="F5049">
            <v>13712.58</v>
          </cell>
          <cell r="G5049">
            <v>0</v>
          </cell>
          <cell r="H5049">
            <v>62</v>
          </cell>
        </row>
        <row r="5050">
          <cell r="F5050">
            <v>10643.02</v>
          </cell>
          <cell r="G5050">
            <v>0</v>
          </cell>
          <cell r="H5050">
            <v>62</v>
          </cell>
        </row>
        <row r="5051">
          <cell r="F5051">
            <v>23530.379999999997</v>
          </cell>
          <cell r="G5051">
            <v>0</v>
          </cell>
          <cell r="H5051">
            <v>62</v>
          </cell>
        </row>
        <row r="5052">
          <cell r="F5052">
            <v>53350.920000000006</v>
          </cell>
          <cell r="G5052">
            <v>0</v>
          </cell>
          <cell r="H5052">
            <v>62</v>
          </cell>
        </row>
        <row r="5053">
          <cell r="F5053">
            <v>20453.059999999998</v>
          </cell>
          <cell r="G5053">
            <v>0</v>
          </cell>
          <cell r="H5053">
            <v>62</v>
          </cell>
        </row>
        <row r="5054">
          <cell r="F5054">
            <v>0</v>
          </cell>
          <cell r="G5054">
            <v>0</v>
          </cell>
          <cell r="H5054">
            <v>62</v>
          </cell>
        </row>
        <row r="5055">
          <cell r="F5055">
            <v>129867.4</v>
          </cell>
          <cell r="G5055">
            <v>0</v>
          </cell>
          <cell r="H5055">
            <v>62</v>
          </cell>
        </row>
        <row r="5056">
          <cell r="F5056">
            <v>17200.349999999999</v>
          </cell>
          <cell r="G5056">
            <v>0</v>
          </cell>
          <cell r="H5056">
            <v>62</v>
          </cell>
        </row>
        <row r="5057">
          <cell r="F5057">
            <v>47027.93</v>
          </cell>
          <cell r="G5057">
            <v>0</v>
          </cell>
          <cell r="H5057">
            <v>62</v>
          </cell>
        </row>
        <row r="5058">
          <cell r="F5058">
            <v>18775.649999999998</v>
          </cell>
          <cell r="G5058">
            <v>0</v>
          </cell>
          <cell r="H5058">
            <v>62</v>
          </cell>
        </row>
        <row r="5059">
          <cell r="F5059">
            <v>14313.109999999999</v>
          </cell>
          <cell r="G5059">
            <v>0</v>
          </cell>
          <cell r="H5059">
            <v>62</v>
          </cell>
        </row>
        <row r="5060">
          <cell r="F5060">
            <v>8180.5199999999995</v>
          </cell>
          <cell r="G5060">
            <v>0</v>
          </cell>
          <cell r="H5060">
            <v>62</v>
          </cell>
        </row>
        <row r="5061">
          <cell r="F5061">
            <v>25090.829999999998</v>
          </cell>
          <cell r="G5061">
            <v>0</v>
          </cell>
          <cell r="H5061">
            <v>62</v>
          </cell>
        </row>
        <row r="5062">
          <cell r="F5062">
            <v>0</v>
          </cell>
          <cell r="G5062">
            <v>0</v>
          </cell>
          <cell r="H5062">
            <v>62</v>
          </cell>
        </row>
        <row r="5063">
          <cell r="F5063">
            <v>0</v>
          </cell>
          <cell r="G5063">
            <v>0</v>
          </cell>
          <cell r="H5063">
            <v>62</v>
          </cell>
        </row>
        <row r="5064">
          <cell r="F5064">
            <v>73394.8</v>
          </cell>
          <cell r="G5064">
            <v>0</v>
          </cell>
          <cell r="H5064">
            <v>62</v>
          </cell>
        </row>
        <row r="5065">
          <cell r="F5065">
            <v>37939.980000000003</v>
          </cell>
          <cell r="G5065">
            <v>0</v>
          </cell>
          <cell r="H5065">
            <v>62</v>
          </cell>
        </row>
        <row r="5066">
          <cell r="F5066">
            <v>5245.8499999999995</v>
          </cell>
          <cell r="G5066">
            <v>0</v>
          </cell>
          <cell r="H5066">
            <v>62</v>
          </cell>
        </row>
        <row r="5067">
          <cell r="F5067">
            <v>172997.45</v>
          </cell>
          <cell r="G5067">
            <v>0</v>
          </cell>
          <cell r="H5067">
            <v>62</v>
          </cell>
        </row>
        <row r="5068">
          <cell r="F5068">
            <v>24159.22</v>
          </cell>
          <cell r="G5068">
            <v>0</v>
          </cell>
          <cell r="H5068">
            <v>62</v>
          </cell>
        </row>
        <row r="5069">
          <cell r="F5069">
            <v>23132.31</v>
          </cell>
          <cell r="G5069">
            <v>0</v>
          </cell>
          <cell r="H5069">
            <v>62</v>
          </cell>
        </row>
        <row r="5070">
          <cell r="F5070">
            <v>9462.01</v>
          </cell>
          <cell r="G5070">
            <v>0</v>
          </cell>
          <cell r="H5070">
            <v>62</v>
          </cell>
        </row>
        <row r="5071">
          <cell r="F5071">
            <v>9598.94</v>
          </cell>
          <cell r="G5071">
            <v>0</v>
          </cell>
          <cell r="H5071">
            <v>62</v>
          </cell>
        </row>
        <row r="5072">
          <cell r="F5072">
            <v>6949.87</v>
          </cell>
          <cell r="G5072">
            <v>0</v>
          </cell>
          <cell r="H5072">
            <v>62</v>
          </cell>
        </row>
        <row r="5073">
          <cell r="F5073">
            <v>47531.66</v>
          </cell>
          <cell r="G5073">
            <v>0</v>
          </cell>
          <cell r="H5073">
            <v>62</v>
          </cell>
        </row>
        <row r="5074">
          <cell r="F5074">
            <v>3834.74</v>
          </cell>
          <cell r="G5074">
            <v>0</v>
          </cell>
          <cell r="H5074">
            <v>62</v>
          </cell>
        </row>
        <row r="5075">
          <cell r="F5075">
            <v>17244.3</v>
          </cell>
          <cell r="G5075">
            <v>0</v>
          </cell>
          <cell r="H5075">
            <v>62</v>
          </cell>
        </row>
        <row r="5076">
          <cell r="F5076">
            <v>8466.99</v>
          </cell>
          <cell r="G5076">
            <v>0</v>
          </cell>
          <cell r="H5076">
            <v>62</v>
          </cell>
        </row>
        <row r="5077">
          <cell r="F5077">
            <v>6176.9</v>
          </cell>
          <cell r="G5077">
            <v>0</v>
          </cell>
          <cell r="H5077">
            <v>62</v>
          </cell>
        </row>
        <row r="5078">
          <cell r="F5078">
            <v>27425.46</v>
          </cell>
          <cell r="G5078">
            <v>0</v>
          </cell>
          <cell r="H5078">
            <v>62</v>
          </cell>
        </row>
        <row r="5079">
          <cell r="F5079">
            <v>114582.58</v>
          </cell>
          <cell r="G5079">
            <v>0</v>
          </cell>
          <cell r="H5079">
            <v>62</v>
          </cell>
        </row>
        <row r="5080">
          <cell r="F5080">
            <v>30006.34</v>
          </cell>
          <cell r="G5080">
            <v>0</v>
          </cell>
          <cell r="H5080">
            <v>62</v>
          </cell>
        </row>
        <row r="5081">
          <cell r="F5081">
            <v>16313.419999999998</v>
          </cell>
          <cell r="G5081">
            <v>0</v>
          </cell>
          <cell r="H5081">
            <v>62</v>
          </cell>
        </row>
        <row r="5082">
          <cell r="F5082">
            <v>3184.59</v>
          </cell>
          <cell r="G5082">
            <v>0</v>
          </cell>
          <cell r="H5082">
            <v>62</v>
          </cell>
        </row>
        <row r="5083">
          <cell r="F5083">
            <v>11452.650000000001</v>
          </cell>
          <cell r="G5083">
            <v>0</v>
          </cell>
          <cell r="H5083">
            <v>62</v>
          </cell>
        </row>
        <row r="5084">
          <cell r="F5084">
            <v>45625.599999999999</v>
          </cell>
          <cell r="G5084">
            <v>0</v>
          </cell>
          <cell r="H5084">
            <v>62</v>
          </cell>
        </row>
        <row r="5085">
          <cell r="F5085">
            <v>93121.26999999999</v>
          </cell>
          <cell r="G5085">
            <v>0</v>
          </cell>
          <cell r="H5085">
            <v>62</v>
          </cell>
        </row>
        <row r="5086">
          <cell r="F5086">
            <v>5732.76</v>
          </cell>
          <cell r="G5086">
            <v>0</v>
          </cell>
          <cell r="H5086">
            <v>62</v>
          </cell>
        </row>
        <row r="5087">
          <cell r="F5087">
            <v>6863.3899999999994</v>
          </cell>
          <cell r="G5087">
            <v>0</v>
          </cell>
          <cell r="H5087">
            <v>62</v>
          </cell>
        </row>
        <row r="5088">
          <cell r="F5088">
            <v>3473.72</v>
          </cell>
          <cell r="G5088">
            <v>0</v>
          </cell>
          <cell r="H5088">
            <v>62</v>
          </cell>
        </row>
        <row r="5089">
          <cell r="F5089">
            <v>13083.300000000001</v>
          </cell>
          <cell r="G5089">
            <v>0</v>
          </cell>
          <cell r="H5089">
            <v>62</v>
          </cell>
        </row>
        <row r="5090">
          <cell r="F5090">
            <v>1661.2</v>
          </cell>
          <cell r="G5090">
            <v>0</v>
          </cell>
          <cell r="H5090">
            <v>62</v>
          </cell>
        </row>
        <row r="5091">
          <cell r="F5091">
            <v>89238.11</v>
          </cell>
          <cell r="G5091">
            <v>0</v>
          </cell>
          <cell r="H5091">
            <v>62</v>
          </cell>
        </row>
        <row r="5092">
          <cell r="F5092">
            <v>77941.789999999994</v>
          </cell>
          <cell r="G5092">
            <v>0</v>
          </cell>
          <cell r="H5092">
            <v>62</v>
          </cell>
        </row>
        <row r="5093">
          <cell r="F5093">
            <v>5651.65</v>
          </cell>
          <cell r="G5093">
            <v>0</v>
          </cell>
          <cell r="H5093">
            <v>62</v>
          </cell>
        </row>
        <row r="5094">
          <cell r="F5094">
            <v>36870.44</v>
          </cell>
          <cell r="G5094">
            <v>0</v>
          </cell>
          <cell r="H5094">
            <v>62</v>
          </cell>
        </row>
        <row r="5095">
          <cell r="F5095">
            <v>3511.34</v>
          </cell>
          <cell r="G5095">
            <v>0</v>
          </cell>
          <cell r="H5095">
            <v>62</v>
          </cell>
        </row>
        <row r="5096">
          <cell r="F5096">
            <v>48232.36</v>
          </cell>
          <cell r="G5096">
            <v>0</v>
          </cell>
          <cell r="H5096">
            <v>62</v>
          </cell>
        </row>
        <row r="5097">
          <cell r="F5097">
            <v>109374.7</v>
          </cell>
          <cell r="G5097">
            <v>0</v>
          </cell>
          <cell r="H5097">
            <v>62</v>
          </cell>
        </row>
        <row r="5098">
          <cell r="F5098">
            <v>58798.16</v>
          </cell>
          <cell r="G5098">
            <v>0</v>
          </cell>
          <cell r="H5098">
            <v>62</v>
          </cell>
        </row>
        <row r="5099">
          <cell r="F5099">
            <v>7647.07</v>
          </cell>
          <cell r="G5099">
            <v>0</v>
          </cell>
          <cell r="H5099">
            <v>62</v>
          </cell>
        </row>
        <row r="5100">
          <cell r="F5100">
            <v>0</v>
          </cell>
          <cell r="G5100">
            <v>0</v>
          </cell>
          <cell r="H5100">
            <v>62</v>
          </cell>
        </row>
        <row r="5101">
          <cell r="F5101">
            <v>0</v>
          </cell>
          <cell r="G5101">
            <v>0</v>
          </cell>
          <cell r="H5101">
            <v>62</v>
          </cell>
        </row>
        <row r="5102">
          <cell r="F5102">
            <v>187082.79</v>
          </cell>
          <cell r="G5102">
            <v>0</v>
          </cell>
          <cell r="H5102">
            <v>62</v>
          </cell>
        </row>
        <row r="5103">
          <cell r="F5103">
            <v>151618.46999999997</v>
          </cell>
          <cell r="G5103">
            <v>0</v>
          </cell>
          <cell r="H5103">
            <v>62</v>
          </cell>
        </row>
        <row r="5104">
          <cell r="F5104">
            <v>28618.99</v>
          </cell>
          <cell r="G5104">
            <v>0</v>
          </cell>
          <cell r="H5104">
            <v>62</v>
          </cell>
        </row>
        <row r="5105">
          <cell r="F5105">
            <v>64285.52</v>
          </cell>
          <cell r="G5105">
            <v>0</v>
          </cell>
          <cell r="H5105">
            <v>62</v>
          </cell>
        </row>
        <row r="5106">
          <cell r="F5106">
            <v>13093.02</v>
          </cell>
          <cell r="G5106">
            <v>0</v>
          </cell>
          <cell r="H5106">
            <v>62</v>
          </cell>
        </row>
        <row r="5107">
          <cell r="F5107">
            <v>54038.98</v>
          </cell>
          <cell r="G5107">
            <v>0</v>
          </cell>
          <cell r="H5107">
            <v>62</v>
          </cell>
        </row>
        <row r="5108">
          <cell r="F5108">
            <v>52832.639999999999</v>
          </cell>
          <cell r="G5108">
            <v>0</v>
          </cell>
          <cell r="H5108">
            <v>62</v>
          </cell>
        </row>
        <row r="5109">
          <cell r="F5109">
            <v>61706.720000000001</v>
          </cell>
          <cell r="G5109">
            <v>0</v>
          </cell>
          <cell r="H5109">
            <v>62</v>
          </cell>
        </row>
        <row r="5110">
          <cell r="F5110">
            <v>112940.03</v>
          </cell>
          <cell r="G5110">
            <v>0</v>
          </cell>
          <cell r="H5110">
            <v>62</v>
          </cell>
        </row>
        <row r="5111">
          <cell r="F5111">
            <v>3866.02</v>
          </cell>
          <cell r="G5111">
            <v>0</v>
          </cell>
          <cell r="H5111">
            <v>62</v>
          </cell>
        </row>
        <row r="5112">
          <cell r="F5112">
            <v>5424.76</v>
          </cell>
          <cell r="G5112">
            <v>0</v>
          </cell>
          <cell r="H5112">
            <v>62</v>
          </cell>
        </row>
        <row r="5113">
          <cell r="F5113">
            <v>56800.480000000003</v>
          </cell>
          <cell r="G5113">
            <v>0</v>
          </cell>
          <cell r="H5113">
            <v>62</v>
          </cell>
        </row>
        <row r="5114">
          <cell r="F5114">
            <v>58552.68</v>
          </cell>
          <cell r="G5114">
            <v>0</v>
          </cell>
          <cell r="H5114">
            <v>62</v>
          </cell>
        </row>
        <row r="5115">
          <cell r="F5115">
            <v>190554.58</v>
          </cell>
          <cell r="G5115">
            <v>0</v>
          </cell>
          <cell r="H5115">
            <v>62</v>
          </cell>
        </row>
        <row r="5116">
          <cell r="F5116">
            <v>31115.77</v>
          </cell>
          <cell r="G5116">
            <v>0</v>
          </cell>
          <cell r="H5116">
            <v>62</v>
          </cell>
        </row>
        <row r="5117">
          <cell r="F5117">
            <v>2856.66</v>
          </cell>
          <cell r="G5117">
            <v>0</v>
          </cell>
          <cell r="H5117">
            <v>62</v>
          </cell>
        </row>
        <row r="5118">
          <cell r="F5118">
            <v>546.62</v>
          </cell>
          <cell r="G5118">
            <v>0</v>
          </cell>
          <cell r="H5118">
            <v>62</v>
          </cell>
        </row>
        <row r="5119">
          <cell r="F5119">
            <v>2642.17</v>
          </cell>
          <cell r="G5119">
            <v>0</v>
          </cell>
          <cell r="H5119">
            <v>62</v>
          </cell>
        </row>
        <row r="5120">
          <cell r="F5120">
            <v>448.17</v>
          </cell>
          <cell r="G5120">
            <v>0</v>
          </cell>
          <cell r="H5120">
            <v>62</v>
          </cell>
        </row>
        <row r="5121">
          <cell r="F5121">
            <v>361.43</v>
          </cell>
          <cell r="G5121">
            <v>0</v>
          </cell>
          <cell r="H5121">
            <v>62</v>
          </cell>
        </row>
        <row r="5122">
          <cell r="F5122">
            <v>1912.92</v>
          </cell>
          <cell r="G5122">
            <v>0</v>
          </cell>
          <cell r="H5122">
            <v>62</v>
          </cell>
        </row>
        <row r="5123">
          <cell r="F5123">
            <v>118.56</v>
          </cell>
          <cell r="G5123">
            <v>0</v>
          </cell>
          <cell r="H5123">
            <v>62</v>
          </cell>
        </row>
        <row r="5124">
          <cell r="F5124">
            <v>221.76</v>
          </cell>
          <cell r="G5124">
            <v>0</v>
          </cell>
          <cell r="H5124">
            <v>62</v>
          </cell>
        </row>
        <row r="5125">
          <cell r="F5125">
            <v>624.47</v>
          </cell>
          <cell r="G5125">
            <v>0</v>
          </cell>
          <cell r="H5125">
            <v>62</v>
          </cell>
        </row>
        <row r="5126">
          <cell r="F5126">
            <v>61.35</v>
          </cell>
          <cell r="G5126">
            <v>0</v>
          </cell>
          <cell r="H5126">
            <v>62</v>
          </cell>
        </row>
        <row r="5127">
          <cell r="F5127">
            <v>1461.44</v>
          </cell>
          <cell r="G5127">
            <v>0</v>
          </cell>
          <cell r="H5127">
            <v>62</v>
          </cell>
        </row>
        <row r="5128">
          <cell r="F5128">
            <v>170.85</v>
          </cell>
          <cell r="G5128">
            <v>0</v>
          </cell>
          <cell r="H5128">
            <v>62</v>
          </cell>
        </row>
        <row r="5129">
          <cell r="F5129">
            <v>50</v>
          </cell>
          <cell r="G5129">
            <v>0</v>
          </cell>
          <cell r="H5129">
            <v>62</v>
          </cell>
        </row>
        <row r="5130">
          <cell r="F5130">
            <v>17.940000000000001</v>
          </cell>
          <cell r="G5130">
            <v>0</v>
          </cell>
          <cell r="H5130">
            <v>62</v>
          </cell>
        </row>
        <row r="5131">
          <cell r="F5131">
            <v>265.05</v>
          </cell>
          <cell r="G5131">
            <v>0</v>
          </cell>
          <cell r="H5131">
            <v>62</v>
          </cell>
        </row>
        <row r="5132">
          <cell r="F5132">
            <v>110.16</v>
          </cell>
          <cell r="G5132">
            <v>0</v>
          </cell>
          <cell r="H5132">
            <v>62</v>
          </cell>
        </row>
        <row r="5133">
          <cell r="F5133">
            <v>128.37</v>
          </cell>
          <cell r="G5133">
            <v>0</v>
          </cell>
          <cell r="H5133">
            <v>62</v>
          </cell>
        </row>
        <row r="5134">
          <cell r="F5134">
            <v>70.190000000000012</v>
          </cell>
          <cell r="G5134">
            <v>0</v>
          </cell>
          <cell r="H5134">
            <v>62</v>
          </cell>
        </row>
        <row r="5135">
          <cell r="F5135">
            <v>1152.0999999999999</v>
          </cell>
          <cell r="G5135">
            <v>0</v>
          </cell>
          <cell r="H5135">
            <v>62</v>
          </cell>
        </row>
        <row r="5136">
          <cell r="F5136">
            <v>2439.0100000000002</v>
          </cell>
          <cell r="G5136">
            <v>0</v>
          </cell>
          <cell r="H5136">
            <v>62</v>
          </cell>
        </row>
        <row r="5137">
          <cell r="F5137">
            <v>595.04000000000008</v>
          </cell>
          <cell r="G5137">
            <v>0</v>
          </cell>
          <cell r="H5137">
            <v>62</v>
          </cell>
        </row>
        <row r="5138">
          <cell r="F5138">
            <v>107.09</v>
          </cell>
          <cell r="G5138">
            <v>0</v>
          </cell>
          <cell r="H5138">
            <v>62</v>
          </cell>
        </row>
        <row r="5139">
          <cell r="F5139">
            <v>1725.1</v>
          </cell>
          <cell r="G5139">
            <v>0</v>
          </cell>
          <cell r="H5139">
            <v>62</v>
          </cell>
        </row>
        <row r="5140">
          <cell r="F5140">
            <v>1318.5700000000002</v>
          </cell>
          <cell r="G5140">
            <v>0</v>
          </cell>
          <cell r="H5140">
            <v>62</v>
          </cell>
        </row>
        <row r="5141">
          <cell r="F5141">
            <v>3041.83</v>
          </cell>
          <cell r="G5141">
            <v>0</v>
          </cell>
          <cell r="H5141">
            <v>62</v>
          </cell>
        </row>
        <row r="5142">
          <cell r="F5142">
            <v>844.23</v>
          </cell>
          <cell r="G5142">
            <v>0</v>
          </cell>
          <cell r="H5142">
            <v>62</v>
          </cell>
        </row>
        <row r="5143">
          <cell r="F5143">
            <v>499.06</v>
          </cell>
          <cell r="G5143">
            <v>0</v>
          </cell>
          <cell r="H5143">
            <v>62</v>
          </cell>
        </row>
        <row r="5144">
          <cell r="F5144">
            <v>250.3</v>
          </cell>
          <cell r="G5144">
            <v>0</v>
          </cell>
          <cell r="H5144">
            <v>62</v>
          </cell>
        </row>
        <row r="5145">
          <cell r="F5145">
            <v>2729.17</v>
          </cell>
          <cell r="G5145">
            <v>0</v>
          </cell>
          <cell r="H5145">
            <v>62</v>
          </cell>
        </row>
        <row r="5146">
          <cell r="F5146">
            <v>768.76</v>
          </cell>
          <cell r="G5146">
            <v>0</v>
          </cell>
          <cell r="H5146">
            <v>62</v>
          </cell>
        </row>
        <row r="5147">
          <cell r="F5147">
            <v>45.82</v>
          </cell>
          <cell r="G5147">
            <v>0</v>
          </cell>
          <cell r="H5147">
            <v>62</v>
          </cell>
        </row>
        <row r="5148">
          <cell r="F5148">
            <v>4674.87</v>
          </cell>
          <cell r="G5148">
            <v>0</v>
          </cell>
          <cell r="H5148">
            <v>62</v>
          </cell>
        </row>
        <row r="5149">
          <cell r="F5149">
            <v>1367.11</v>
          </cell>
          <cell r="G5149">
            <v>0</v>
          </cell>
          <cell r="H5149">
            <v>62</v>
          </cell>
        </row>
        <row r="5150">
          <cell r="F5150">
            <v>260.64</v>
          </cell>
          <cell r="G5150">
            <v>0</v>
          </cell>
          <cell r="H5150">
            <v>62</v>
          </cell>
        </row>
        <row r="5151">
          <cell r="F5151">
            <v>377.69</v>
          </cell>
          <cell r="G5151">
            <v>0</v>
          </cell>
          <cell r="H5151">
            <v>62</v>
          </cell>
        </row>
        <row r="5152">
          <cell r="F5152">
            <v>12.8</v>
          </cell>
          <cell r="G5152">
            <v>0</v>
          </cell>
          <cell r="H5152">
            <v>62</v>
          </cell>
        </row>
        <row r="5153">
          <cell r="F5153">
            <v>30.22</v>
          </cell>
          <cell r="G5153">
            <v>0</v>
          </cell>
          <cell r="H5153">
            <v>62</v>
          </cell>
        </row>
        <row r="5154">
          <cell r="F5154">
            <v>269.08</v>
          </cell>
          <cell r="G5154">
            <v>0</v>
          </cell>
          <cell r="H5154">
            <v>62</v>
          </cell>
        </row>
        <row r="5155">
          <cell r="F5155">
            <v>93.42</v>
          </cell>
          <cell r="G5155">
            <v>0</v>
          </cell>
          <cell r="H5155">
            <v>62</v>
          </cell>
        </row>
        <row r="5156">
          <cell r="F5156">
            <v>1239.3300000000002</v>
          </cell>
          <cell r="G5156">
            <v>0</v>
          </cell>
          <cell r="H5156">
            <v>62</v>
          </cell>
        </row>
        <row r="5157">
          <cell r="F5157">
            <v>360.71000000000004</v>
          </cell>
          <cell r="G5157">
            <v>0</v>
          </cell>
          <cell r="H5157">
            <v>62</v>
          </cell>
        </row>
        <row r="5158">
          <cell r="F5158">
            <v>470.38</v>
          </cell>
          <cell r="G5158">
            <v>0</v>
          </cell>
          <cell r="H5158">
            <v>62</v>
          </cell>
        </row>
        <row r="5159">
          <cell r="F5159">
            <v>1042.3699999999999</v>
          </cell>
          <cell r="G5159">
            <v>0</v>
          </cell>
          <cell r="H5159">
            <v>62</v>
          </cell>
        </row>
        <row r="5160">
          <cell r="F5160">
            <v>513.66</v>
          </cell>
          <cell r="G5160">
            <v>0</v>
          </cell>
          <cell r="H5160">
            <v>62</v>
          </cell>
        </row>
        <row r="5161">
          <cell r="F5161">
            <v>29.91</v>
          </cell>
          <cell r="G5161">
            <v>0</v>
          </cell>
          <cell r="H5161">
            <v>62</v>
          </cell>
        </row>
        <row r="5162">
          <cell r="F5162">
            <v>847.12</v>
          </cell>
          <cell r="G5162">
            <v>0</v>
          </cell>
          <cell r="H5162">
            <v>62</v>
          </cell>
        </row>
        <row r="5163">
          <cell r="F5163">
            <v>389.07</v>
          </cell>
          <cell r="G5163">
            <v>0</v>
          </cell>
          <cell r="H5163">
            <v>62</v>
          </cell>
        </row>
        <row r="5164">
          <cell r="F5164">
            <v>4218.16</v>
          </cell>
          <cell r="G5164">
            <v>0</v>
          </cell>
          <cell r="H5164">
            <v>62</v>
          </cell>
        </row>
        <row r="5165">
          <cell r="F5165">
            <v>387.59</v>
          </cell>
          <cell r="G5165">
            <v>0</v>
          </cell>
          <cell r="H5165">
            <v>62</v>
          </cell>
        </row>
        <row r="5166">
          <cell r="F5166">
            <v>654.98</v>
          </cell>
          <cell r="G5166">
            <v>0</v>
          </cell>
          <cell r="H5166">
            <v>62</v>
          </cell>
        </row>
        <row r="5167">
          <cell r="F5167">
            <v>1400.06</v>
          </cell>
          <cell r="G5167">
            <v>0</v>
          </cell>
          <cell r="H5167">
            <v>62</v>
          </cell>
        </row>
        <row r="5168">
          <cell r="F5168">
            <v>2864.44</v>
          </cell>
          <cell r="G5168">
            <v>0</v>
          </cell>
          <cell r="H5168">
            <v>62</v>
          </cell>
        </row>
        <row r="5169">
          <cell r="F5169">
            <v>473.46</v>
          </cell>
          <cell r="G5169">
            <v>0</v>
          </cell>
          <cell r="H5169">
            <v>62</v>
          </cell>
        </row>
        <row r="5170">
          <cell r="F5170">
            <v>238.79</v>
          </cell>
          <cell r="G5170">
            <v>0</v>
          </cell>
          <cell r="H5170">
            <v>62</v>
          </cell>
        </row>
        <row r="5171">
          <cell r="F5171">
            <v>77.03</v>
          </cell>
          <cell r="G5171">
            <v>0</v>
          </cell>
          <cell r="H5171">
            <v>62</v>
          </cell>
        </row>
        <row r="5172">
          <cell r="F5172">
            <v>2172.87</v>
          </cell>
          <cell r="G5172">
            <v>0</v>
          </cell>
          <cell r="H5172">
            <v>62</v>
          </cell>
        </row>
        <row r="5173">
          <cell r="F5173">
            <v>489.67</v>
          </cell>
          <cell r="G5173">
            <v>0</v>
          </cell>
          <cell r="H5173">
            <v>62</v>
          </cell>
        </row>
        <row r="5174">
          <cell r="F5174">
            <v>377.94</v>
          </cell>
          <cell r="G5174">
            <v>0</v>
          </cell>
          <cell r="H5174">
            <v>62</v>
          </cell>
        </row>
        <row r="5175">
          <cell r="F5175">
            <v>93.29</v>
          </cell>
          <cell r="G5175">
            <v>0</v>
          </cell>
          <cell r="H5175">
            <v>62</v>
          </cell>
        </row>
        <row r="5176">
          <cell r="F5176">
            <v>1461.17</v>
          </cell>
          <cell r="G5176">
            <v>0</v>
          </cell>
          <cell r="H5176">
            <v>62</v>
          </cell>
        </row>
        <row r="5177">
          <cell r="F5177">
            <v>4424.4699999999993</v>
          </cell>
          <cell r="G5177">
            <v>0</v>
          </cell>
          <cell r="H5177">
            <v>62</v>
          </cell>
        </row>
        <row r="5178">
          <cell r="F5178">
            <v>27.74</v>
          </cell>
          <cell r="G5178">
            <v>0</v>
          </cell>
          <cell r="H5178">
            <v>62</v>
          </cell>
        </row>
        <row r="5179">
          <cell r="F5179">
            <v>550.41999999999996</v>
          </cell>
          <cell r="G5179">
            <v>0</v>
          </cell>
          <cell r="H5179">
            <v>62</v>
          </cell>
        </row>
        <row r="5180">
          <cell r="F5180">
            <v>355.68</v>
          </cell>
          <cell r="G5180">
            <v>0</v>
          </cell>
          <cell r="H5180">
            <v>62</v>
          </cell>
        </row>
        <row r="5181">
          <cell r="F5181">
            <v>198.74</v>
          </cell>
          <cell r="G5181">
            <v>0</v>
          </cell>
          <cell r="H5181">
            <v>62</v>
          </cell>
        </row>
        <row r="5182">
          <cell r="F5182">
            <v>1796.99</v>
          </cell>
          <cell r="G5182">
            <v>0</v>
          </cell>
          <cell r="H5182">
            <v>62</v>
          </cell>
        </row>
        <row r="5183">
          <cell r="F5183">
            <v>314.52</v>
          </cell>
          <cell r="G5183">
            <v>0</v>
          </cell>
          <cell r="H5183">
            <v>62</v>
          </cell>
        </row>
        <row r="5184">
          <cell r="F5184">
            <v>1736.98</v>
          </cell>
          <cell r="G5184">
            <v>0</v>
          </cell>
          <cell r="H5184">
            <v>62</v>
          </cell>
        </row>
        <row r="5185">
          <cell r="F5185">
            <v>3060.91</v>
          </cell>
          <cell r="G5185">
            <v>0</v>
          </cell>
          <cell r="H5185">
            <v>62</v>
          </cell>
        </row>
        <row r="5186">
          <cell r="F5186">
            <v>455.33</v>
          </cell>
          <cell r="G5186">
            <v>0</v>
          </cell>
          <cell r="H5186">
            <v>62</v>
          </cell>
        </row>
        <row r="5187">
          <cell r="F5187">
            <v>2520.87</v>
          </cell>
          <cell r="G5187">
            <v>0</v>
          </cell>
          <cell r="H5187">
            <v>62</v>
          </cell>
        </row>
        <row r="5188">
          <cell r="F5188">
            <v>520.68000000000006</v>
          </cell>
          <cell r="G5188">
            <v>0</v>
          </cell>
          <cell r="H5188">
            <v>62</v>
          </cell>
        </row>
        <row r="5189">
          <cell r="F5189">
            <v>4392.8200000000006</v>
          </cell>
          <cell r="G5189">
            <v>0</v>
          </cell>
          <cell r="H5189">
            <v>62</v>
          </cell>
        </row>
        <row r="5190">
          <cell r="F5190">
            <v>88.12</v>
          </cell>
          <cell r="G5190">
            <v>0</v>
          </cell>
          <cell r="H5190">
            <v>62</v>
          </cell>
        </row>
        <row r="5191">
          <cell r="F5191">
            <v>391.88</v>
          </cell>
          <cell r="G5191">
            <v>0</v>
          </cell>
          <cell r="H5191">
            <v>62</v>
          </cell>
        </row>
        <row r="5192">
          <cell r="F5192">
            <v>-410.80999999999995</v>
          </cell>
          <cell r="G5192">
            <v>0</v>
          </cell>
          <cell r="H5192">
            <v>62</v>
          </cell>
        </row>
        <row r="5193">
          <cell r="F5193">
            <v>553.87</v>
          </cell>
          <cell r="G5193">
            <v>0</v>
          </cell>
          <cell r="H5193">
            <v>62</v>
          </cell>
        </row>
        <row r="5194">
          <cell r="F5194">
            <v>296</v>
          </cell>
          <cell r="G5194">
            <v>0</v>
          </cell>
          <cell r="H5194">
            <v>62</v>
          </cell>
        </row>
        <row r="5195">
          <cell r="F5195">
            <v>170.68</v>
          </cell>
          <cell r="G5195">
            <v>0</v>
          </cell>
          <cell r="H5195">
            <v>62</v>
          </cell>
        </row>
        <row r="5196">
          <cell r="F5196">
            <v>12.5</v>
          </cell>
          <cell r="G5196">
            <v>0</v>
          </cell>
          <cell r="H5196">
            <v>62</v>
          </cell>
        </row>
        <row r="5197">
          <cell r="F5197">
            <v>6.36</v>
          </cell>
          <cell r="G5197">
            <v>0</v>
          </cell>
          <cell r="H5197">
            <v>62</v>
          </cell>
        </row>
        <row r="5198">
          <cell r="F5198">
            <v>429.66999999999996</v>
          </cell>
          <cell r="G5198">
            <v>0</v>
          </cell>
          <cell r="H5198">
            <v>62</v>
          </cell>
        </row>
        <row r="5199">
          <cell r="F5199">
            <v>404.90999999999997</v>
          </cell>
          <cell r="G5199">
            <v>0</v>
          </cell>
          <cell r="H5199">
            <v>62</v>
          </cell>
        </row>
        <row r="5200">
          <cell r="F5200">
            <v>1204.31</v>
          </cell>
          <cell r="G5200">
            <v>0</v>
          </cell>
          <cell r="H5200">
            <v>62</v>
          </cell>
        </row>
        <row r="5201">
          <cell r="F5201">
            <v>1905.07</v>
          </cell>
          <cell r="G5201">
            <v>0</v>
          </cell>
          <cell r="H5201">
            <v>62</v>
          </cell>
        </row>
        <row r="5202">
          <cell r="F5202">
            <v>331.76</v>
          </cell>
          <cell r="G5202">
            <v>0</v>
          </cell>
          <cell r="H5202">
            <v>62</v>
          </cell>
        </row>
        <row r="5203">
          <cell r="F5203">
            <v>279.51</v>
          </cell>
          <cell r="G5203">
            <v>0</v>
          </cell>
          <cell r="H5203">
            <v>62</v>
          </cell>
        </row>
        <row r="5204">
          <cell r="F5204">
            <v>138.55000000000001</v>
          </cell>
          <cell r="G5204">
            <v>0</v>
          </cell>
          <cell r="H5204">
            <v>62</v>
          </cell>
        </row>
        <row r="5205">
          <cell r="F5205">
            <v>1374.83</v>
          </cell>
          <cell r="G5205">
            <v>0</v>
          </cell>
          <cell r="H5205">
            <v>62</v>
          </cell>
        </row>
        <row r="5206">
          <cell r="F5206">
            <v>450.92</v>
          </cell>
          <cell r="G5206">
            <v>0</v>
          </cell>
          <cell r="H5206">
            <v>62</v>
          </cell>
        </row>
        <row r="5207">
          <cell r="F5207">
            <v>179.07</v>
          </cell>
          <cell r="G5207">
            <v>0</v>
          </cell>
          <cell r="H5207">
            <v>62</v>
          </cell>
        </row>
        <row r="5208">
          <cell r="F5208">
            <v>510.85</v>
          </cell>
          <cell r="G5208">
            <v>0</v>
          </cell>
          <cell r="H5208">
            <v>62</v>
          </cell>
        </row>
        <row r="5209">
          <cell r="F5209">
            <v>18.850000000000001</v>
          </cell>
          <cell r="G5209">
            <v>0</v>
          </cell>
          <cell r="H5209">
            <v>62</v>
          </cell>
        </row>
        <row r="5210">
          <cell r="F5210">
            <v>-170.74</v>
          </cell>
          <cell r="G5210">
            <v>0</v>
          </cell>
          <cell r="H5210">
            <v>62</v>
          </cell>
        </row>
        <row r="5211">
          <cell r="F5211">
            <v>235.19</v>
          </cell>
          <cell r="G5211">
            <v>0</v>
          </cell>
          <cell r="H5211">
            <v>62</v>
          </cell>
        </row>
        <row r="5212">
          <cell r="F5212">
            <v>136.09</v>
          </cell>
          <cell r="G5212">
            <v>0</v>
          </cell>
          <cell r="H5212">
            <v>62</v>
          </cell>
        </row>
        <row r="5213">
          <cell r="F5213">
            <v>329.62</v>
          </cell>
          <cell r="G5213">
            <v>0</v>
          </cell>
          <cell r="H5213">
            <v>62</v>
          </cell>
        </row>
        <row r="5214">
          <cell r="F5214">
            <v>392.99</v>
          </cell>
          <cell r="G5214">
            <v>0</v>
          </cell>
          <cell r="H5214">
            <v>62</v>
          </cell>
        </row>
        <row r="5215">
          <cell r="F5215">
            <v>300</v>
          </cell>
          <cell r="G5215">
            <v>0</v>
          </cell>
          <cell r="H5215">
            <v>62</v>
          </cell>
        </row>
        <row r="5216">
          <cell r="F5216">
            <v>10.23</v>
          </cell>
          <cell r="G5216">
            <v>0</v>
          </cell>
          <cell r="H5216">
            <v>62</v>
          </cell>
        </row>
        <row r="5217">
          <cell r="F5217">
            <v>474.11</v>
          </cell>
          <cell r="G5217">
            <v>0</v>
          </cell>
          <cell r="H5217">
            <v>62</v>
          </cell>
        </row>
        <row r="5218">
          <cell r="F5218">
            <v>2966.98</v>
          </cell>
          <cell r="G5218">
            <v>0</v>
          </cell>
          <cell r="H5218">
            <v>62</v>
          </cell>
        </row>
        <row r="5219">
          <cell r="F5219">
            <v>451.96</v>
          </cell>
          <cell r="G5219">
            <v>0</v>
          </cell>
          <cell r="H5219">
            <v>62</v>
          </cell>
        </row>
        <row r="5220">
          <cell r="F5220">
            <v>656.01</v>
          </cell>
          <cell r="G5220">
            <v>0</v>
          </cell>
          <cell r="H5220">
            <v>62</v>
          </cell>
        </row>
        <row r="5221">
          <cell r="F5221">
            <v>328.24</v>
          </cell>
          <cell r="G5221">
            <v>0</v>
          </cell>
          <cell r="H5221">
            <v>62</v>
          </cell>
        </row>
        <row r="5222">
          <cell r="F5222">
            <v>148.38</v>
          </cell>
          <cell r="G5222">
            <v>0</v>
          </cell>
          <cell r="H5222">
            <v>62</v>
          </cell>
        </row>
        <row r="5223">
          <cell r="F5223">
            <v>162.33000000000001</v>
          </cell>
          <cell r="G5223">
            <v>0</v>
          </cell>
          <cell r="H5223">
            <v>62</v>
          </cell>
        </row>
        <row r="5224">
          <cell r="F5224">
            <v>120.18</v>
          </cell>
          <cell r="G5224">
            <v>0</v>
          </cell>
          <cell r="H5224">
            <v>62</v>
          </cell>
        </row>
        <row r="5225">
          <cell r="F5225">
            <v>671.28</v>
          </cell>
          <cell r="G5225">
            <v>0</v>
          </cell>
          <cell r="H5225">
            <v>62</v>
          </cell>
        </row>
        <row r="5226">
          <cell r="F5226">
            <v>3004.11</v>
          </cell>
          <cell r="G5226">
            <v>0</v>
          </cell>
          <cell r="H5226">
            <v>62</v>
          </cell>
        </row>
        <row r="5227">
          <cell r="F5227">
            <v>131.57</v>
          </cell>
          <cell r="G5227">
            <v>0</v>
          </cell>
          <cell r="H5227">
            <v>62</v>
          </cell>
        </row>
        <row r="5228">
          <cell r="F5228">
            <v>1602.01</v>
          </cell>
          <cell r="G5228">
            <v>0</v>
          </cell>
          <cell r="H5228">
            <v>62</v>
          </cell>
        </row>
        <row r="5229">
          <cell r="F5229">
            <v>1581.7</v>
          </cell>
          <cell r="G5229">
            <v>0</v>
          </cell>
          <cell r="H5229">
            <v>62</v>
          </cell>
        </row>
        <row r="5230">
          <cell r="F5230">
            <v>121.61000000000001</v>
          </cell>
          <cell r="G5230">
            <v>0</v>
          </cell>
          <cell r="H5230">
            <v>62</v>
          </cell>
        </row>
        <row r="5231">
          <cell r="F5231">
            <v>0</v>
          </cell>
          <cell r="G5231">
            <v>0</v>
          </cell>
          <cell r="H5231">
            <v>62</v>
          </cell>
        </row>
        <row r="5232">
          <cell r="F5232">
            <v>1028.1400000000001</v>
          </cell>
          <cell r="G5232">
            <v>0</v>
          </cell>
          <cell r="H5232">
            <v>62</v>
          </cell>
        </row>
        <row r="5233">
          <cell r="F5233">
            <v>0</v>
          </cell>
          <cell r="G5233">
            <v>0</v>
          </cell>
          <cell r="H5233">
            <v>62</v>
          </cell>
        </row>
        <row r="5234">
          <cell r="F5234">
            <v>1459.93</v>
          </cell>
          <cell r="G5234">
            <v>0</v>
          </cell>
          <cell r="H5234">
            <v>62</v>
          </cell>
        </row>
        <row r="5235">
          <cell r="F5235">
            <v>5782.43</v>
          </cell>
          <cell r="G5235">
            <v>0</v>
          </cell>
          <cell r="H5235">
            <v>62</v>
          </cell>
        </row>
        <row r="5236">
          <cell r="F5236">
            <v>146.74</v>
          </cell>
          <cell r="G5236">
            <v>0</v>
          </cell>
          <cell r="H5236">
            <v>62</v>
          </cell>
        </row>
        <row r="5237">
          <cell r="F5237">
            <v>449.64</v>
          </cell>
          <cell r="G5237">
            <v>0</v>
          </cell>
          <cell r="H5237">
            <v>62</v>
          </cell>
        </row>
        <row r="5238">
          <cell r="F5238">
            <v>3427.7599999999998</v>
          </cell>
          <cell r="G5238">
            <v>0</v>
          </cell>
          <cell r="H5238">
            <v>62</v>
          </cell>
        </row>
        <row r="5239">
          <cell r="F5239">
            <v>323.68</v>
          </cell>
          <cell r="G5239">
            <v>0</v>
          </cell>
          <cell r="H5239">
            <v>62</v>
          </cell>
        </row>
        <row r="5240">
          <cell r="F5240">
            <v>571.32000000000005</v>
          </cell>
          <cell r="G5240">
            <v>0</v>
          </cell>
          <cell r="H5240">
            <v>62</v>
          </cell>
        </row>
        <row r="5241">
          <cell r="F5241">
            <v>92.470000000000013</v>
          </cell>
          <cell r="G5241">
            <v>0</v>
          </cell>
          <cell r="H5241">
            <v>62</v>
          </cell>
        </row>
        <row r="5242">
          <cell r="F5242">
            <v>238.48</v>
          </cell>
          <cell r="G5242">
            <v>0</v>
          </cell>
          <cell r="H5242">
            <v>62</v>
          </cell>
        </row>
        <row r="5243">
          <cell r="F5243">
            <v>1779.92</v>
          </cell>
          <cell r="G5243">
            <v>0</v>
          </cell>
          <cell r="H5243">
            <v>62</v>
          </cell>
        </row>
        <row r="5244">
          <cell r="F5244">
            <v>1323.26</v>
          </cell>
          <cell r="G5244">
            <v>0</v>
          </cell>
          <cell r="H5244">
            <v>62</v>
          </cell>
        </row>
        <row r="5245">
          <cell r="F5245">
            <v>1026.19</v>
          </cell>
          <cell r="G5245">
            <v>0</v>
          </cell>
          <cell r="H5245">
            <v>62</v>
          </cell>
        </row>
        <row r="5246">
          <cell r="F5246">
            <v>15.07</v>
          </cell>
          <cell r="G5246">
            <v>0</v>
          </cell>
          <cell r="H5246">
            <v>62</v>
          </cell>
        </row>
        <row r="5247">
          <cell r="F5247">
            <v>386.57</v>
          </cell>
          <cell r="G5247">
            <v>0</v>
          </cell>
          <cell r="H5247">
            <v>62</v>
          </cell>
        </row>
        <row r="5248">
          <cell r="F5248">
            <v>574.30999999999995</v>
          </cell>
          <cell r="G5248">
            <v>0</v>
          </cell>
          <cell r="H5248">
            <v>62</v>
          </cell>
        </row>
        <row r="5249">
          <cell r="F5249">
            <v>1341.28</v>
          </cell>
          <cell r="G5249">
            <v>0</v>
          </cell>
          <cell r="H5249">
            <v>62</v>
          </cell>
        </row>
        <row r="5250">
          <cell r="F5250">
            <v>937.29</v>
          </cell>
          <cell r="G5250">
            <v>0</v>
          </cell>
          <cell r="H5250">
            <v>62</v>
          </cell>
        </row>
        <row r="5251">
          <cell r="F5251">
            <v>2631.1</v>
          </cell>
          <cell r="G5251">
            <v>0</v>
          </cell>
          <cell r="H5251">
            <v>62</v>
          </cell>
        </row>
        <row r="5252">
          <cell r="F5252">
            <v>311.98</v>
          </cell>
          <cell r="G5252">
            <v>0</v>
          </cell>
          <cell r="H5252">
            <v>62</v>
          </cell>
        </row>
        <row r="5253">
          <cell r="F5253">
            <v>270.43</v>
          </cell>
          <cell r="G5253">
            <v>0</v>
          </cell>
          <cell r="H5253">
            <v>62</v>
          </cell>
        </row>
        <row r="5254">
          <cell r="F5254">
            <v>169</v>
          </cell>
          <cell r="G5254">
            <v>0</v>
          </cell>
          <cell r="H5254">
            <v>62</v>
          </cell>
        </row>
        <row r="5255">
          <cell r="F5255">
            <v>520.21</v>
          </cell>
          <cell r="G5255">
            <v>0</v>
          </cell>
          <cell r="H5255">
            <v>62</v>
          </cell>
        </row>
        <row r="5256">
          <cell r="F5256">
            <v>3551.6600000000003</v>
          </cell>
          <cell r="G5256">
            <v>0</v>
          </cell>
          <cell r="H5256">
            <v>62</v>
          </cell>
        </row>
        <row r="5257">
          <cell r="F5257">
            <v>4448.43</v>
          </cell>
          <cell r="G5257">
            <v>0</v>
          </cell>
          <cell r="H5257">
            <v>62</v>
          </cell>
        </row>
        <row r="5258">
          <cell r="F5258">
            <v>164.08</v>
          </cell>
          <cell r="G5258">
            <v>0</v>
          </cell>
          <cell r="H5258">
            <v>62</v>
          </cell>
        </row>
        <row r="5259">
          <cell r="F5259">
            <v>32.659999999999997</v>
          </cell>
          <cell r="G5259">
            <v>0</v>
          </cell>
          <cell r="H5259">
            <v>62</v>
          </cell>
        </row>
        <row r="5260">
          <cell r="F5260">
            <v>3802.94</v>
          </cell>
          <cell r="G5260">
            <v>0</v>
          </cell>
          <cell r="H5260">
            <v>62</v>
          </cell>
        </row>
        <row r="5261">
          <cell r="F5261">
            <v>1156.5900000000001</v>
          </cell>
          <cell r="G5261">
            <v>0</v>
          </cell>
          <cell r="H5261">
            <v>62</v>
          </cell>
        </row>
        <row r="5262">
          <cell r="F5262">
            <v>2686.08</v>
          </cell>
          <cell r="G5262">
            <v>0</v>
          </cell>
          <cell r="H5262">
            <v>62</v>
          </cell>
        </row>
        <row r="5263">
          <cell r="F5263">
            <v>591.80999999999995</v>
          </cell>
          <cell r="G5263">
            <v>0</v>
          </cell>
          <cell r="H5263">
            <v>62</v>
          </cell>
        </row>
        <row r="5264">
          <cell r="F5264">
            <v>4400.03</v>
          </cell>
          <cell r="G5264">
            <v>0</v>
          </cell>
          <cell r="H5264">
            <v>62</v>
          </cell>
        </row>
        <row r="5265">
          <cell r="F5265">
            <v>511.38</v>
          </cell>
          <cell r="G5265">
            <v>0</v>
          </cell>
          <cell r="H5265">
            <v>62</v>
          </cell>
        </row>
        <row r="5266">
          <cell r="F5266">
            <v>36.78</v>
          </cell>
          <cell r="G5266">
            <v>0</v>
          </cell>
          <cell r="H5266">
            <v>62</v>
          </cell>
        </row>
        <row r="5267">
          <cell r="F5267">
            <v>775.79</v>
          </cell>
          <cell r="G5267">
            <v>0</v>
          </cell>
          <cell r="H5267">
            <v>62</v>
          </cell>
        </row>
        <row r="5268">
          <cell r="F5268">
            <v>4073.97</v>
          </cell>
          <cell r="G5268">
            <v>0</v>
          </cell>
          <cell r="H5268">
            <v>62</v>
          </cell>
        </row>
        <row r="5269">
          <cell r="F5269">
            <v>1316.93</v>
          </cell>
          <cell r="G5269">
            <v>0</v>
          </cell>
          <cell r="H5269">
            <v>62</v>
          </cell>
        </row>
        <row r="5270">
          <cell r="F5270">
            <v>584.42999999999995</v>
          </cell>
          <cell r="G5270">
            <v>0</v>
          </cell>
          <cell r="H5270">
            <v>62</v>
          </cell>
        </row>
        <row r="5271">
          <cell r="F5271">
            <v>100.46</v>
          </cell>
          <cell r="G5271">
            <v>0</v>
          </cell>
          <cell r="H5271">
            <v>62</v>
          </cell>
        </row>
        <row r="5272">
          <cell r="F5272">
            <v>733.3</v>
          </cell>
          <cell r="G5272">
            <v>0</v>
          </cell>
          <cell r="H5272">
            <v>62</v>
          </cell>
        </row>
        <row r="5273">
          <cell r="F5273">
            <v>2181.27</v>
          </cell>
          <cell r="G5273">
            <v>0</v>
          </cell>
          <cell r="H5273">
            <v>62</v>
          </cell>
        </row>
        <row r="5274">
          <cell r="F5274">
            <v>989.71</v>
          </cell>
          <cell r="G5274">
            <v>0</v>
          </cell>
          <cell r="H5274">
            <v>62</v>
          </cell>
        </row>
        <row r="5275">
          <cell r="F5275">
            <v>3127.2799999999997</v>
          </cell>
          <cell r="G5275">
            <v>0</v>
          </cell>
          <cell r="H5275">
            <v>62</v>
          </cell>
        </row>
        <row r="5276">
          <cell r="F5276">
            <v>1953.95</v>
          </cell>
          <cell r="G5276">
            <v>0</v>
          </cell>
          <cell r="H5276">
            <v>62</v>
          </cell>
        </row>
        <row r="5277">
          <cell r="F5277">
            <v>328.84</v>
          </cell>
          <cell r="G5277">
            <v>0</v>
          </cell>
          <cell r="H5277">
            <v>62</v>
          </cell>
        </row>
        <row r="5278">
          <cell r="F5278">
            <v>1270.25</v>
          </cell>
          <cell r="G5278">
            <v>0</v>
          </cell>
          <cell r="H5278">
            <v>62</v>
          </cell>
        </row>
        <row r="5279">
          <cell r="F5279">
            <v>234.43</v>
          </cell>
          <cell r="G5279">
            <v>0</v>
          </cell>
          <cell r="H5279">
            <v>62</v>
          </cell>
        </row>
        <row r="5280">
          <cell r="F5280">
            <v>1024.4199999999998</v>
          </cell>
          <cell r="G5280">
            <v>0</v>
          </cell>
          <cell r="H5280">
            <v>62</v>
          </cell>
        </row>
        <row r="5281">
          <cell r="F5281">
            <v>4202.1499999999996</v>
          </cell>
          <cell r="G5281">
            <v>0</v>
          </cell>
          <cell r="H5281">
            <v>62</v>
          </cell>
        </row>
        <row r="5282">
          <cell r="F5282">
            <v>230.57</v>
          </cell>
          <cell r="G5282">
            <v>0</v>
          </cell>
          <cell r="H5282">
            <v>62</v>
          </cell>
        </row>
        <row r="5283">
          <cell r="F5283">
            <v>1446.68</v>
          </cell>
          <cell r="G5283">
            <v>0</v>
          </cell>
          <cell r="H5283">
            <v>62</v>
          </cell>
        </row>
        <row r="5284">
          <cell r="F5284">
            <v>3137.05</v>
          </cell>
          <cell r="G5284">
            <v>0</v>
          </cell>
          <cell r="H5284">
            <v>62</v>
          </cell>
        </row>
        <row r="5285">
          <cell r="F5285">
            <v>1172.6000000000001</v>
          </cell>
          <cell r="G5285">
            <v>0</v>
          </cell>
          <cell r="H5285">
            <v>62</v>
          </cell>
        </row>
        <row r="5286">
          <cell r="F5286">
            <v>888.05</v>
          </cell>
          <cell r="G5286">
            <v>0</v>
          </cell>
          <cell r="H5286">
            <v>62</v>
          </cell>
        </row>
        <row r="5287">
          <cell r="F5287">
            <v>133.71</v>
          </cell>
          <cell r="G5287">
            <v>0</v>
          </cell>
          <cell r="H5287">
            <v>62</v>
          </cell>
        </row>
        <row r="5288">
          <cell r="F5288">
            <v>98.33</v>
          </cell>
          <cell r="G5288">
            <v>0</v>
          </cell>
          <cell r="H5288">
            <v>62</v>
          </cell>
        </row>
        <row r="5289">
          <cell r="F5289">
            <v>772.03</v>
          </cell>
          <cell r="G5289">
            <v>0</v>
          </cell>
          <cell r="H5289">
            <v>62</v>
          </cell>
        </row>
        <row r="5290">
          <cell r="F5290">
            <v>559.94000000000005</v>
          </cell>
          <cell r="G5290">
            <v>0</v>
          </cell>
          <cell r="H5290">
            <v>62</v>
          </cell>
        </row>
        <row r="5291">
          <cell r="F5291">
            <v>99.74</v>
          </cell>
          <cell r="G5291">
            <v>0</v>
          </cell>
          <cell r="H5291">
            <v>62</v>
          </cell>
        </row>
        <row r="5292">
          <cell r="F5292">
            <v>622.44000000000005</v>
          </cell>
          <cell r="G5292">
            <v>0</v>
          </cell>
          <cell r="H5292">
            <v>62</v>
          </cell>
        </row>
        <row r="5293">
          <cell r="F5293">
            <v>1619.89</v>
          </cell>
          <cell r="G5293">
            <v>0</v>
          </cell>
          <cell r="H5293">
            <v>62</v>
          </cell>
        </row>
        <row r="5294">
          <cell r="F5294">
            <v>1322.01</v>
          </cell>
          <cell r="G5294">
            <v>0</v>
          </cell>
          <cell r="H5294">
            <v>62</v>
          </cell>
        </row>
        <row r="5295">
          <cell r="F5295">
            <v>212.28</v>
          </cell>
          <cell r="G5295">
            <v>0</v>
          </cell>
          <cell r="H5295">
            <v>62</v>
          </cell>
        </row>
        <row r="5296">
          <cell r="F5296">
            <v>307.7</v>
          </cell>
          <cell r="G5296">
            <v>0</v>
          </cell>
          <cell r="H5296">
            <v>62</v>
          </cell>
        </row>
        <row r="5297">
          <cell r="F5297">
            <v>0</v>
          </cell>
          <cell r="G5297">
            <v>0</v>
          </cell>
          <cell r="H5297">
            <v>62</v>
          </cell>
        </row>
        <row r="5298">
          <cell r="F5298">
            <v>0</v>
          </cell>
          <cell r="G5298">
            <v>0</v>
          </cell>
          <cell r="H5298">
            <v>62</v>
          </cell>
        </row>
        <row r="5299">
          <cell r="F5299">
            <v>244.31</v>
          </cell>
          <cell r="G5299">
            <v>0</v>
          </cell>
          <cell r="H5299">
            <v>62</v>
          </cell>
        </row>
        <row r="5300">
          <cell r="F5300">
            <v>898.59999999999991</v>
          </cell>
          <cell r="G5300">
            <v>0</v>
          </cell>
          <cell r="H5300">
            <v>62</v>
          </cell>
        </row>
        <row r="5301">
          <cell r="F5301">
            <v>2687.1600000000003</v>
          </cell>
          <cell r="G5301">
            <v>0</v>
          </cell>
          <cell r="H5301">
            <v>62</v>
          </cell>
        </row>
        <row r="5302">
          <cell r="F5302">
            <v>88.64</v>
          </cell>
          <cell r="G5302">
            <v>0</v>
          </cell>
          <cell r="H5302">
            <v>62</v>
          </cell>
        </row>
        <row r="5303">
          <cell r="F5303">
            <v>3023.57</v>
          </cell>
          <cell r="G5303">
            <v>0</v>
          </cell>
          <cell r="H5303">
            <v>62</v>
          </cell>
        </row>
        <row r="5304">
          <cell r="F5304">
            <v>878.2</v>
          </cell>
          <cell r="G5304">
            <v>0</v>
          </cell>
          <cell r="H5304">
            <v>62</v>
          </cell>
        </row>
        <row r="5305">
          <cell r="F5305">
            <v>3654.15</v>
          </cell>
          <cell r="G5305">
            <v>0</v>
          </cell>
          <cell r="H5305">
            <v>62</v>
          </cell>
        </row>
        <row r="5306">
          <cell r="F5306">
            <v>228.51</v>
          </cell>
          <cell r="G5306">
            <v>0</v>
          </cell>
          <cell r="H5306">
            <v>62</v>
          </cell>
        </row>
        <row r="5307">
          <cell r="F5307">
            <v>240.87</v>
          </cell>
          <cell r="G5307">
            <v>0</v>
          </cell>
          <cell r="H5307">
            <v>62</v>
          </cell>
        </row>
        <row r="5308">
          <cell r="F5308">
            <v>71.319999999999993</v>
          </cell>
          <cell r="G5308">
            <v>0</v>
          </cell>
          <cell r="H5308">
            <v>62</v>
          </cell>
        </row>
        <row r="5309">
          <cell r="F5309">
            <v>3652.6</v>
          </cell>
          <cell r="G5309">
            <v>0</v>
          </cell>
          <cell r="H5309">
            <v>62</v>
          </cell>
        </row>
        <row r="5310">
          <cell r="F5310">
            <v>28.31</v>
          </cell>
          <cell r="G5310">
            <v>0</v>
          </cell>
          <cell r="H5310">
            <v>62</v>
          </cell>
        </row>
        <row r="5311">
          <cell r="F5311">
            <v>633.20000000000005</v>
          </cell>
          <cell r="G5311">
            <v>0</v>
          </cell>
          <cell r="H5311">
            <v>62</v>
          </cell>
        </row>
        <row r="5312">
          <cell r="F5312">
            <v>1236.24</v>
          </cell>
          <cell r="G5312">
            <v>0</v>
          </cell>
          <cell r="H5312">
            <v>62</v>
          </cell>
        </row>
        <row r="5313">
          <cell r="F5313">
            <v>780.59000000000015</v>
          </cell>
          <cell r="G5313">
            <v>0</v>
          </cell>
          <cell r="H5313">
            <v>62</v>
          </cell>
        </row>
        <row r="5314">
          <cell r="F5314">
            <v>1585.94</v>
          </cell>
          <cell r="G5314">
            <v>0</v>
          </cell>
          <cell r="H5314">
            <v>62</v>
          </cell>
        </row>
        <row r="5315">
          <cell r="F5315">
            <v>972.14</v>
          </cell>
          <cell r="G5315">
            <v>0</v>
          </cell>
          <cell r="H5315">
            <v>62</v>
          </cell>
        </row>
        <row r="5316">
          <cell r="F5316">
            <v>115.72</v>
          </cell>
          <cell r="G5316">
            <v>0</v>
          </cell>
          <cell r="H5316">
            <v>62</v>
          </cell>
        </row>
        <row r="5317">
          <cell r="F5317">
            <v>499.86</v>
          </cell>
          <cell r="G5317">
            <v>0</v>
          </cell>
          <cell r="H5317">
            <v>62</v>
          </cell>
        </row>
        <row r="5318">
          <cell r="F5318">
            <v>1066.55</v>
          </cell>
          <cell r="G5318">
            <v>0</v>
          </cell>
          <cell r="H5318">
            <v>62</v>
          </cell>
        </row>
        <row r="5319">
          <cell r="F5319">
            <v>17.48</v>
          </cell>
          <cell r="G5319">
            <v>0</v>
          </cell>
          <cell r="H5319">
            <v>62</v>
          </cell>
        </row>
        <row r="5320">
          <cell r="F5320">
            <v>3291.92</v>
          </cell>
          <cell r="G5320">
            <v>0</v>
          </cell>
          <cell r="H5320">
            <v>62</v>
          </cell>
        </row>
        <row r="5321">
          <cell r="F5321">
            <v>743.5</v>
          </cell>
          <cell r="G5321">
            <v>0</v>
          </cell>
          <cell r="H5321">
            <v>62</v>
          </cell>
        </row>
        <row r="5322">
          <cell r="F5322">
            <v>1332.8500000000001</v>
          </cell>
          <cell r="G5322">
            <v>0</v>
          </cell>
          <cell r="H5322">
            <v>62</v>
          </cell>
        </row>
        <row r="5323">
          <cell r="F5323">
            <v>624.72</v>
          </cell>
          <cell r="G5323">
            <v>0</v>
          </cell>
          <cell r="H5323">
            <v>62</v>
          </cell>
        </row>
        <row r="5324">
          <cell r="F5324">
            <v>161.29</v>
          </cell>
          <cell r="G5324">
            <v>0</v>
          </cell>
          <cell r="H5324">
            <v>62</v>
          </cell>
        </row>
        <row r="5325">
          <cell r="F5325">
            <v>79.87</v>
          </cell>
          <cell r="G5325">
            <v>0</v>
          </cell>
          <cell r="H5325">
            <v>62</v>
          </cell>
        </row>
        <row r="5326">
          <cell r="F5326">
            <v>1046.9100000000001</v>
          </cell>
          <cell r="G5326">
            <v>0</v>
          </cell>
          <cell r="H5326">
            <v>62</v>
          </cell>
        </row>
        <row r="5327">
          <cell r="F5327">
            <v>229.61</v>
          </cell>
          <cell r="G5327">
            <v>0</v>
          </cell>
          <cell r="H5327">
            <v>62</v>
          </cell>
        </row>
        <row r="5328">
          <cell r="F5328">
            <v>1295.99</v>
          </cell>
          <cell r="G5328">
            <v>0</v>
          </cell>
          <cell r="H5328">
            <v>62</v>
          </cell>
        </row>
        <row r="5329">
          <cell r="F5329">
            <v>1318.8999999999999</v>
          </cell>
          <cell r="G5329">
            <v>0</v>
          </cell>
          <cell r="H5329">
            <v>62</v>
          </cell>
        </row>
        <row r="5330">
          <cell r="F5330">
            <v>1524.38</v>
          </cell>
          <cell r="G5330">
            <v>0</v>
          </cell>
          <cell r="H5330">
            <v>62</v>
          </cell>
        </row>
        <row r="5331">
          <cell r="F5331">
            <v>50.18</v>
          </cell>
          <cell r="G5331">
            <v>0</v>
          </cell>
          <cell r="H5331">
            <v>62</v>
          </cell>
        </row>
        <row r="5332">
          <cell r="F5332">
            <v>1110.71</v>
          </cell>
          <cell r="G5332">
            <v>0</v>
          </cell>
          <cell r="H5332">
            <v>62</v>
          </cell>
        </row>
        <row r="5333">
          <cell r="F5333">
            <v>4220.62</v>
          </cell>
          <cell r="G5333">
            <v>0</v>
          </cell>
          <cell r="H5333">
            <v>62</v>
          </cell>
        </row>
        <row r="5334">
          <cell r="F5334">
            <v>1936.87</v>
          </cell>
          <cell r="G5334">
            <v>0</v>
          </cell>
          <cell r="H5334">
            <v>62</v>
          </cell>
        </row>
        <row r="5335">
          <cell r="F5335">
            <v>201.97</v>
          </cell>
          <cell r="G5335">
            <v>0</v>
          </cell>
          <cell r="H5335">
            <v>62</v>
          </cell>
        </row>
        <row r="5336">
          <cell r="F5336">
            <v>1632.42</v>
          </cell>
          <cell r="G5336">
            <v>0</v>
          </cell>
          <cell r="H5336">
            <v>62</v>
          </cell>
        </row>
        <row r="5337">
          <cell r="F5337">
            <v>2318.96</v>
          </cell>
          <cell r="G5337">
            <v>0</v>
          </cell>
          <cell r="H5337">
            <v>62</v>
          </cell>
        </row>
        <row r="5338">
          <cell r="F5338">
            <v>6682.8899999999994</v>
          </cell>
          <cell r="G5338">
            <v>0</v>
          </cell>
          <cell r="H5338">
            <v>62</v>
          </cell>
        </row>
        <row r="5339">
          <cell r="F5339">
            <v>155.61999999999998</v>
          </cell>
          <cell r="G5339">
            <v>0</v>
          </cell>
          <cell r="H5339">
            <v>62</v>
          </cell>
        </row>
        <row r="5340">
          <cell r="F5340">
            <v>1320.43</v>
          </cell>
          <cell r="G5340">
            <v>0</v>
          </cell>
          <cell r="H5340">
            <v>62</v>
          </cell>
        </row>
        <row r="5341">
          <cell r="F5341">
            <v>1062.1500000000001</v>
          </cell>
          <cell r="G5341">
            <v>0</v>
          </cell>
          <cell r="H5341">
            <v>62</v>
          </cell>
        </row>
        <row r="5342">
          <cell r="F5342">
            <v>659.64</v>
          </cell>
          <cell r="G5342">
            <v>0</v>
          </cell>
          <cell r="H5342">
            <v>62</v>
          </cell>
        </row>
        <row r="5343">
          <cell r="F5343">
            <v>43.7</v>
          </cell>
          <cell r="G5343">
            <v>0</v>
          </cell>
          <cell r="H5343">
            <v>62</v>
          </cell>
        </row>
        <row r="5344">
          <cell r="F5344">
            <v>4632.1100000000006</v>
          </cell>
          <cell r="G5344">
            <v>0</v>
          </cell>
          <cell r="H5344">
            <v>62</v>
          </cell>
        </row>
        <row r="5345">
          <cell r="F5345">
            <v>4561.3899999999994</v>
          </cell>
          <cell r="G5345">
            <v>0</v>
          </cell>
          <cell r="H5345">
            <v>62</v>
          </cell>
        </row>
        <row r="5346">
          <cell r="F5346">
            <v>1585.82</v>
          </cell>
          <cell r="G5346">
            <v>0</v>
          </cell>
          <cell r="H5346">
            <v>62</v>
          </cell>
        </row>
        <row r="5347">
          <cell r="F5347">
            <v>893.42000000000007</v>
          </cell>
          <cell r="G5347">
            <v>0</v>
          </cell>
          <cell r="H5347">
            <v>62</v>
          </cell>
        </row>
        <row r="5348">
          <cell r="F5348">
            <v>685.25</v>
          </cell>
          <cell r="G5348">
            <v>0</v>
          </cell>
          <cell r="H5348">
            <v>62</v>
          </cell>
        </row>
        <row r="5349">
          <cell r="F5349">
            <v>334.91</v>
          </cell>
          <cell r="G5349">
            <v>0</v>
          </cell>
          <cell r="H5349">
            <v>62</v>
          </cell>
        </row>
        <row r="5350">
          <cell r="F5350">
            <v>247.69</v>
          </cell>
          <cell r="G5350">
            <v>0</v>
          </cell>
          <cell r="H5350">
            <v>62</v>
          </cell>
        </row>
        <row r="5351">
          <cell r="F5351">
            <v>235.98</v>
          </cell>
          <cell r="G5351">
            <v>0</v>
          </cell>
          <cell r="H5351">
            <v>62</v>
          </cell>
        </row>
        <row r="5352">
          <cell r="F5352">
            <v>1033.3900000000001</v>
          </cell>
          <cell r="G5352">
            <v>0</v>
          </cell>
          <cell r="H5352">
            <v>62</v>
          </cell>
        </row>
        <row r="5353">
          <cell r="F5353">
            <v>153.29</v>
          </cell>
          <cell r="G5353">
            <v>0</v>
          </cell>
          <cell r="H5353">
            <v>62</v>
          </cell>
        </row>
        <row r="5354">
          <cell r="F5354">
            <v>306.58</v>
          </cell>
          <cell r="G5354">
            <v>0</v>
          </cell>
          <cell r="H5354">
            <v>62</v>
          </cell>
        </row>
        <row r="5355">
          <cell r="F5355">
            <v>218.1</v>
          </cell>
          <cell r="G5355">
            <v>0</v>
          </cell>
          <cell r="H5355">
            <v>62</v>
          </cell>
        </row>
        <row r="5356">
          <cell r="F5356">
            <v>59.81</v>
          </cell>
          <cell r="G5356">
            <v>0</v>
          </cell>
          <cell r="H5356">
            <v>62</v>
          </cell>
        </row>
        <row r="5357">
          <cell r="F5357">
            <v>40.64</v>
          </cell>
          <cell r="G5357">
            <v>0</v>
          </cell>
          <cell r="H5357">
            <v>62</v>
          </cell>
        </row>
        <row r="5358">
          <cell r="F5358">
            <v>47.9</v>
          </cell>
          <cell r="G5358">
            <v>0</v>
          </cell>
          <cell r="H5358">
            <v>62</v>
          </cell>
        </row>
        <row r="5359">
          <cell r="F5359">
            <v>102.19</v>
          </cell>
          <cell r="G5359">
            <v>0</v>
          </cell>
          <cell r="H5359">
            <v>62</v>
          </cell>
        </row>
        <row r="5360">
          <cell r="F5360">
            <v>59.81</v>
          </cell>
          <cell r="G5360">
            <v>0</v>
          </cell>
          <cell r="H5360">
            <v>62</v>
          </cell>
        </row>
        <row r="5361">
          <cell r="F5361">
            <v>238.16</v>
          </cell>
          <cell r="G5361">
            <v>0</v>
          </cell>
          <cell r="H5361">
            <v>62</v>
          </cell>
        </row>
        <row r="5362">
          <cell r="F5362">
            <v>153.29</v>
          </cell>
          <cell r="G5362">
            <v>0</v>
          </cell>
          <cell r="H5362">
            <v>62</v>
          </cell>
        </row>
        <row r="5363">
          <cell r="F5363">
            <v>68.42</v>
          </cell>
          <cell r="G5363">
            <v>0</v>
          </cell>
          <cell r="H5363">
            <v>62</v>
          </cell>
        </row>
        <row r="5364">
          <cell r="F5364">
            <v>143.72</v>
          </cell>
          <cell r="G5364">
            <v>0</v>
          </cell>
          <cell r="H5364">
            <v>62</v>
          </cell>
        </row>
        <row r="5365">
          <cell r="F5365">
            <v>204.4</v>
          </cell>
          <cell r="G5365">
            <v>0</v>
          </cell>
          <cell r="H5365">
            <v>62</v>
          </cell>
        </row>
        <row r="5366">
          <cell r="F5366">
            <v>38.32</v>
          </cell>
          <cell r="G5366">
            <v>0</v>
          </cell>
          <cell r="H5366">
            <v>62</v>
          </cell>
        </row>
        <row r="5367">
          <cell r="F5367">
            <v>11.84</v>
          </cell>
          <cell r="G5367">
            <v>0</v>
          </cell>
          <cell r="H5367">
            <v>62</v>
          </cell>
        </row>
        <row r="5368">
          <cell r="F5368">
            <v>150.97999999999999</v>
          </cell>
          <cell r="G5368">
            <v>0</v>
          </cell>
          <cell r="H5368">
            <v>62</v>
          </cell>
        </row>
        <row r="5369">
          <cell r="F5369">
            <v>306.58999999999997</v>
          </cell>
          <cell r="G5369">
            <v>0</v>
          </cell>
          <cell r="H5369">
            <v>62</v>
          </cell>
        </row>
        <row r="5370">
          <cell r="F5370">
            <v>114.97</v>
          </cell>
          <cell r="G5370">
            <v>0</v>
          </cell>
          <cell r="H5370">
            <v>62</v>
          </cell>
        </row>
        <row r="5371">
          <cell r="F5371">
            <v>153.29</v>
          </cell>
          <cell r="G5371">
            <v>0</v>
          </cell>
          <cell r="H5371">
            <v>62</v>
          </cell>
        </row>
        <row r="5372">
          <cell r="F5372">
            <v>574.86</v>
          </cell>
          <cell r="G5372">
            <v>0</v>
          </cell>
          <cell r="H5372">
            <v>62</v>
          </cell>
        </row>
        <row r="5373">
          <cell r="F5373">
            <v>491.38</v>
          </cell>
          <cell r="G5373">
            <v>0</v>
          </cell>
          <cell r="H5373">
            <v>62</v>
          </cell>
        </row>
        <row r="5374">
          <cell r="F5374">
            <v>240.05</v>
          </cell>
          <cell r="G5374">
            <v>0</v>
          </cell>
          <cell r="H5374">
            <v>62</v>
          </cell>
        </row>
        <row r="5375">
          <cell r="F5375">
            <v>0</v>
          </cell>
          <cell r="G5375">
            <v>0</v>
          </cell>
          <cell r="H5375">
            <v>62</v>
          </cell>
        </row>
        <row r="5376">
          <cell r="F5376">
            <v>101.18</v>
          </cell>
          <cell r="G5376">
            <v>0</v>
          </cell>
          <cell r="H5376">
            <v>62</v>
          </cell>
        </row>
        <row r="5377">
          <cell r="F5377">
            <v>64.680000000000007</v>
          </cell>
          <cell r="G5377">
            <v>0</v>
          </cell>
          <cell r="H5377">
            <v>62</v>
          </cell>
        </row>
        <row r="5378">
          <cell r="F5378">
            <v>116.36</v>
          </cell>
          <cell r="G5378">
            <v>0</v>
          </cell>
          <cell r="H5378">
            <v>62</v>
          </cell>
        </row>
        <row r="5379">
          <cell r="F5379">
            <v>442.73</v>
          </cell>
          <cell r="G5379">
            <v>0</v>
          </cell>
          <cell r="H5379">
            <v>62</v>
          </cell>
        </row>
        <row r="5380">
          <cell r="F5380">
            <v>111.93</v>
          </cell>
          <cell r="G5380">
            <v>0</v>
          </cell>
          <cell r="H5380">
            <v>62</v>
          </cell>
        </row>
        <row r="5381">
          <cell r="F5381">
            <v>1859.98</v>
          </cell>
          <cell r="G5381">
            <v>0</v>
          </cell>
          <cell r="H5381">
            <v>62</v>
          </cell>
        </row>
        <row r="5382">
          <cell r="F5382">
            <v>178.91</v>
          </cell>
          <cell r="G5382">
            <v>0</v>
          </cell>
          <cell r="H5382">
            <v>62</v>
          </cell>
        </row>
        <row r="5383">
          <cell r="F5383">
            <v>1186.5</v>
          </cell>
          <cell r="G5383">
            <v>0</v>
          </cell>
          <cell r="H5383">
            <v>62</v>
          </cell>
        </row>
        <row r="5384">
          <cell r="F5384">
            <v>58.16</v>
          </cell>
          <cell r="G5384">
            <v>0</v>
          </cell>
          <cell r="H5384">
            <v>62</v>
          </cell>
        </row>
        <row r="5385">
          <cell r="F5385">
            <v>710.76</v>
          </cell>
          <cell r="G5385">
            <v>0</v>
          </cell>
          <cell r="H5385">
            <v>62</v>
          </cell>
        </row>
        <row r="5386">
          <cell r="F5386">
            <v>437.2</v>
          </cell>
          <cell r="G5386">
            <v>0</v>
          </cell>
          <cell r="H5386">
            <v>62</v>
          </cell>
        </row>
        <row r="5387">
          <cell r="F5387">
            <v>225.64</v>
          </cell>
          <cell r="G5387">
            <v>0</v>
          </cell>
          <cell r="H5387">
            <v>62</v>
          </cell>
        </row>
        <row r="5388">
          <cell r="F5388">
            <v>99.93</v>
          </cell>
          <cell r="G5388">
            <v>0</v>
          </cell>
          <cell r="H5388">
            <v>62</v>
          </cell>
        </row>
        <row r="5389">
          <cell r="F5389">
            <v>536.20000000000005</v>
          </cell>
          <cell r="G5389">
            <v>0</v>
          </cell>
          <cell r="H5389">
            <v>62</v>
          </cell>
        </row>
        <row r="5390">
          <cell r="F5390">
            <v>46.68</v>
          </cell>
          <cell r="G5390">
            <v>0</v>
          </cell>
          <cell r="H5390">
            <v>62</v>
          </cell>
        </row>
        <row r="5391">
          <cell r="F5391">
            <v>196.86</v>
          </cell>
          <cell r="G5391">
            <v>0</v>
          </cell>
          <cell r="H5391">
            <v>62</v>
          </cell>
        </row>
        <row r="5392">
          <cell r="F5392">
            <v>303.51</v>
          </cell>
          <cell r="G5392">
            <v>0</v>
          </cell>
          <cell r="H5392">
            <v>62</v>
          </cell>
        </row>
        <row r="5393">
          <cell r="F5393">
            <v>99.77</v>
          </cell>
          <cell r="G5393">
            <v>0</v>
          </cell>
          <cell r="H5393">
            <v>62</v>
          </cell>
        </row>
        <row r="5394">
          <cell r="F5394">
            <v>11.79</v>
          </cell>
          <cell r="G5394">
            <v>0</v>
          </cell>
          <cell r="H5394">
            <v>62</v>
          </cell>
        </row>
        <row r="5395">
          <cell r="F5395">
            <v>1283.8800000000001</v>
          </cell>
          <cell r="G5395">
            <v>0</v>
          </cell>
          <cell r="H5395">
            <v>62</v>
          </cell>
        </row>
        <row r="5396">
          <cell r="F5396">
            <v>574.8900000000001</v>
          </cell>
          <cell r="G5396">
            <v>0</v>
          </cell>
          <cell r="H5396">
            <v>62</v>
          </cell>
        </row>
        <row r="5397">
          <cell r="F5397">
            <v>544.05999999999995</v>
          </cell>
          <cell r="G5397">
            <v>0</v>
          </cell>
          <cell r="H5397">
            <v>62</v>
          </cell>
        </row>
        <row r="5398">
          <cell r="F5398">
            <v>909.08</v>
          </cell>
          <cell r="G5398">
            <v>0</v>
          </cell>
          <cell r="H5398">
            <v>62</v>
          </cell>
        </row>
        <row r="5399">
          <cell r="F5399">
            <v>396.65</v>
          </cell>
          <cell r="G5399">
            <v>0</v>
          </cell>
          <cell r="H5399">
            <v>62</v>
          </cell>
        </row>
        <row r="5400">
          <cell r="F5400">
            <v>1218.8800000000001</v>
          </cell>
          <cell r="G5400">
            <v>0</v>
          </cell>
          <cell r="H5400">
            <v>62</v>
          </cell>
        </row>
        <row r="5401">
          <cell r="F5401">
            <v>505.92</v>
          </cell>
          <cell r="G5401">
            <v>0</v>
          </cell>
          <cell r="H5401">
            <v>62</v>
          </cell>
        </row>
        <row r="5402">
          <cell r="F5402">
            <v>49.19</v>
          </cell>
          <cell r="G5402">
            <v>0</v>
          </cell>
          <cell r="H5402">
            <v>62</v>
          </cell>
        </row>
        <row r="5403">
          <cell r="F5403">
            <v>1487.45</v>
          </cell>
          <cell r="G5403">
            <v>0</v>
          </cell>
          <cell r="H5403">
            <v>62</v>
          </cell>
        </row>
        <row r="5404">
          <cell r="F5404">
            <v>1563.28</v>
          </cell>
          <cell r="G5404">
            <v>0</v>
          </cell>
          <cell r="H5404">
            <v>62</v>
          </cell>
        </row>
        <row r="5405">
          <cell r="F5405">
            <v>519.1</v>
          </cell>
          <cell r="G5405">
            <v>0</v>
          </cell>
          <cell r="H5405">
            <v>62</v>
          </cell>
        </row>
        <row r="5406">
          <cell r="F5406">
            <v>707.97</v>
          </cell>
          <cell r="G5406">
            <v>0</v>
          </cell>
          <cell r="H5406">
            <v>62</v>
          </cell>
        </row>
        <row r="5407">
          <cell r="F5407">
            <v>137.25</v>
          </cell>
          <cell r="G5407">
            <v>0</v>
          </cell>
          <cell r="H5407">
            <v>62</v>
          </cell>
        </row>
        <row r="5408">
          <cell r="F5408">
            <v>570.42999999999995</v>
          </cell>
          <cell r="G5408">
            <v>0</v>
          </cell>
          <cell r="H5408">
            <v>62</v>
          </cell>
        </row>
        <row r="5409">
          <cell r="F5409">
            <v>668.64</v>
          </cell>
          <cell r="G5409">
            <v>0</v>
          </cell>
          <cell r="H5409">
            <v>62</v>
          </cell>
        </row>
        <row r="5410">
          <cell r="F5410">
            <v>163.98</v>
          </cell>
          <cell r="G5410">
            <v>0</v>
          </cell>
          <cell r="H5410">
            <v>62</v>
          </cell>
        </row>
        <row r="5411">
          <cell r="F5411">
            <v>308.33999999999997</v>
          </cell>
          <cell r="G5411">
            <v>0</v>
          </cell>
          <cell r="H5411">
            <v>62</v>
          </cell>
        </row>
        <row r="5412">
          <cell r="F5412">
            <v>101.43</v>
          </cell>
          <cell r="G5412">
            <v>0</v>
          </cell>
          <cell r="H5412">
            <v>62</v>
          </cell>
        </row>
        <row r="5413">
          <cell r="F5413">
            <v>565.20000000000005</v>
          </cell>
          <cell r="G5413">
            <v>0</v>
          </cell>
          <cell r="H5413">
            <v>62</v>
          </cell>
        </row>
        <row r="5414">
          <cell r="F5414">
            <v>2781.74</v>
          </cell>
          <cell r="G5414">
            <v>0</v>
          </cell>
          <cell r="H5414">
            <v>62</v>
          </cell>
        </row>
        <row r="5415">
          <cell r="F5415">
            <v>407.5</v>
          </cell>
          <cell r="G5415">
            <v>0</v>
          </cell>
          <cell r="H5415">
            <v>62</v>
          </cell>
        </row>
        <row r="5416">
          <cell r="F5416">
            <v>82.98</v>
          </cell>
          <cell r="G5416">
            <v>0</v>
          </cell>
          <cell r="H5416">
            <v>62</v>
          </cell>
        </row>
        <row r="5417">
          <cell r="F5417">
            <v>543.66</v>
          </cell>
          <cell r="G5417">
            <v>0</v>
          </cell>
          <cell r="H5417">
            <v>62</v>
          </cell>
        </row>
        <row r="5418">
          <cell r="F5418">
            <v>325.73</v>
          </cell>
          <cell r="G5418">
            <v>0</v>
          </cell>
          <cell r="H5418">
            <v>62</v>
          </cell>
        </row>
        <row r="5419">
          <cell r="F5419">
            <v>378.72</v>
          </cell>
          <cell r="G5419">
            <v>0</v>
          </cell>
          <cell r="H5419">
            <v>62</v>
          </cell>
        </row>
        <row r="5420">
          <cell r="F5420">
            <v>378.31</v>
          </cell>
          <cell r="G5420">
            <v>0</v>
          </cell>
          <cell r="H5420">
            <v>62</v>
          </cell>
        </row>
        <row r="5421">
          <cell r="F5421">
            <v>83.509999999999991</v>
          </cell>
          <cell r="G5421">
            <v>0</v>
          </cell>
          <cell r="H5421">
            <v>62</v>
          </cell>
        </row>
        <row r="5422">
          <cell r="F5422">
            <v>101.39</v>
          </cell>
          <cell r="G5422">
            <v>0</v>
          </cell>
          <cell r="H5422">
            <v>62</v>
          </cell>
        </row>
        <row r="5423">
          <cell r="F5423">
            <v>280.8</v>
          </cell>
          <cell r="G5423">
            <v>0</v>
          </cell>
          <cell r="H5423">
            <v>62</v>
          </cell>
        </row>
        <row r="5424">
          <cell r="F5424">
            <v>143.6</v>
          </cell>
          <cell r="G5424">
            <v>0</v>
          </cell>
          <cell r="H5424">
            <v>62</v>
          </cell>
        </row>
        <row r="5425">
          <cell r="F5425">
            <v>187.4</v>
          </cell>
          <cell r="G5425">
            <v>0</v>
          </cell>
          <cell r="H5425">
            <v>62</v>
          </cell>
        </row>
        <row r="5426">
          <cell r="F5426">
            <v>90.42</v>
          </cell>
          <cell r="G5426">
            <v>0</v>
          </cell>
          <cell r="H5426">
            <v>62</v>
          </cell>
        </row>
        <row r="5427">
          <cell r="F5427">
            <v>81.95</v>
          </cell>
          <cell r="G5427">
            <v>0</v>
          </cell>
          <cell r="H5427">
            <v>62</v>
          </cell>
        </row>
        <row r="5428">
          <cell r="F5428">
            <v>618.22</v>
          </cell>
          <cell r="G5428">
            <v>0</v>
          </cell>
          <cell r="H5428">
            <v>62</v>
          </cell>
        </row>
        <row r="5429">
          <cell r="F5429">
            <v>977.52</v>
          </cell>
          <cell r="G5429">
            <v>0</v>
          </cell>
          <cell r="H5429">
            <v>62</v>
          </cell>
        </row>
        <row r="5430">
          <cell r="F5430">
            <v>170.26</v>
          </cell>
          <cell r="G5430">
            <v>0</v>
          </cell>
          <cell r="H5430">
            <v>62</v>
          </cell>
        </row>
        <row r="5431">
          <cell r="F5431">
            <v>8.51</v>
          </cell>
          <cell r="G5431">
            <v>0</v>
          </cell>
          <cell r="H5431">
            <v>62</v>
          </cell>
        </row>
        <row r="5432">
          <cell r="F5432">
            <v>1982.0900000000001</v>
          </cell>
          <cell r="G5432">
            <v>0</v>
          </cell>
          <cell r="H5432">
            <v>62</v>
          </cell>
        </row>
        <row r="5433">
          <cell r="F5433">
            <v>799.65</v>
          </cell>
          <cell r="G5433">
            <v>0</v>
          </cell>
          <cell r="H5433">
            <v>62</v>
          </cell>
        </row>
        <row r="5434">
          <cell r="F5434">
            <v>465.58</v>
          </cell>
          <cell r="G5434">
            <v>0</v>
          </cell>
          <cell r="H5434">
            <v>62</v>
          </cell>
        </row>
        <row r="5435">
          <cell r="F5435">
            <v>619.23</v>
          </cell>
          <cell r="G5435">
            <v>0</v>
          </cell>
          <cell r="H5435">
            <v>62</v>
          </cell>
        </row>
        <row r="5436">
          <cell r="F5436">
            <v>407.02</v>
          </cell>
          <cell r="G5436">
            <v>0</v>
          </cell>
          <cell r="H5436">
            <v>62</v>
          </cell>
        </row>
        <row r="5437">
          <cell r="F5437">
            <v>93.57</v>
          </cell>
          <cell r="G5437">
            <v>0</v>
          </cell>
          <cell r="H5437">
            <v>62</v>
          </cell>
        </row>
        <row r="5438">
          <cell r="F5438">
            <v>93.57</v>
          </cell>
          <cell r="G5438">
            <v>0</v>
          </cell>
          <cell r="H5438">
            <v>62</v>
          </cell>
        </row>
        <row r="5439">
          <cell r="F5439">
            <v>65.819999999999993</v>
          </cell>
          <cell r="G5439">
            <v>0</v>
          </cell>
          <cell r="H5439">
            <v>62</v>
          </cell>
        </row>
        <row r="5440">
          <cell r="F5440">
            <v>114.45</v>
          </cell>
          <cell r="G5440">
            <v>0</v>
          </cell>
          <cell r="H5440">
            <v>62</v>
          </cell>
        </row>
        <row r="5441">
          <cell r="F5441">
            <v>178.67</v>
          </cell>
          <cell r="G5441">
            <v>0</v>
          </cell>
          <cell r="H5441">
            <v>62</v>
          </cell>
        </row>
        <row r="5442">
          <cell r="F5442">
            <v>157.46</v>
          </cell>
          <cell r="G5442">
            <v>0</v>
          </cell>
          <cell r="H5442">
            <v>62</v>
          </cell>
        </row>
        <row r="5443">
          <cell r="F5443">
            <v>1610.23</v>
          </cell>
          <cell r="G5443">
            <v>0</v>
          </cell>
          <cell r="H5443">
            <v>62</v>
          </cell>
        </row>
        <row r="5444">
          <cell r="F5444">
            <v>73.989999999999995</v>
          </cell>
          <cell r="G5444">
            <v>0</v>
          </cell>
          <cell r="H5444">
            <v>62</v>
          </cell>
        </row>
        <row r="5445">
          <cell r="F5445">
            <v>46.83</v>
          </cell>
          <cell r="G5445">
            <v>0</v>
          </cell>
          <cell r="H5445">
            <v>62</v>
          </cell>
        </row>
        <row r="5446">
          <cell r="F5446">
            <v>526.15</v>
          </cell>
          <cell r="G5446">
            <v>0</v>
          </cell>
          <cell r="H5446">
            <v>62</v>
          </cell>
        </row>
        <row r="5447">
          <cell r="F5447">
            <v>576.08999999999992</v>
          </cell>
          <cell r="G5447">
            <v>0</v>
          </cell>
          <cell r="H5447">
            <v>62</v>
          </cell>
        </row>
        <row r="5448">
          <cell r="F5448">
            <v>563.04</v>
          </cell>
          <cell r="G5448">
            <v>0</v>
          </cell>
          <cell r="H5448">
            <v>62</v>
          </cell>
        </row>
        <row r="5449">
          <cell r="F5449">
            <v>290</v>
          </cell>
          <cell r="G5449">
            <v>0</v>
          </cell>
          <cell r="H5449">
            <v>62</v>
          </cell>
        </row>
        <row r="5450">
          <cell r="F5450">
            <v>78.05</v>
          </cell>
          <cell r="G5450">
            <v>0</v>
          </cell>
          <cell r="H5450">
            <v>62</v>
          </cell>
        </row>
        <row r="5451">
          <cell r="F5451">
            <v>970.78</v>
          </cell>
          <cell r="G5451">
            <v>0</v>
          </cell>
          <cell r="H5451">
            <v>62</v>
          </cell>
        </row>
        <row r="5452">
          <cell r="F5452">
            <v>1621.8000000000002</v>
          </cell>
          <cell r="G5452">
            <v>0</v>
          </cell>
          <cell r="H5452">
            <v>62</v>
          </cell>
        </row>
        <row r="5453">
          <cell r="F5453">
            <v>361.88</v>
          </cell>
          <cell r="G5453">
            <v>0</v>
          </cell>
          <cell r="H5453">
            <v>62</v>
          </cell>
        </row>
        <row r="5454">
          <cell r="F5454">
            <v>1854.84</v>
          </cell>
          <cell r="G5454">
            <v>0</v>
          </cell>
          <cell r="H5454">
            <v>62</v>
          </cell>
        </row>
        <row r="5455">
          <cell r="F5455">
            <v>767.4</v>
          </cell>
          <cell r="G5455">
            <v>0</v>
          </cell>
          <cell r="H5455">
            <v>62</v>
          </cell>
        </row>
        <row r="5456">
          <cell r="F5456">
            <v>459.5</v>
          </cell>
          <cell r="G5456">
            <v>0</v>
          </cell>
          <cell r="H5456">
            <v>62</v>
          </cell>
        </row>
        <row r="5457">
          <cell r="F5457">
            <v>1585.85</v>
          </cell>
          <cell r="G5457">
            <v>0</v>
          </cell>
          <cell r="H5457">
            <v>62</v>
          </cell>
        </row>
        <row r="5458">
          <cell r="F5458">
            <v>189.37</v>
          </cell>
          <cell r="G5458">
            <v>0</v>
          </cell>
          <cell r="H5458">
            <v>62</v>
          </cell>
        </row>
        <row r="5459">
          <cell r="F5459">
            <v>84.81</v>
          </cell>
          <cell r="G5459">
            <v>0</v>
          </cell>
          <cell r="H5459">
            <v>62</v>
          </cell>
        </row>
        <row r="5460">
          <cell r="F5460">
            <v>200.15</v>
          </cell>
          <cell r="G5460">
            <v>0</v>
          </cell>
          <cell r="H5460">
            <v>62</v>
          </cell>
        </row>
        <row r="5461">
          <cell r="F5461">
            <v>151.52000000000001</v>
          </cell>
          <cell r="G5461">
            <v>0</v>
          </cell>
          <cell r="H5461">
            <v>62</v>
          </cell>
        </row>
        <row r="5462">
          <cell r="F5462">
            <v>0</v>
          </cell>
          <cell r="G5462">
            <v>0</v>
          </cell>
          <cell r="H5462">
            <v>62</v>
          </cell>
        </row>
        <row r="5463">
          <cell r="F5463">
            <v>7471.99</v>
          </cell>
          <cell r="G5463">
            <v>0</v>
          </cell>
          <cell r="H5463">
            <v>62</v>
          </cell>
        </row>
        <row r="5464">
          <cell r="F5464">
            <v>495.1</v>
          </cell>
          <cell r="G5464">
            <v>0</v>
          </cell>
          <cell r="H5464">
            <v>62</v>
          </cell>
        </row>
        <row r="5465">
          <cell r="F5465">
            <v>22782.44</v>
          </cell>
          <cell r="G5465">
            <v>0</v>
          </cell>
          <cell r="H5465">
            <v>62</v>
          </cell>
        </row>
        <row r="5466">
          <cell r="F5466">
            <v>139.36000000000001</v>
          </cell>
          <cell r="G5466">
            <v>0</v>
          </cell>
          <cell r="H5466">
            <v>62</v>
          </cell>
        </row>
        <row r="5467">
          <cell r="F5467">
            <v>2128.56</v>
          </cell>
          <cell r="G5467">
            <v>0</v>
          </cell>
          <cell r="H5467">
            <v>62</v>
          </cell>
        </row>
        <row r="5468">
          <cell r="F5468">
            <v>391.27</v>
          </cell>
          <cell r="G5468">
            <v>0</v>
          </cell>
          <cell r="H5468">
            <v>62</v>
          </cell>
        </row>
        <row r="5469">
          <cell r="F5469">
            <v>1891.65</v>
          </cell>
          <cell r="G5469">
            <v>0</v>
          </cell>
          <cell r="H5469">
            <v>62</v>
          </cell>
        </row>
        <row r="5470">
          <cell r="F5470">
            <v>491.1</v>
          </cell>
          <cell r="G5470">
            <v>0</v>
          </cell>
          <cell r="H5470">
            <v>62</v>
          </cell>
        </row>
        <row r="5471">
          <cell r="F5471">
            <v>1150.29</v>
          </cell>
          <cell r="G5471">
            <v>0</v>
          </cell>
          <cell r="H5471">
            <v>62</v>
          </cell>
        </row>
        <row r="5472">
          <cell r="F5472">
            <v>69.64</v>
          </cell>
          <cell r="G5472">
            <v>0</v>
          </cell>
          <cell r="H5472">
            <v>62</v>
          </cell>
        </row>
        <row r="5473">
          <cell r="F5473">
            <v>1859.7</v>
          </cell>
          <cell r="G5473">
            <v>0</v>
          </cell>
          <cell r="H5473">
            <v>62</v>
          </cell>
        </row>
        <row r="5474">
          <cell r="F5474">
            <v>406.25</v>
          </cell>
          <cell r="G5474">
            <v>0</v>
          </cell>
          <cell r="H5474">
            <v>62</v>
          </cell>
        </row>
        <row r="5475">
          <cell r="F5475">
            <v>1297.25</v>
          </cell>
          <cell r="G5475">
            <v>0</v>
          </cell>
          <cell r="H5475">
            <v>62</v>
          </cell>
        </row>
        <row r="5476">
          <cell r="F5476">
            <v>174.17</v>
          </cell>
          <cell r="G5476">
            <v>0</v>
          </cell>
          <cell r="H5476">
            <v>62</v>
          </cell>
        </row>
        <row r="5477">
          <cell r="F5477">
            <v>325.56</v>
          </cell>
          <cell r="G5477">
            <v>0</v>
          </cell>
          <cell r="H5477">
            <v>62</v>
          </cell>
        </row>
        <row r="5478">
          <cell r="F5478">
            <v>0</v>
          </cell>
          <cell r="G5478">
            <v>0</v>
          </cell>
          <cell r="H5478">
            <v>62</v>
          </cell>
        </row>
        <row r="5479">
          <cell r="F5479">
            <v>625.26</v>
          </cell>
          <cell r="G5479">
            <v>0</v>
          </cell>
          <cell r="H5479">
            <v>62</v>
          </cell>
        </row>
        <row r="5480">
          <cell r="F5480">
            <v>249.53</v>
          </cell>
          <cell r="G5480">
            <v>0</v>
          </cell>
          <cell r="H5480">
            <v>62</v>
          </cell>
        </row>
        <row r="5481">
          <cell r="F5481">
            <v>50.61</v>
          </cell>
          <cell r="G5481">
            <v>0</v>
          </cell>
          <cell r="H5481">
            <v>62</v>
          </cell>
        </row>
        <row r="5482">
          <cell r="F5482">
            <v>1950.08</v>
          </cell>
          <cell r="G5482">
            <v>0</v>
          </cell>
          <cell r="H5482">
            <v>62</v>
          </cell>
        </row>
        <row r="5483">
          <cell r="F5483">
            <v>0</v>
          </cell>
          <cell r="G5483">
            <v>0</v>
          </cell>
          <cell r="H5483">
            <v>62</v>
          </cell>
        </row>
        <row r="5484">
          <cell r="F5484">
            <v>239.3</v>
          </cell>
          <cell r="G5484">
            <v>0</v>
          </cell>
          <cell r="H5484">
            <v>62</v>
          </cell>
        </row>
        <row r="5485">
          <cell r="F5485">
            <v>201.44</v>
          </cell>
          <cell r="G5485">
            <v>0</v>
          </cell>
          <cell r="H5485">
            <v>62</v>
          </cell>
        </row>
        <row r="5486">
          <cell r="F5486">
            <v>718.83</v>
          </cell>
          <cell r="G5486">
            <v>0</v>
          </cell>
          <cell r="H5486">
            <v>62</v>
          </cell>
        </row>
        <row r="5487">
          <cell r="F5487">
            <v>88.73</v>
          </cell>
          <cell r="G5487">
            <v>0</v>
          </cell>
          <cell r="H5487">
            <v>62</v>
          </cell>
        </row>
        <row r="5488">
          <cell r="F5488">
            <v>358.96</v>
          </cell>
          <cell r="G5488">
            <v>0</v>
          </cell>
          <cell r="H5488">
            <v>62</v>
          </cell>
        </row>
        <row r="5489">
          <cell r="F5489">
            <v>1436.1</v>
          </cell>
          <cell r="G5489">
            <v>0</v>
          </cell>
          <cell r="H5489">
            <v>62</v>
          </cell>
        </row>
        <row r="5490">
          <cell r="F5490">
            <v>676.03</v>
          </cell>
          <cell r="G5490">
            <v>0</v>
          </cell>
          <cell r="H5490">
            <v>62</v>
          </cell>
        </row>
        <row r="5491">
          <cell r="F5491">
            <v>72.400000000000006</v>
          </cell>
          <cell r="G5491">
            <v>0</v>
          </cell>
          <cell r="H5491">
            <v>62</v>
          </cell>
        </row>
        <row r="5492">
          <cell r="F5492">
            <v>189.78</v>
          </cell>
          <cell r="G5492">
            <v>0</v>
          </cell>
          <cell r="H5492">
            <v>62</v>
          </cell>
        </row>
        <row r="5493">
          <cell r="F5493">
            <v>46.53</v>
          </cell>
          <cell r="G5493">
            <v>0</v>
          </cell>
          <cell r="H5493">
            <v>62</v>
          </cell>
        </row>
        <row r="5494">
          <cell r="F5494">
            <v>287.58</v>
          </cell>
          <cell r="G5494">
            <v>0</v>
          </cell>
          <cell r="H5494">
            <v>62</v>
          </cell>
        </row>
        <row r="5495">
          <cell r="F5495">
            <v>1203.3900000000001</v>
          </cell>
          <cell r="G5495">
            <v>0</v>
          </cell>
          <cell r="H5495">
            <v>62</v>
          </cell>
        </row>
        <row r="5496">
          <cell r="F5496">
            <v>634.25</v>
          </cell>
          <cell r="G5496">
            <v>0</v>
          </cell>
          <cell r="H5496">
            <v>62</v>
          </cell>
        </row>
        <row r="5497">
          <cell r="F5497">
            <v>0</v>
          </cell>
          <cell r="G5497">
            <v>0</v>
          </cell>
          <cell r="H5497">
            <v>62</v>
          </cell>
        </row>
        <row r="5498">
          <cell r="F5498">
            <v>44.38</v>
          </cell>
          <cell r="G5498">
            <v>0</v>
          </cell>
          <cell r="H5498">
            <v>62</v>
          </cell>
        </row>
        <row r="5499">
          <cell r="F5499">
            <v>198.70999999999998</v>
          </cell>
          <cell r="G5499">
            <v>0</v>
          </cell>
          <cell r="H5499">
            <v>62</v>
          </cell>
        </row>
        <row r="5500">
          <cell r="F5500">
            <v>719.4</v>
          </cell>
          <cell r="G5500">
            <v>0</v>
          </cell>
          <cell r="H5500">
            <v>62</v>
          </cell>
        </row>
        <row r="5501">
          <cell r="F5501">
            <v>514.84</v>
          </cell>
          <cell r="G5501">
            <v>0</v>
          </cell>
          <cell r="H5501">
            <v>62</v>
          </cell>
        </row>
        <row r="5502">
          <cell r="F5502">
            <v>524.64</v>
          </cell>
          <cell r="G5502">
            <v>0</v>
          </cell>
          <cell r="H5502">
            <v>62</v>
          </cell>
        </row>
        <row r="5503">
          <cell r="F5503">
            <v>331.07000000000005</v>
          </cell>
          <cell r="G5503">
            <v>0</v>
          </cell>
          <cell r="H5503">
            <v>62</v>
          </cell>
        </row>
        <row r="5504">
          <cell r="F5504">
            <v>10.63</v>
          </cell>
          <cell r="G5504">
            <v>0</v>
          </cell>
          <cell r="H5504">
            <v>62</v>
          </cell>
        </row>
        <row r="5505">
          <cell r="F5505">
            <v>24.1</v>
          </cell>
          <cell r="G5505">
            <v>0</v>
          </cell>
          <cell r="H5505">
            <v>62</v>
          </cell>
        </row>
        <row r="5506">
          <cell r="F5506">
            <v>37.54</v>
          </cell>
          <cell r="G5506">
            <v>0</v>
          </cell>
          <cell r="H5506">
            <v>62</v>
          </cell>
        </row>
        <row r="5507">
          <cell r="F5507">
            <v>41.08</v>
          </cell>
          <cell r="G5507">
            <v>0</v>
          </cell>
          <cell r="H5507">
            <v>62</v>
          </cell>
        </row>
        <row r="5508">
          <cell r="F5508">
            <v>109.16</v>
          </cell>
          <cell r="G5508">
            <v>0</v>
          </cell>
          <cell r="H5508">
            <v>62</v>
          </cell>
        </row>
        <row r="5509">
          <cell r="F5509">
            <v>0</v>
          </cell>
          <cell r="G5509">
            <v>0</v>
          </cell>
          <cell r="H5509">
            <v>62</v>
          </cell>
        </row>
        <row r="5510">
          <cell r="F5510">
            <v>2964.62</v>
          </cell>
          <cell r="G5510">
            <v>0</v>
          </cell>
          <cell r="H5510">
            <v>62</v>
          </cell>
        </row>
        <row r="5511">
          <cell r="F5511">
            <v>523.42999999999995</v>
          </cell>
          <cell r="G5511">
            <v>0</v>
          </cell>
          <cell r="H5511">
            <v>62</v>
          </cell>
        </row>
        <row r="5512">
          <cell r="F5512">
            <v>468.79</v>
          </cell>
          <cell r="G5512">
            <v>0</v>
          </cell>
          <cell r="H5512">
            <v>62</v>
          </cell>
        </row>
        <row r="5513">
          <cell r="F5513">
            <v>189.08</v>
          </cell>
          <cell r="G5513">
            <v>0</v>
          </cell>
          <cell r="H5513">
            <v>62</v>
          </cell>
        </row>
        <row r="5514">
          <cell r="F5514">
            <v>46.68</v>
          </cell>
          <cell r="G5514">
            <v>0</v>
          </cell>
          <cell r="H5514">
            <v>62</v>
          </cell>
        </row>
        <row r="5515">
          <cell r="F5515">
            <v>290.44</v>
          </cell>
          <cell r="G5515">
            <v>0</v>
          </cell>
          <cell r="H5515">
            <v>62</v>
          </cell>
        </row>
        <row r="5516">
          <cell r="F5516">
            <v>3058.3999999999996</v>
          </cell>
          <cell r="G5516">
            <v>0</v>
          </cell>
          <cell r="H5516">
            <v>62</v>
          </cell>
        </row>
        <row r="5517">
          <cell r="F5517">
            <v>396.65</v>
          </cell>
          <cell r="G5517">
            <v>0</v>
          </cell>
          <cell r="H5517">
            <v>62</v>
          </cell>
        </row>
        <row r="5518">
          <cell r="F5518">
            <v>53.19</v>
          </cell>
          <cell r="G5518">
            <v>0</v>
          </cell>
          <cell r="H5518">
            <v>62</v>
          </cell>
        </row>
        <row r="5519">
          <cell r="F5519">
            <v>479.89</v>
          </cell>
          <cell r="G5519">
            <v>0</v>
          </cell>
          <cell r="H5519">
            <v>62</v>
          </cell>
        </row>
        <row r="5520">
          <cell r="F5520">
            <v>11.79</v>
          </cell>
          <cell r="G5520">
            <v>0</v>
          </cell>
          <cell r="H5520">
            <v>62</v>
          </cell>
        </row>
        <row r="5521">
          <cell r="F5521">
            <v>1196.1099999999999</v>
          </cell>
          <cell r="G5521">
            <v>0</v>
          </cell>
          <cell r="H5521">
            <v>62</v>
          </cell>
        </row>
        <row r="5522">
          <cell r="F5522">
            <v>491.21</v>
          </cell>
          <cell r="G5522">
            <v>0</v>
          </cell>
          <cell r="H5522">
            <v>62</v>
          </cell>
        </row>
        <row r="5523">
          <cell r="F5523">
            <v>624.99</v>
          </cell>
          <cell r="G5523">
            <v>0</v>
          </cell>
          <cell r="H5523">
            <v>62</v>
          </cell>
        </row>
        <row r="5524">
          <cell r="F5524">
            <v>93.3</v>
          </cell>
          <cell r="G5524">
            <v>0</v>
          </cell>
          <cell r="H5524">
            <v>62</v>
          </cell>
        </row>
        <row r="5525">
          <cell r="F5525">
            <v>106.76</v>
          </cell>
          <cell r="G5525">
            <v>0</v>
          </cell>
          <cell r="H5525">
            <v>62</v>
          </cell>
        </row>
        <row r="5526">
          <cell r="F5526">
            <v>154.82</v>
          </cell>
          <cell r="G5526">
            <v>0</v>
          </cell>
          <cell r="H5526">
            <v>62</v>
          </cell>
        </row>
        <row r="5527">
          <cell r="F5527">
            <v>40.6</v>
          </cell>
          <cell r="G5527">
            <v>0</v>
          </cell>
          <cell r="H5527">
            <v>62</v>
          </cell>
        </row>
        <row r="5528">
          <cell r="F5528">
            <v>20.79</v>
          </cell>
          <cell r="G5528">
            <v>0</v>
          </cell>
          <cell r="H5528">
            <v>62</v>
          </cell>
        </row>
        <row r="5529">
          <cell r="F5529">
            <v>320.45</v>
          </cell>
          <cell r="G5529">
            <v>0</v>
          </cell>
          <cell r="H5529">
            <v>62</v>
          </cell>
        </row>
        <row r="5530">
          <cell r="F5530">
            <v>76.900000000000006</v>
          </cell>
          <cell r="G5530">
            <v>0</v>
          </cell>
          <cell r="H5530">
            <v>62</v>
          </cell>
        </row>
        <row r="5531">
          <cell r="F5531">
            <v>824.2</v>
          </cell>
          <cell r="G5531">
            <v>0</v>
          </cell>
          <cell r="H5531">
            <v>62</v>
          </cell>
        </row>
        <row r="5532">
          <cell r="F5532">
            <v>240.96</v>
          </cell>
          <cell r="G5532">
            <v>0</v>
          </cell>
          <cell r="H5532">
            <v>62</v>
          </cell>
        </row>
        <row r="5533">
          <cell r="F5533">
            <v>1659.54</v>
          </cell>
          <cell r="G5533">
            <v>0</v>
          </cell>
          <cell r="H5533">
            <v>62</v>
          </cell>
        </row>
        <row r="5534">
          <cell r="F5534">
            <v>507.8</v>
          </cell>
          <cell r="G5534">
            <v>0</v>
          </cell>
          <cell r="H5534">
            <v>62</v>
          </cell>
        </row>
        <row r="5535">
          <cell r="F5535">
            <v>3108.93</v>
          </cell>
          <cell r="G5535">
            <v>0</v>
          </cell>
          <cell r="H5535">
            <v>62</v>
          </cell>
        </row>
        <row r="5536">
          <cell r="F5536">
            <v>56.63</v>
          </cell>
          <cell r="G5536">
            <v>0</v>
          </cell>
          <cell r="H5536">
            <v>62</v>
          </cell>
        </row>
        <row r="5537">
          <cell r="F5537">
            <v>580.39</v>
          </cell>
          <cell r="G5537">
            <v>0</v>
          </cell>
          <cell r="H5537">
            <v>62</v>
          </cell>
        </row>
        <row r="5538">
          <cell r="F5538">
            <v>147.15</v>
          </cell>
          <cell r="G5538">
            <v>0</v>
          </cell>
          <cell r="H5538">
            <v>62</v>
          </cell>
        </row>
        <row r="5539">
          <cell r="F5539">
            <v>11.3</v>
          </cell>
          <cell r="G5539">
            <v>0</v>
          </cell>
          <cell r="H5539">
            <v>62</v>
          </cell>
        </row>
        <row r="5540">
          <cell r="F5540">
            <v>287.51</v>
          </cell>
          <cell r="G5540">
            <v>0</v>
          </cell>
          <cell r="H5540">
            <v>62</v>
          </cell>
        </row>
        <row r="5541">
          <cell r="F5541">
            <v>1621.19</v>
          </cell>
          <cell r="G5541">
            <v>0</v>
          </cell>
          <cell r="H5541">
            <v>62</v>
          </cell>
        </row>
        <row r="5542">
          <cell r="F5542">
            <v>781.11</v>
          </cell>
          <cell r="G5542">
            <v>0</v>
          </cell>
          <cell r="H5542">
            <v>62</v>
          </cell>
        </row>
        <row r="5543">
          <cell r="F5543">
            <v>474.43</v>
          </cell>
          <cell r="G5543">
            <v>0</v>
          </cell>
          <cell r="H5543">
            <v>62</v>
          </cell>
        </row>
        <row r="5544">
          <cell r="F5544">
            <v>168.37</v>
          </cell>
          <cell r="G5544">
            <v>0</v>
          </cell>
          <cell r="H5544">
            <v>62</v>
          </cell>
        </row>
        <row r="5545">
          <cell r="F5545">
            <v>147.41999999999999</v>
          </cell>
          <cell r="G5545">
            <v>0</v>
          </cell>
          <cell r="H5545">
            <v>62</v>
          </cell>
        </row>
        <row r="5546">
          <cell r="F5546">
            <v>480.92</v>
          </cell>
          <cell r="G5546">
            <v>0</v>
          </cell>
          <cell r="H5546">
            <v>62</v>
          </cell>
        </row>
        <row r="5547">
          <cell r="F5547">
            <v>784.03</v>
          </cell>
          <cell r="G5547">
            <v>0</v>
          </cell>
          <cell r="H5547">
            <v>62</v>
          </cell>
        </row>
        <row r="5548">
          <cell r="F5548">
            <v>45.68</v>
          </cell>
          <cell r="G5548">
            <v>0</v>
          </cell>
          <cell r="H5548">
            <v>62</v>
          </cell>
        </row>
        <row r="5549">
          <cell r="F5549">
            <v>175.96</v>
          </cell>
          <cell r="G5549">
            <v>0</v>
          </cell>
          <cell r="H5549">
            <v>62</v>
          </cell>
        </row>
        <row r="5550">
          <cell r="F5550">
            <v>37.229999999999997</v>
          </cell>
          <cell r="G5550">
            <v>0</v>
          </cell>
          <cell r="H5550">
            <v>62</v>
          </cell>
        </row>
        <row r="5551">
          <cell r="F5551">
            <v>400.41</v>
          </cell>
          <cell r="G5551">
            <v>0</v>
          </cell>
          <cell r="H5551">
            <v>62</v>
          </cell>
        </row>
        <row r="5552">
          <cell r="F5552">
            <v>1042.68</v>
          </cell>
          <cell r="G5552">
            <v>0</v>
          </cell>
          <cell r="H5552">
            <v>62</v>
          </cell>
        </row>
        <row r="5553">
          <cell r="F5553">
            <v>119.91</v>
          </cell>
          <cell r="G5553">
            <v>0</v>
          </cell>
          <cell r="H5553">
            <v>62</v>
          </cell>
        </row>
        <row r="5554">
          <cell r="F5554">
            <v>258.45</v>
          </cell>
          <cell r="G5554">
            <v>0</v>
          </cell>
          <cell r="H5554">
            <v>62</v>
          </cell>
        </row>
        <row r="5555">
          <cell r="F5555">
            <v>3841.46</v>
          </cell>
          <cell r="G5555">
            <v>0</v>
          </cell>
          <cell r="H5555">
            <v>62</v>
          </cell>
        </row>
        <row r="5556">
          <cell r="F5556">
            <v>583.80999999999995</v>
          </cell>
          <cell r="G5556">
            <v>0</v>
          </cell>
          <cell r="H5556">
            <v>62</v>
          </cell>
        </row>
        <row r="5557">
          <cell r="F5557">
            <v>77.64</v>
          </cell>
          <cell r="G5557">
            <v>0</v>
          </cell>
          <cell r="H5557">
            <v>62</v>
          </cell>
        </row>
        <row r="5558">
          <cell r="F5558">
            <v>95.47</v>
          </cell>
          <cell r="G5558">
            <v>0</v>
          </cell>
          <cell r="H5558">
            <v>62</v>
          </cell>
        </row>
        <row r="5559">
          <cell r="F5559">
            <v>325.2</v>
          </cell>
          <cell r="G5559">
            <v>0</v>
          </cell>
          <cell r="H5559">
            <v>62</v>
          </cell>
        </row>
        <row r="5560">
          <cell r="F5560">
            <v>64.31</v>
          </cell>
          <cell r="G5560">
            <v>0</v>
          </cell>
          <cell r="H5560">
            <v>62</v>
          </cell>
        </row>
        <row r="5561">
          <cell r="F5561">
            <v>6.43</v>
          </cell>
          <cell r="G5561">
            <v>0</v>
          </cell>
          <cell r="H5561">
            <v>62</v>
          </cell>
        </row>
        <row r="5562">
          <cell r="F5562">
            <v>499.59</v>
          </cell>
          <cell r="G5562">
            <v>0</v>
          </cell>
          <cell r="H5562">
            <v>62</v>
          </cell>
        </row>
        <row r="5563">
          <cell r="F5563">
            <v>589.04999999999995</v>
          </cell>
          <cell r="G5563">
            <v>0</v>
          </cell>
          <cell r="H5563">
            <v>62</v>
          </cell>
        </row>
        <row r="5564">
          <cell r="F5564">
            <v>1247.67</v>
          </cell>
          <cell r="G5564">
            <v>0</v>
          </cell>
          <cell r="H5564">
            <v>62</v>
          </cell>
        </row>
        <row r="5565">
          <cell r="F5565">
            <v>1286.7</v>
          </cell>
          <cell r="G5565">
            <v>0</v>
          </cell>
          <cell r="H5565">
            <v>62</v>
          </cell>
        </row>
        <row r="5566">
          <cell r="F5566">
            <v>212.73</v>
          </cell>
          <cell r="G5566">
            <v>0</v>
          </cell>
          <cell r="H5566">
            <v>62</v>
          </cell>
        </row>
        <row r="5567">
          <cell r="F5567">
            <v>84.74</v>
          </cell>
          <cell r="G5567">
            <v>0</v>
          </cell>
          <cell r="H5567">
            <v>62</v>
          </cell>
        </row>
        <row r="5568">
          <cell r="F5568">
            <v>708.22</v>
          </cell>
          <cell r="G5568">
            <v>0</v>
          </cell>
          <cell r="H5568">
            <v>62</v>
          </cell>
        </row>
        <row r="5569">
          <cell r="F5569">
            <v>15.11</v>
          </cell>
          <cell r="G5569">
            <v>0</v>
          </cell>
          <cell r="H5569">
            <v>62</v>
          </cell>
        </row>
        <row r="5570">
          <cell r="F5570">
            <v>63.86</v>
          </cell>
          <cell r="G5570">
            <v>0</v>
          </cell>
          <cell r="H5570">
            <v>62</v>
          </cell>
        </row>
        <row r="5571">
          <cell r="F5571">
            <v>448.84</v>
          </cell>
          <cell r="G5571">
            <v>0</v>
          </cell>
          <cell r="H5571">
            <v>62</v>
          </cell>
        </row>
        <row r="5572">
          <cell r="F5572">
            <v>2384.48</v>
          </cell>
          <cell r="G5572">
            <v>0</v>
          </cell>
          <cell r="H5572">
            <v>62</v>
          </cell>
        </row>
        <row r="5573">
          <cell r="F5573">
            <v>478.76</v>
          </cell>
          <cell r="G5573">
            <v>0</v>
          </cell>
          <cell r="H5573">
            <v>62</v>
          </cell>
        </row>
        <row r="5574">
          <cell r="F5574">
            <v>71.09</v>
          </cell>
          <cell r="G5574">
            <v>0</v>
          </cell>
          <cell r="H5574">
            <v>62</v>
          </cell>
        </row>
        <row r="5575">
          <cell r="F5575">
            <v>292.14</v>
          </cell>
          <cell r="G5575">
            <v>0</v>
          </cell>
          <cell r="H5575">
            <v>62</v>
          </cell>
        </row>
        <row r="5576">
          <cell r="F5576">
            <v>321.45999999999998</v>
          </cell>
          <cell r="G5576">
            <v>0</v>
          </cell>
          <cell r="H5576">
            <v>62</v>
          </cell>
        </row>
        <row r="5577">
          <cell r="F5577">
            <v>139.99</v>
          </cell>
          <cell r="G5577">
            <v>0</v>
          </cell>
          <cell r="H5577">
            <v>62</v>
          </cell>
        </row>
        <row r="5578">
          <cell r="F5578">
            <v>611.91</v>
          </cell>
          <cell r="G5578">
            <v>0</v>
          </cell>
          <cell r="H5578">
            <v>62</v>
          </cell>
        </row>
        <row r="5579">
          <cell r="F5579">
            <v>1639.8</v>
          </cell>
          <cell r="G5579">
            <v>0</v>
          </cell>
          <cell r="H5579">
            <v>62</v>
          </cell>
        </row>
        <row r="5580">
          <cell r="F5580">
            <v>562.4</v>
          </cell>
          <cell r="G5580">
            <v>0</v>
          </cell>
          <cell r="H5580">
            <v>62</v>
          </cell>
        </row>
        <row r="5581">
          <cell r="F5581">
            <v>585.27</v>
          </cell>
          <cell r="G5581">
            <v>0</v>
          </cell>
          <cell r="H5581">
            <v>62</v>
          </cell>
        </row>
        <row r="5582">
          <cell r="F5582">
            <v>776.36</v>
          </cell>
          <cell r="G5582">
            <v>0</v>
          </cell>
          <cell r="H5582">
            <v>62</v>
          </cell>
        </row>
        <row r="5583">
          <cell r="F5583">
            <v>61.08</v>
          </cell>
          <cell r="G5583">
            <v>0</v>
          </cell>
          <cell r="H5583">
            <v>62</v>
          </cell>
        </row>
        <row r="5584">
          <cell r="F5584">
            <v>65.84</v>
          </cell>
          <cell r="G5584">
            <v>0</v>
          </cell>
          <cell r="H5584">
            <v>62</v>
          </cell>
        </row>
        <row r="5585">
          <cell r="F5585">
            <v>667.23</v>
          </cell>
          <cell r="G5585">
            <v>0</v>
          </cell>
          <cell r="H5585">
            <v>62</v>
          </cell>
        </row>
        <row r="5586">
          <cell r="F5586">
            <v>176.16</v>
          </cell>
          <cell r="G5586">
            <v>0</v>
          </cell>
          <cell r="H5586">
            <v>62</v>
          </cell>
        </row>
        <row r="5587">
          <cell r="F5587">
            <v>585.6</v>
          </cell>
          <cell r="G5587">
            <v>0</v>
          </cell>
          <cell r="H5587">
            <v>62</v>
          </cell>
        </row>
        <row r="5588">
          <cell r="F5588">
            <v>27.27</v>
          </cell>
          <cell r="G5588">
            <v>0</v>
          </cell>
          <cell r="H5588">
            <v>62</v>
          </cell>
        </row>
        <row r="5589">
          <cell r="F5589">
            <v>462.87</v>
          </cell>
          <cell r="G5589">
            <v>0</v>
          </cell>
          <cell r="H5589">
            <v>62</v>
          </cell>
        </row>
        <row r="5590">
          <cell r="F5590">
            <v>116.13</v>
          </cell>
          <cell r="G5590">
            <v>0</v>
          </cell>
          <cell r="H5590">
            <v>62</v>
          </cell>
        </row>
        <row r="5591">
          <cell r="F5591">
            <v>117.33</v>
          </cell>
          <cell r="G5591">
            <v>0</v>
          </cell>
          <cell r="H5591">
            <v>62</v>
          </cell>
        </row>
        <row r="5592">
          <cell r="F5592">
            <v>179.96</v>
          </cell>
          <cell r="G5592">
            <v>0</v>
          </cell>
          <cell r="H5592">
            <v>62</v>
          </cell>
        </row>
        <row r="5593">
          <cell r="F5593">
            <v>52.29</v>
          </cell>
          <cell r="G5593">
            <v>0</v>
          </cell>
          <cell r="H5593">
            <v>62</v>
          </cell>
        </row>
        <row r="5594">
          <cell r="F5594">
            <v>142.16999999999999</v>
          </cell>
          <cell r="G5594">
            <v>0</v>
          </cell>
          <cell r="H5594">
            <v>62</v>
          </cell>
        </row>
        <row r="5595">
          <cell r="F5595">
            <v>1932.05</v>
          </cell>
          <cell r="G5595">
            <v>0</v>
          </cell>
          <cell r="H5595">
            <v>62</v>
          </cell>
        </row>
        <row r="5596">
          <cell r="F5596">
            <v>816.53</v>
          </cell>
          <cell r="G5596">
            <v>0</v>
          </cell>
          <cell r="H5596">
            <v>62</v>
          </cell>
        </row>
        <row r="5597">
          <cell r="F5597">
            <v>133.36000000000001</v>
          </cell>
          <cell r="G5597">
            <v>0</v>
          </cell>
          <cell r="H5597">
            <v>62</v>
          </cell>
        </row>
        <row r="5598">
          <cell r="F5598">
            <v>402.1</v>
          </cell>
          <cell r="G5598">
            <v>0</v>
          </cell>
          <cell r="H5598">
            <v>62</v>
          </cell>
        </row>
        <row r="5599">
          <cell r="F5599">
            <v>85.39</v>
          </cell>
          <cell r="G5599">
            <v>0</v>
          </cell>
          <cell r="H5599">
            <v>62</v>
          </cell>
        </row>
        <row r="5600">
          <cell r="F5600">
            <v>101.11</v>
          </cell>
          <cell r="G5600">
            <v>0</v>
          </cell>
          <cell r="H5600">
            <v>62</v>
          </cell>
        </row>
        <row r="5601">
          <cell r="F5601">
            <v>920.03</v>
          </cell>
          <cell r="G5601">
            <v>0</v>
          </cell>
          <cell r="H5601">
            <v>62</v>
          </cell>
        </row>
        <row r="5602">
          <cell r="F5602">
            <v>307.16000000000003</v>
          </cell>
          <cell r="G5602">
            <v>0</v>
          </cell>
          <cell r="H5602">
            <v>62</v>
          </cell>
        </row>
        <row r="5603">
          <cell r="F5603">
            <v>123.17</v>
          </cell>
          <cell r="G5603">
            <v>0</v>
          </cell>
          <cell r="H5603">
            <v>62</v>
          </cell>
        </row>
        <row r="5604">
          <cell r="F5604">
            <v>318.35000000000002</v>
          </cell>
          <cell r="G5604">
            <v>0</v>
          </cell>
          <cell r="H5604">
            <v>62</v>
          </cell>
        </row>
        <row r="5605">
          <cell r="F5605">
            <v>46.86</v>
          </cell>
          <cell r="G5605">
            <v>0</v>
          </cell>
          <cell r="H5605">
            <v>62</v>
          </cell>
        </row>
        <row r="5606">
          <cell r="F5606">
            <v>131.78</v>
          </cell>
          <cell r="G5606">
            <v>0</v>
          </cell>
          <cell r="H5606">
            <v>62</v>
          </cell>
        </row>
        <row r="5607">
          <cell r="F5607">
            <v>115.25</v>
          </cell>
          <cell r="G5607">
            <v>0</v>
          </cell>
          <cell r="H5607">
            <v>62</v>
          </cell>
        </row>
        <row r="5608">
          <cell r="F5608">
            <v>201.05</v>
          </cell>
          <cell r="G5608">
            <v>0</v>
          </cell>
          <cell r="H5608">
            <v>62</v>
          </cell>
        </row>
        <row r="5609">
          <cell r="F5609">
            <v>1245.04</v>
          </cell>
          <cell r="G5609">
            <v>0</v>
          </cell>
          <cell r="H5609">
            <v>62</v>
          </cell>
        </row>
        <row r="5610">
          <cell r="F5610">
            <v>332.91</v>
          </cell>
          <cell r="G5610">
            <v>0</v>
          </cell>
          <cell r="H5610">
            <v>62</v>
          </cell>
        </row>
        <row r="5611">
          <cell r="F5611">
            <v>868.21</v>
          </cell>
          <cell r="G5611">
            <v>0</v>
          </cell>
          <cell r="H5611">
            <v>62</v>
          </cell>
        </row>
        <row r="5612">
          <cell r="F5612">
            <v>47.95</v>
          </cell>
          <cell r="G5612">
            <v>0</v>
          </cell>
          <cell r="H5612">
            <v>62</v>
          </cell>
        </row>
        <row r="5613">
          <cell r="F5613">
            <v>468.41</v>
          </cell>
          <cell r="G5613">
            <v>0</v>
          </cell>
          <cell r="H5613">
            <v>62</v>
          </cell>
        </row>
        <row r="5614">
          <cell r="F5614">
            <v>593.01</v>
          </cell>
          <cell r="G5614">
            <v>0</v>
          </cell>
          <cell r="H5614">
            <v>62</v>
          </cell>
        </row>
        <row r="5615">
          <cell r="F5615">
            <v>50.14</v>
          </cell>
          <cell r="G5615">
            <v>0</v>
          </cell>
          <cell r="H5615">
            <v>62</v>
          </cell>
        </row>
        <row r="5616">
          <cell r="F5616">
            <v>547.57000000000005</v>
          </cell>
          <cell r="G5616">
            <v>0</v>
          </cell>
          <cell r="H5616">
            <v>62</v>
          </cell>
        </row>
        <row r="5617">
          <cell r="F5617">
            <v>45.61</v>
          </cell>
          <cell r="G5617">
            <v>0</v>
          </cell>
          <cell r="H5617">
            <v>62</v>
          </cell>
        </row>
        <row r="5618">
          <cell r="F5618">
            <v>111.35</v>
          </cell>
          <cell r="G5618">
            <v>0</v>
          </cell>
          <cell r="H5618">
            <v>62</v>
          </cell>
        </row>
        <row r="5619">
          <cell r="F5619">
            <v>64.12</v>
          </cell>
          <cell r="G5619">
            <v>0</v>
          </cell>
          <cell r="H5619">
            <v>62</v>
          </cell>
        </row>
        <row r="5620">
          <cell r="F5620">
            <v>40.119999999999997</v>
          </cell>
          <cell r="G5620">
            <v>0</v>
          </cell>
          <cell r="H5620">
            <v>62</v>
          </cell>
        </row>
        <row r="5621">
          <cell r="F5621">
            <v>206.76</v>
          </cell>
          <cell r="G5621">
            <v>0</v>
          </cell>
          <cell r="H5621">
            <v>62</v>
          </cell>
        </row>
        <row r="5622">
          <cell r="F5622">
            <v>1830.35</v>
          </cell>
          <cell r="G5622">
            <v>0</v>
          </cell>
          <cell r="H5622">
            <v>62</v>
          </cell>
        </row>
        <row r="5623">
          <cell r="F5623">
            <v>1969.11</v>
          </cell>
          <cell r="G5623">
            <v>0</v>
          </cell>
          <cell r="H5623">
            <v>62</v>
          </cell>
        </row>
        <row r="5624">
          <cell r="F5624">
            <v>71.08</v>
          </cell>
          <cell r="G5624">
            <v>0</v>
          </cell>
          <cell r="H5624">
            <v>62</v>
          </cell>
        </row>
        <row r="5625">
          <cell r="F5625">
            <v>35.74</v>
          </cell>
          <cell r="G5625">
            <v>0</v>
          </cell>
          <cell r="H5625">
            <v>62</v>
          </cell>
        </row>
        <row r="5626">
          <cell r="F5626">
            <v>142.16999999999999</v>
          </cell>
          <cell r="G5626">
            <v>0</v>
          </cell>
          <cell r="H5626">
            <v>62</v>
          </cell>
        </row>
        <row r="5627">
          <cell r="F5627">
            <v>821.4</v>
          </cell>
          <cell r="G5627">
            <v>0</v>
          </cell>
          <cell r="H5627">
            <v>62</v>
          </cell>
        </row>
        <row r="5628">
          <cell r="F5628">
            <v>169.14</v>
          </cell>
          <cell r="G5628">
            <v>0</v>
          </cell>
          <cell r="H5628">
            <v>62</v>
          </cell>
        </row>
        <row r="5629">
          <cell r="F5629">
            <v>0</v>
          </cell>
          <cell r="G5629">
            <v>0</v>
          </cell>
          <cell r="H5629">
            <v>62</v>
          </cell>
        </row>
        <row r="5630">
          <cell r="F5630">
            <v>61.58</v>
          </cell>
          <cell r="G5630">
            <v>0</v>
          </cell>
          <cell r="H5630">
            <v>62</v>
          </cell>
        </row>
        <row r="5631">
          <cell r="F5631">
            <v>1716.28</v>
          </cell>
          <cell r="G5631">
            <v>0</v>
          </cell>
          <cell r="H5631">
            <v>62</v>
          </cell>
        </row>
        <row r="5632">
          <cell r="F5632">
            <v>647.04</v>
          </cell>
          <cell r="G5632">
            <v>0</v>
          </cell>
          <cell r="H5632">
            <v>62</v>
          </cell>
        </row>
        <row r="5633">
          <cell r="F5633">
            <v>497.25</v>
          </cell>
          <cell r="G5633">
            <v>0</v>
          </cell>
          <cell r="H5633">
            <v>62</v>
          </cell>
        </row>
        <row r="5634">
          <cell r="F5634">
            <v>142.49</v>
          </cell>
          <cell r="G5634">
            <v>0</v>
          </cell>
          <cell r="H5634">
            <v>62</v>
          </cell>
        </row>
        <row r="5635">
          <cell r="F5635">
            <v>560.29</v>
          </cell>
          <cell r="G5635">
            <v>0</v>
          </cell>
          <cell r="H5635">
            <v>62</v>
          </cell>
        </row>
        <row r="5636">
          <cell r="F5636">
            <v>198.46</v>
          </cell>
          <cell r="G5636">
            <v>0</v>
          </cell>
          <cell r="H5636">
            <v>62</v>
          </cell>
        </row>
        <row r="5637">
          <cell r="F5637">
            <v>1021.68</v>
          </cell>
          <cell r="G5637">
            <v>0</v>
          </cell>
          <cell r="H5637">
            <v>62</v>
          </cell>
        </row>
        <row r="5638">
          <cell r="F5638">
            <v>142.16</v>
          </cell>
          <cell r="G5638">
            <v>0</v>
          </cell>
          <cell r="H5638">
            <v>62</v>
          </cell>
        </row>
        <row r="5639">
          <cell r="F5639">
            <v>448.35</v>
          </cell>
          <cell r="G5639">
            <v>0</v>
          </cell>
          <cell r="H5639">
            <v>62</v>
          </cell>
        </row>
        <row r="5640">
          <cell r="F5640">
            <v>775.99</v>
          </cell>
          <cell r="G5640">
            <v>0</v>
          </cell>
          <cell r="H5640">
            <v>62</v>
          </cell>
        </row>
        <row r="5641">
          <cell r="F5641">
            <v>182.62</v>
          </cell>
          <cell r="G5641">
            <v>0</v>
          </cell>
          <cell r="H5641">
            <v>62</v>
          </cell>
        </row>
        <row r="5642">
          <cell r="F5642">
            <v>380.96</v>
          </cell>
          <cell r="G5642">
            <v>0</v>
          </cell>
          <cell r="H5642">
            <v>62</v>
          </cell>
        </row>
        <row r="5643">
          <cell r="F5643">
            <v>304.72000000000003</v>
          </cell>
          <cell r="G5643">
            <v>0</v>
          </cell>
          <cell r="H5643">
            <v>62</v>
          </cell>
        </row>
        <row r="5644">
          <cell r="F5644">
            <v>216.47</v>
          </cell>
          <cell r="G5644">
            <v>0</v>
          </cell>
          <cell r="H5644">
            <v>62</v>
          </cell>
        </row>
        <row r="5645">
          <cell r="F5645">
            <v>257.73</v>
          </cell>
          <cell r="G5645">
            <v>0</v>
          </cell>
          <cell r="H5645">
            <v>62</v>
          </cell>
        </row>
        <row r="5646">
          <cell r="F5646">
            <v>71.099999999999994</v>
          </cell>
          <cell r="G5646">
            <v>0</v>
          </cell>
          <cell r="H5646">
            <v>62</v>
          </cell>
        </row>
        <row r="5647">
          <cell r="F5647">
            <v>345.94</v>
          </cell>
          <cell r="G5647">
            <v>0</v>
          </cell>
          <cell r="H5647">
            <v>62</v>
          </cell>
        </row>
        <row r="5648">
          <cell r="F5648">
            <v>11.54</v>
          </cell>
          <cell r="G5648">
            <v>0</v>
          </cell>
          <cell r="H5648">
            <v>62</v>
          </cell>
        </row>
        <row r="5649">
          <cell r="F5649">
            <v>1585.86</v>
          </cell>
          <cell r="G5649">
            <v>0</v>
          </cell>
          <cell r="H5649">
            <v>62</v>
          </cell>
        </row>
        <row r="5650">
          <cell r="F5650">
            <v>550.32000000000005</v>
          </cell>
          <cell r="G5650">
            <v>0</v>
          </cell>
          <cell r="H5650">
            <v>62</v>
          </cell>
        </row>
        <row r="5651">
          <cell r="F5651">
            <v>525.87</v>
          </cell>
          <cell r="G5651">
            <v>0</v>
          </cell>
          <cell r="H5651">
            <v>62</v>
          </cell>
        </row>
        <row r="5652">
          <cell r="F5652">
            <v>635.69000000000005</v>
          </cell>
          <cell r="G5652">
            <v>0</v>
          </cell>
          <cell r="H5652">
            <v>62</v>
          </cell>
        </row>
        <row r="5653">
          <cell r="F5653">
            <v>56.85</v>
          </cell>
          <cell r="G5653">
            <v>0</v>
          </cell>
          <cell r="H5653">
            <v>62</v>
          </cell>
        </row>
        <row r="5654">
          <cell r="F5654">
            <v>70.61</v>
          </cell>
          <cell r="G5654">
            <v>0</v>
          </cell>
          <cell r="H5654">
            <v>62</v>
          </cell>
        </row>
        <row r="5655">
          <cell r="F5655">
            <v>274.74</v>
          </cell>
          <cell r="G5655">
            <v>0</v>
          </cell>
          <cell r="H5655">
            <v>62</v>
          </cell>
        </row>
        <row r="5656">
          <cell r="F5656">
            <v>1552.79</v>
          </cell>
          <cell r="G5656">
            <v>0</v>
          </cell>
          <cell r="H5656">
            <v>62</v>
          </cell>
        </row>
        <row r="5657">
          <cell r="F5657">
            <v>644.63</v>
          </cell>
          <cell r="G5657">
            <v>0</v>
          </cell>
          <cell r="H5657">
            <v>62</v>
          </cell>
        </row>
        <row r="5658">
          <cell r="F5658">
            <v>1901.9</v>
          </cell>
          <cell r="G5658">
            <v>0</v>
          </cell>
          <cell r="H5658">
            <v>62</v>
          </cell>
        </row>
        <row r="5659">
          <cell r="F5659">
            <v>428.47</v>
          </cell>
          <cell r="G5659">
            <v>0</v>
          </cell>
          <cell r="H5659">
            <v>62</v>
          </cell>
        </row>
        <row r="5660">
          <cell r="F5660">
            <v>678.45</v>
          </cell>
          <cell r="G5660">
            <v>0</v>
          </cell>
          <cell r="H5660">
            <v>62</v>
          </cell>
        </row>
        <row r="5661">
          <cell r="F5661">
            <v>490.64</v>
          </cell>
          <cell r="G5661">
            <v>0</v>
          </cell>
          <cell r="H5661">
            <v>62</v>
          </cell>
        </row>
        <row r="5662">
          <cell r="F5662">
            <v>318.67</v>
          </cell>
          <cell r="G5662">
            <v>0</v>
          </cell>
          <cell r="H5662">
            <v>62</v>
          </cell>
        </row>
        <row r="5663">
          <cell r="F5663">
            <v>224.03</v>
          </cell>
          <cell r="G5663">
            <v>0</v>
          </cell>
          <cell r="H5663">
            <v>62</v>
          </cell>
        </row>
        <row r="5664">
          <cell r="F5664">
            <v>28.019999999999996</v>
          </cell>
          <cell r="G5664">
            <v>0</v>
          </cell>
          <cell r="H5664">
            <v>62</v>
          </cell>
        </row>
        <row r="5665">
          <cell r="F5665">
            <v>6.7500000000000009</v>
          </cell>
          <cell r="G5665">
            <v>0</v>
          </cell>
          <cell r="H5665">
            <v>62</v>
          </cell>
        </row>
        <row r="5666">
          <cell r="F5666">
            <v>66.62</v>
          </cell>
          <cell r="G5666">
            <v>0</v>
          </cell>
          <cell r="H5666">
            <v>62</v>
          </cell>
        </row>
        <row r="5667">
          <cell r="F5667">
            <v>19.950000000000003</v>
          </cell>
          <cell r="G5667">
            <v>0</v>
          </cell>
          <cell r="H5667">
            <v>62</v>
          </cell>
        </row>
        <row r="5668">
          <cell r="F5668">
            <v>51.11999999999999</v>
          </cell>
          <cell r="G5668">
            <v>0</v>
          </cell>
          <cell r="H5668">
            <v>62</v>
          </cell>
        </row>
        <row r="5669">
          <cell r="F5669">
            <v>137.14000000000001</v>
          </cell>
          <cell r="G5669">
            <v>0</v>
          </cell>
          <cell r="H5669">
            <v>62</v>
          </cell>
        </row>
        <row r="5670">
          <cell r="F5670">
            <v>47.84</v>
          </cell>
          <cell r="G5670">
            <v>0</v>
          </cell>
          <cell r="H5670">
            <v>62</v>
          </cell>
        </row>
        <row r="5671">
          <cell r="F5671">
            <v>63.39</v>
          </cell>
          <cell r="G5671">
            <v>0</v>
          </cell>
          <cell r="H5671">
            <v>62</v>
          </cell>
        </row>
        <row r="5672">
          <cell r="F5672">
            <v>4.5400000000000009</v>
          </cell>
          <cell r="G5672">
            <v>0</v>
          </cell>
          <cell r="H5672">
            <v>62</v>
          </cell>
        </row>
        <row r="5673">
          <cell r="F5673">
            <v>77.010000000000005</v>
          </cell>
          <cell r="G5673">
            <v>0</v>
          </cell>
          <cell r="H5673">
            <v>62</v>
          </cell>
        </row>
        <row r="5674">
          <cell r="F5674">
            <v>48.61</v>
          </cell>
          <cell r="G5674">
            <v>0</v>
          </cell>
          <cell r="H5674">
            <v>62</v>
          </cell>
        </row>
        <row r="5675">
          <cell r="F5675">
            <v>81.64</v>
          </cell>
          <cell r="G5675">
            <v>0</v>
          </cell>
          <cell r="H5675">
            <v>62</v>
          </cell>
        </row>
        <row r="5676">
          <cell r="F5676">
            <v>19.52</v>
          </cell>
          <cell r="G5676">
            <v>0</v>
          </cell>
          <cell r="H5676">
            <v>62</v>
          </cell>
        </row>
        <row r="5677">
          <cell r="F5677">
            <v>54.11</v>
          </cell>
          <cell r="G5677">
            <v>0</v>
          </cell>
          <cell r="H5677">
            <v>62</v>
          </cell>
        </row>
        <row r="5678">
          <cell r="F5678">
            <v>57.55</v>
          </cell>
          <cell r="G5678">
            <v>0</v>
          </cell>
          <cell r="H5678">
            <v>62</v>
          </cell>
        </row>
        <row r="5679">
          <cell r="F5679">
            <v>112.89</v>
          </cell>
          <cell r="G5679">
            <v>0</v>
          </cell>
          <cell r="H5679">
            <v>62</v>
          </cell>
        </row>
        <row r="5680">
          <cell r="F5680">
            <v>78.95</v>
          </cell>
          <cell r="G5680">
            <v>0</v>
          </cell>
          <cell r="H5680">
            <v>62</v>
          </cell>
        </row>
        <row r="5681">
          <cell r="F5681">
            <v>93.57</v>
          </cell>
          <cell r="G5681">
            <v>0</v>
          </cell>
          <cell r="H5681">
            <v>62</v>
          </cell>
        </row>
        <row r="5682">
          <cell r="F5682">
            <v>207.16</v>
          </cell>
          <cell r="G5682">
            <v>0</v>
          </cell>
          <cell r="H5682">
            <v>62</v>
          </cell>
        </row>
        <row r="5683">
          <cell r="F5683">
            <v>107.65</v>
          </cell>
          <cell r="G5683">
            <v>0</v>
          </cell>
          <cell r="H5683">
            <v>62</v>
          </cell>
        </row>
        <row r="5684">
          <cell r="F5684">
            <v>82.740000000000009</v>
          </cell>
          <cell r="G5684">
            <v>0</v>
          </cell>
          <cell r="H5684">
            <v>62</v>
          </cell>
        </row>
        <row r="5685">
          <cell r="F5685">
            <v>24.529999999999998</v>
          </cell>
          <cell r="G5685">
            <v>0</v>
          </cell>
          <cell r="H5685">
            <v>62</v>
          </cell>
        </row>
        <row r="5686">
          <cell r="F5686">
            <v>144.45000000000002</v>
          </cell>
          <cell r="G5686">
            <v>0</v>
          </cell>
          <cell r="H5686">
            <v>62</v>
          </cell>
        </row>
        <row r="5687">
          <cell r="F5687">
            <v>7.59</v>
          </cell>
          <cell r="G5687">
            <v>0</v>
          </cell>
          <cell r="H5687">
            <v>62</v>
          </cell>
        </row>
        <row r="5688">
          <cell r="F5688">
            <v>169.99</v>
          </cell>
          <cell r="G5688">
            <v>0</v>
          </cell>
          <cell r="H5688">
            <v>62</v>
          </cell>
        </row>
        <row r="5689">
          <cell r="F5689">
            <v>15.52</v>
          </cell>
          <cell r="G5689">
            <v>0</v>
          </cell>
          <cell r="H5689">
            <v>62</v>
          </cell>
        </row>
        <row r="5690">
          <cell r="F5690">
            <v>29.28</v>
          </cell>
          <cell r="G5690">
            <v>0</v>
          </cell>
          <cell r="H5690">
            <v>62</v>
          </cell>
        </row>
        <row r="5691">
          <cell r="F5691">
            <v>6.1899999999999995</v>
          </cell>
          <cell r="G5691">
            <v>0</v>
          </cell>
          <cell r="H5691">
            <v>62</v>
          </cell>
        </row>
        <row r="5692">
          <cell r="F5692">
            <v>11.75</v>
          </cell>
          <cell r="G5692">
            <v>0</v>
          </cell>
          <cell r="H5692">
            <v>62</v>
          </cell>
        </row>
        <row r="5693">
          <cell r="F5693">
            <v>103.15</v>
          </cell>
          <cell r="G5693">
            <v>0</v>
          </cell>
          <cell r="H5693">
            <v>62</v>
          </cell>
        </row>
        <row r="5694">
          <cell r="F5694">
            <v>0</v>
          </cell>
          <cell r="G5694">
            <v>0</v>
          </cell>
          <cell r="H5694">
            <v>62</v>
          </cell>
        </row>
        <row r="5695">
          <cell r="F5695">
            <v>153.07999999999998</v>
          </cell>
          <cell r="G5695">
            <v>0</v>
          </cell>
          <cell r="H5695">
            <v>62</v>
          </cell>
        </row>
        <row r="5696">
          <cell r="F5696">
            <v>41.769999999999996</v>
          </cell>
          <cell r="G5696">
            <v>0</v>
          </cell>
          <cell r="H5696">
            <v>62</v>
          </cell>
        </row>
        <row r="5697">
          <cell r="F5697">
            <v>71.36</v>
          </cell>
          <cell r="G5697">
            <v>0</v>
          </cell>
          <cell r="H5697">
            <v>62</v>
          </cell>
        </row>
        <row r="5698">
          <cell r="F5698">
            <v>396.77</v>
          </cell>
          <cell r="G5698">
            <v>0</v>
          </cell>
          <cell r="H5698">
            <v>62</v>
          </cell>
        </row>
        <row r="5699">
          <cell r="F5699">
            <v>11.83</v>
          </cell>
          <cell r="G5699">
            <v>0</v>
          </cell>
          <cell r="H5699">
            <v>62</v>
          </cell>
        </row>
        <row r="5700">
          <cell r="F5700">
            <v>7.8</v>
          </cell>
          <cell r="G5700">
            <v>0</v>
          </cell>
          <cell r="H5700">
            <v>62</v>
          </cell>
        </row>
        <row r="5701">
          <cell r="F5701">
            <v>19.179999999999996</v>
          </cell>
          <cell r="G5701">
            <v>0</v>
          </cell>
          <cell r="H5701">
            <v>62</v>
          </cell>
        </row>
        <row r="5702">
          <cell r="F5702">
            <v>23.65</v>
          </cell>
          <cell r="G5702">
            <v>0</v>
          </cell>
          <cell r="H5702">
            <v>62</v>
          </cell>
        </row>
        <row r="5703">
          <cell r="F5703">
            <v>21.92</v>
          </cell>
          <cell r="G5703">
            <v>0</v>
          </cell>
          <cell r="H5703">
            <v>62</v>
          </cell>
        </row>
        <row r="5704">
          <cell r="F5704">
            <v>15.890000000000002</v>
          </cell>
          <cell r="G5704">
            <v>0</v>
          </cell>
          <cell r="H5704">
            <v>62</v>
          </cell>
        </row>
        <row r="5705">
          <cell r="F5705">
            <v>84.490000000000009</v>
          </cell>
          <cell r="G5705">
            <v>0</v>
          </cell>
          <cell r="H5705">
            <v>62</v>
          </cell>
        </row>
        <row r="5706">
          <cell r="F5706">
            <v>28.14</v>
          </cell>
          <cell r="G5706">
            <v>0</v>
          </cell>
          <cell r="H5706">
            <v>62</v>
          </cell>
        </row>
        <row r="5707">
          <cell r="F5707">
            <v>9.4200000000000017</v>
          </cell>
          <cell r="G5707">
            <v>0</v>
          </cell>
          <cell r="H5707">
            <v>62</v>
          </cell>
        </row>
        <row r="5708">
          <cell r="F5708">
            <v>1.88</v>
          </cell>
          <cell r="G5708">
            <v>0</v>
          </cell>
          <cell r="H5708">
            <v>62</v>
          </cell>
        </row>
        <row r="5709">
          <cell r="F5709">
            <v>10.25</v>
          </cell>
          <cell r="G5709">
            <v>0</v>
          </cell>
          <cell r="H5709">
            <v>62</v>
          </cell>
        </row>
        <row r="5710">
          <cell r="F5710">
            <v>135.85999999999999</v>
          </cell>
          <cell r="G5710">
            <v>0</v>
          </cell>
          <cell r="H5710">
            <v>62</v>
          </cell>
        </row>
        <row r="5711">
          <cell r="F5711">
            <v>214.09999999999997</v>
          </cell>
          <cell r="G5711">
            <v>0</v>
          </cell>
          <cell r="H5711">
            <v>62</v>
          </cell>
        </row>
        <row r="5712">
          <cell r="F5712">
            <v>130.44999999999999</v>
          </cell>
          <cell r="G5712">
            <v>0</v>
          </cell>
          <cell r="H5712">
            <v>62</v>
          </cell>
        </row>
        <row r="5713">
          <cell r="F5713">
            <v>10.16</v>
          </cell>
          <cell r="G5713">
            <v>0</v>
          </cell>
          <cell r="H5713">
            <v>62</v>
          </cell>
        </row>
        <row r="5714">
          <cell r="F5714">
            <v>7.9799999999999995</v>
          </cell>
          <cell r="G5714">
            <v>0</v>
          </cell>
          <cell r="H5714">
            <v>62</v>
          </cell>
        </row>
        <row r="5715">
          <cell r="F5715">
            <v>9.4600000000000009</v>
          </cell>
          <cell r="G5715">
            <v>0</v>
          </cell>
          <cell r="H5715">
            <v>62</v>
          </cell>
        </row>
        <row r="5716">
          <cell r="F5716">
            <v>25.770000000000003</v>
          </cell>
          <cell r="G5716">
            <v>0</v>
          </cell>
          <cell r="H5716">
            <v>62</v>
          </cell>
        </row>
        <row r="5717">
          <cell r="F5717">
            <v>14.2</v>
          </cell>
          <cell r="G5717">
            <v>0</v>
          </cell>
          <cell r="H5717">
            <v>62</v>
          </cell>
        </row>
        <row r="5718">
          <cell r="F5718">
            <v>18.520000000000003</v>
          </cell>
          <cell r="G5718">
            <v>0</v>
          </cell>
          <cell r="H5718">
            <v>62</v>
          </cell>
        </row>
        <row r="5719">
          <cell r="F5719">
            <v>74.599999999999994</v>
          </cell>
          <cell r="G5719">
            <v>0</v>
          </cell>
          <cell r="H5719">
            <v>62</v>
          </cell>
        </row>
        <row r="5720">
          <cell r="F5720">
            <v>34.400000000000006</v>
          </cell>
          <cell r="G5720">
            <v>0</v>
          </cell>
          <cell r="H5720">
            <v>62</v>
          </cell>
        </row>
        <row r="5721">
          <cell r="F5721">
            <v>97.149999999999991</v>
          </cell>
          <cell r="G5721">
            <v>0</v>
          </cell>
          <cell r="H5721">
            <v>62</v>
          </cell>
        </row>
        <row r="5722">
          <cell r="F5722">
            <v>517.29</v>
          </cell>
          <cell r="G5722">
            <v>0</v>
          </cell>
          <cell r="H5722">
            <v>62</v>
          </cell>
        </row>
        <row r="5723">
          <cell r="F5723">
            <v>11.83</v>
          </cell>
          <cell r="G5723">
            <v>0</v>
          </cell>
          <cell r="H5723">
            <v>62</v>
          </cell>
        </row>
        <row r="5724">
          <cell r="F5724">
            <v>23.290000000000003</v>
          </cell>
          <cell r="G5724">
            <v>0</v>
          </cell>
          <cell r="H5724">
            <v>62</v>
          </cell>
        </row>
        <row r="5725">
          <cell r="F5725">
            <v>96.57</v>
          </cell>
          <cell r="G5725">
            <v>0</v>
          </cell>
          <cell r="H5725">
            <v>62</v>
          </cell>
        </row>
        <row r="5726">
          <cell r="F5726">
            <v>101.82000000000001</v>
          </cell>
          <cell r="G5726">
            <v>0</v>
          </cell>
          <cell r="H5726">
            <v>62</v>
          </cell>
        </row>
        <row r="5727">
          <cell r="F5727">
            <v>83.12</v>
          </cell>
          <cell r="G5727">
            <v>0</v>
          </cell>
          <cell r="H5727">
            <v>62</v>
          </cell>
        </row>
        <row r="5728">
          <cell r="F5728">
            <v>269.76</v>
          </cell>
          <cell r="G5728">
            <v>0</v>
          </cell>
          <cell r="H5728">
            <v>62</v>
          </cell>
        </row>
        <row r="5729">
          <cell r="F5729">
            <v>207.58999999999997</v>
          </cell>
          <cell r="G5729">
            <v>0</v>
          </cell>
          <cell r="H5729">
            <v>62</v>
          </cell>
        </row>
        <row r="5730">
          <cell r="F5730">
            <v>22.200000000000003</v>
          </cell>
          <cell r="G5730">
            <v>0</v>
          </cell>
          <cell r="H5730">
            <v>62</v>
          </cell>
        </row>
        <row r="5731">
          <cell r="F5731">
            <v>23.71</v>
          </cell>
          <cell r="G5731">
            <v>0</v>
          </cell>
          <cell r="H5731">
            <v>62</v>
          </cell>
        </row>
        <row r="5732">
          <cell r="F5732">
            <v>97.37</v>
          </cell>
          <cell r="G5732">
            <v>0</v>
          </cell>
          <cell r="H5732">
            <v>62</v>
          </cell>
        </row>
        <row r="5733">
          <cell r="F5733">
            <v>117.83000000000001</v>
          </cell>
          <cell r="G5733">
            <v>0</v>
          </cell>
          <cell r="H5733">
            <v>62</v>
          </cell>
        </row>
        <row r="5734">
          <cell r="F5734">
            <v>17.770000000000003</v>
          </cell>
          <cell r="G5734">
            <v>0</v>
          </cell>
          <cell r="H5734">
            <v>62</v>
          </cell>
        </row>
        <row r="5735">
          <cell r="F5735">
            <v>2.52</v>
          </cell>
          <cell r="G5735">
            <v>0</v>
          </cell>
          <cell r="H5735">
            <v>62</v>
          </cell>
        </row>
        <row r="5736">
          <cell r="F5736">
            <v>74.680000000000007</v>
          </cell>
          <cell r="G5736">
            <v>0</v>
          </cell>
          <cell r="H5736">
            <v>62</v>
          </cell>
        </row>
        <row r="5737">
          <cell r="F5737">
            <v>16.82</v>
          </cell>
          <cell r="G5737">
            <v>0</v>
          </cell>
          <cell r="H5737">
            <v>62</v>
          </cell>
        </row>
        <row r="5738">
          <cell r="F5738">
            <v>304.56</v>
          </cell>
          <cell r="G5738">
            <v>0</v>
          </cell>
          <cell r="H5738">
            <v>62</v>
          </cell>
        </row>
        <row r="5739">
          <cell r="F5739">
            <v>42.88</v>
          </cell>
          <cell r="G5739">
            <v>0</v>
          </cell>
          <cell r="H5739">
            <v>62</v>
          </cell>
        </row>
        <row r="5740">
          <cell r="F5740">
            <v>37.269999999999996</v>
          </cell>
          <cell r="G5740">
            <v>0</v>
          </cell>
          <cell r="H5740">
            <v>62</v>
          </cell>
        </row>
        <row r="5741">
          <cell r="F5741">
            <v>10.7</v>
          </cell>
          <cell r="G5741">
            <v>0</v>
          </cell>
          <cell r="H5741">
            <v>62</v>
          </cell>
        </row>
        <row r="5742">
          <cell r="F5742">
            <v>23.65</v>
          </cell>
          <cell r="G5742">
            <v>0</v>
          </cell>
          <cell r="H5742">
            <v>62</v>
          </cell>
        </row>
        <row r="5743">
          <cell r="F5743">
            <v>274.28999999999996</v>
          </cell>
          <cell r="G5743">
            <v>0</v>
          </cell>
          <cell r="H5743">
            <v>62</v>
          </cell>
        </row>
        <row r="5744">
          <cell r="F5744">
            <v>12.909999999999998</v>
          </cell>
          <cell r="G5744">
            <v>0</v>
          </cell>
          <cell r="H5744">
            <v>62</v>
          </cell>
        </row>
        <row r="5745">
          <cell r="F5745">
            <v>53.480000000000004</v>
          </cell>
          <cell r="G5745">
            <v>0</v>
          </cell>
          <cell r="H5745">
            <v>62</v>
          </cell>
        </row>
        <row r="5746">
          <cell r="F5746">
            <v>24.490000000000002</v>
          </cell>
          <cell r="G5746">
            <v>0</v>
          </cell>
          <cell r="H5746">
            <v>62</v>
          </cell>
        </row>
        <row r="5747">
          <cell r="F5747">
            <v>33.459999999999994</v>
          </cell>
          <cell r="G5747">
            <v>0</v>
          </cell>
          <cell r="H5747">
            <v>62</v>
          </cell>
        </row>
        <row r="5748">
          <cell r="F5748">
            <v>87.5</v>
          </cell>
          <cell r="G5748">
            <v>0</v>
          </cell>
          <cell r="H5748">
            <v>62</v>
          </cell>
        </row>
        <row r="5749">
          <cell r="F5749">
            <v>103.98999999999998</v>
          </cell>
          <cell r="G5749">
            <v>0</v>
          </cell>
          <cell r="H5749">
            <v>62</v>
          </cell>
        </row>
        <row r="5750">
          <cell r="F5750">
            <v>77.94</v>
          </cell>
          <cell r="G5750">
            <v>0</v>
          </cell>
          <cell r="H5750">
            <v>62</v>
          </cell>
        </row>
        <row r="5751">
          <cell r="F5751">
            <v>111.01999999999998</v>
          </cell>
          <cell r="G5751">
            <v>0</v>
          </cell>
          <cell r="H5751">
            <v>62</v>
          </cell>
        </row>
        <row r="5752">
          <cell r="F5752">
            <v>7.58</v>
          </cell>
          <cell r="G5752">
            <v>0</v>
          </cell>
          <cell r="H5752">
            <v>62</v>
          </cell>
        </row>
        <row r="5753">
          <cell r="F5753">
            <v>3.4499999999999997</v>
          </cell>
          <cell r="G5753">
            <v>0</v>
          </cell>
          <cell r="H5753">
            <v>62</v>
          </cell>
        </row>
        <row r="5754">
          <cell r="F5754">
            <v>53.31</v>
          </cell>
          <cell r="G5754">
            <v>0</v>
          </cell>
          <cell r="H5754">
            <v>62</v>
          </cell>
        </row>
        <row r="5755">
          <cell r="F5755">
            <v>10.619999999999997</v>
          </cell>
          <cell r="G5755">
            <v>0</v>
          </cell>
          <cell r="H5755">
            <v>62</v>
          </cell>
        </row>
        <row r="5756">
          <cell r="F5756">
            <v>15.46</v>
          </cell>
          <cell r="G5756">
            <v>0</v>
          </cell>
          <cell r="H5756">
            <v>62</v>
          </cell>
        </row>
        <row r="5757">
          <cell r="F5757">
            <v>52.97</v>
          </cell>
          <cell r="G5757">
            <v>0</v>
          </cell>
          <cell r="H5757">
            <v>62</v>
          </cell>
        </row>
        <row r="5758">
          <cell r="F5758">
            <v>11.81</v>
          </cell>
          <cell r="G5758">
            <v>0</v>
          </cell>
          <cell r="H5758">
            <v>62</v>
          </cell>
        </row>
        <row r="5759">
          <cell r="F5759">
            <v>12.79</v>
          </cell>
          <cell r="G5759">
            <v>0</v>
          </cell>
          <cell r="H5759">
            <v>62</v>
          </cell>
        </row>
        <row r="5760">
          <cell r="F5760">
            <v>50.7</v>
          </cell>
          <cell r="G5760">
            <v>0</v>
          </cell>
          <cell r="H5760">
            <v>62</v>
          </cell>
        </row>
        <row r="5761">
          <cell r="F5761">
            <v>276.12</v>
          </cell>
          <cell r="G5761">
            <v>0</v>
          </cell>
          <cell r="H5761">
            <v>62</v>
          </cell>
        </row>
        <row r="5762">
          <cell r="F5762">
            <v>5.9399999999999995</v>
          </cell>
          <cell r="G5762">
            <v>0</v>
          </cell>
          <cell r="H5762">
            <v>62</v>
          </cell>
        </row>
        <row r="5763">
          <cell r="F5763">
            <v>136.68</v>
          </cell>
          <cell r="G5763">
            <v>0</v>
          </cell>
          <cell r="H5763">
            <v>62</v>
          </cell>
        </row>
        <row r="5764">
          <cell r="F5764">
            <v>53.010000000000005</v>
          </cell>
          <cell r="G5764">
            <v>0</v>
          </cell>
          <cell r="H5764">
            <v>62</v>
          </cell>
        </row>
        <row r="5765">
          <cell r="F5765">
            <v>1.92</v>
          </cell>
          <cell r="G5765">
            <v>0</v>
          </cell>
          <cell r="H5765">
            <v>62</v>
          </cell>
        </row>
        <row r="5766">
          <cell r="F5766">
            <v>8.6999999999999993</v>
          </cell>
          <cell r="G5766">
            <v>0</v>
          </cell>
          <cell r="H5766">
            <v>62</v>
          </cell>
        </row>
        <row r="5767">
          <cell r="F5767">
            <v>199.02</v>
          </cell>
          <cell r="G5767">
            <v>0</v>
          </cell>
          <cell r="H5767">
            <v>62</v>
          </cell>
        </row>
        <row r="5768">
          <cell r="F5768">
            <v>14.100000000000001</v>
          </cell>
          <cell r="G5768">
            <v>0</v>
          </cell>
          <cell r="H5768">
            <v>62</v>
          </cell>
        </row>
        <row r="5769">
          <cell r="F5769">
            <v>10.959999999999999</v>
          </cell>
          <cell r="G5769">
            <v>0</v>
          </cell>
          <cell r="H5769">
            <v>62</v>
          </cell>
        </row>
        <row r="5770">
          <cell r="F5770">
            <v>10.67</v>
          </cell>
          <cell r="G5770">
            <v>0</v>
          </cell>
          <cell r="H5770">
            <v>62</v>
          </cell>
        </row>
        <row r="5771">
          <cell r="F5771">
            <v>173.49</v>
          </cell>
          <cell r="G5771">
            <v>0</v>
          </cell>
          <cell r="H5771">
            <v>62</v>
          </cell>
        </row>
        <row r="5772">
          <cell r="F5772">
            <v>107.25</v>
          </cell>
          <cell r="G5772">
            <v>0</v>
          </cell>
          <cell r="H5772">
            <v>62</v>
          </cell>
        </row>
        <row r="5773">
          <cell r="F5773">
            <v>321.51</v>
          </cell>
          <cell r="G5773">
            <v>0</v>
          </cell>
          <cell r="H5773">
            <v>62</v>
          </cell>
        </row>
        <row r="5774">
          <cell r="F5774">
            <v>272.85000000000002</v>
          </cell>
          <cell r="G5774">
            <v>0</v>
          </cell>
          <cell r="H5774">
            <v>62</v>
          </cell>
        </row>
        <row r="5775">
          <cell r="F5775">
            <v>263.88</v>
          </cell>
          <cell r="G5775">
            <v>0</v>
          </cell>
          <cell r="H5775">
            <v>62</v>
          </cell>
        </row>
        <row r="5776">
          <cell r="F5776">
            <v>129.97</v>
          </cell>
          <cell r="G5776">
            <v>0</v>
          </cell>
          <cell r="H5776">
            <v>62</v>
          </cell>
        </row>
        <row r="5777">
          <cell r="F5777">
            <v>55.4</v>
          </cell>
          <cell r="G5777">
            <v>0</v>
          </cell>
          <cell r="H5777">
            <v>62</v>
          </cell>
        </row>
        <row r="5778">
          <cell r="F5778">
            <v>66.91</v>
          </cell>
          <cell r="G5778">
            <v>0</v>
          </cell>
          <cell r="H5778">
            <v>62</v>
          </cell>
        </row>
        <row r="5779">
          <cell r="F5779">
            <v>81.739999999999995</v>
          </cell>
          <cell r="G5779">
            <v>0</v>
          </cell>
          <cell r="H5779">
            <v>62</v>
          </cell>
        </row>
        <row r="5780">
          <cell r="F5780">
            <v>105.78</v>
          </cell>
          <cell r="G5780">
            <v>0</v>
          </cell>
          <cell r="H5780">
            <v>62</v>
          </cell>
        </row>
        <row r="5781">
          <cell r="F5781">
            <v>35.409999999999997</v>
          </cell>
          <cell r="G5781">
            <v>0</v>
          </cell>
          <cell r="H5781">
            <v>62</v>
          </cell>
        </row>
        <row r="5782">
          <cell r="F5782">
            <v>98.66</v>
          </cell>
          <cell r="G5782">
            <v>0</v>
          </cell>
          <cell r="H5782">
            <v>62</v>
          </cell>
        </row>
        <row r="5783">
          <cell r="F5783">
            <v>6.67</v>
          </cell>
          <cell r="G5783">
            <v>0</v>
          </cell>
          <cell r="H5783">
            <v>62</v>
          </cell>
        </row>
        <row r="5784">
          <cell r="F5784">
            <v>97.44</v>
          </cell>
          <cell r="G5784">
            <v>0</v>
          </cell>
          <cell r="H5784">
            <v>62</v>
          </cell>
        </row>
        <row r="5785">
          <cell r="F5785">
            <v>29.310000000000002</v>
          </cell>
          <cell r="G5785">
            <v>0</v>
          </cell>
          <cell r="H5785">
            <v>62</v>
          </cell>
        </row>
        <row r="5786">
          <cell r="F5786">
            <v>40.099999999999994</v>
          </cell>
          <cell r="G5786">
            <v>0</v>
          </cell>
          <cell r="H5786">
            <v>62</v>
          </cell>
        </row>
        <row r="5787">
          <cell r="F5787">
            <v>36.010000000000005</v>
          </cell>
          <cell r="G5787">
            <v>0</v>
          </cell>
          <cell r="H5787">
            <v>62</v>
          </cell>
        </row>
        <row r="5788">
          <cell r="F5788">
            <v>19.32</v>
          </cell>
          <cell r="G5788">
            <v>0</v>
          </cell>
          <cell r="H5788">
            <v>62</v>
          </cell>
        </row>
        <row r="5789">
          <cell r="F5789">
            <v>29.939999999999998</v>
          </cell>
          <cell r="G5789">
            <v>0</v>
          </cell>
          <cell r="H5789">
            <v>62</v>
          </cell>
        </row>
        <row r="5790">
          <cell r="F5790">
            <v>1.07</v>
          </cell>
          <cell r="G5790">
            <v>0</v>
          </cell>
          <cell r="H5790">
            <v>62</v>
          </cell>
        </row>
        <row r="5791">
          <cell r="F5791">
            <v>98.010000000000019</v>
          </cell>
          <cell r="G5791">
            <v>0</v>
          </cell>
          <cell r="H5791">
            <v>62</v>
          </cell>
        </row>
        <row r="5792">
          <cell r="F5792">
            <v>91.579999999999984</v>
          </cell>
          <cell r="G5792">
            <v>0</v>
          </cell>
          <cell r="H5792">
            <v>62</v>
          </cell>
        </row>
        <row r="5793">
          <cell r="F5793">
            <v>93.239999999999981</v>
          </cell>
          <cell r="G5793">
            <v>0</v>
          </cell>
          <cell r="H5793">
            <v>62</v>
          </cell>
        </row>
        <row r="5794">
          <cell r="F5794">
            <v>80.02</v>
          </cell>
          <cell r="G5794">
            <v>0</v>
          </cell>
          <cell r="H5794">
            <v>62</v>
          </cell>
        </row>
        <row r="5795">
          <cell r="F5795">
            <v>129.18</v>
          </cell>
          <cell r="G5795">
            <v>0</v>
          </cell>
          <cell r="H5795">
            <v>62</v>
          </cell>
        </row>
        <row r="5796">
          <cell r="F5796">
            <v>33.019999999999996</v>
          </cell>
          <cell r="G5796">
            <v>0</v>
          </cell>
          <cell r="H5796">
            <v>62</v>
          </cell>
        </row>
        <row r="5797">
          <cell r="F5797">
            <v>23.65</v>
          </cell>
          <cell r="G5797">
            <v>0</v>
          </cell>
          <cell r="H5797">
            <v>62</v>
          </cell>
        </row>
        <row r="5798">
          <cell r="F5798">
            <v>8.34</v>
          </cell>
          <cell r="G5798">
            <v>0</v>
          </cell>
          <cell r="H5798">
            <v>62</v>
          </cell>
        </row>
        <row r="5799">
          <cell r="F5799">
            <v>91.110000000000014</v>
          </cell>
          <cell r="G5799">
            <v>0</v>
          </cell>
          <cell r="H5799">
            <v>62</v>
          </cell>
        </row>
        <row r="5800">
          <cell r="F5800">
            <v>45.709999999999994</v>
          </cell>
          <cell r="G5800">
            <v>0</v>
          </cell>
          <cell r="H5800">
            <v>62</v>
          </cell>
        </row>
        <row r="5801">
          <cell r="F5801">
            <v>258.37</v>
          </cell>
          <cell r="G5801">
            <v>0</v>
          </cell>
          <cell r="H5801">
            <v>62</v>
          </cell>
        </row>
        <row r="5802">
          <cell r="F5802">
            <v>30.39</v>
          </cell>
          <cell r="G5802">
            <v>0</v>
          </cell>
          <cell r="H5802">
            <v>62</v>
          </cell>
        </row>
        <row r="5803">
          <cell r="F5803">
            <v>71.290000000000006</v>
          </cell>
          <cell r="G5803">
            <v>0</v>
          </cell>
          <cell r="H5803">
            <v>62</v>
          </cell>
        </row>
        <row r="5804">
          <cell r="F5804">
            <v>327.65999999999997</v>
          </cell>
          <cell r="G5804">
            <v>0</v>
          </cell>
          <cell r="H5804">
            <v>62</v>
          </cell>
        </row>
        <row r="5805">
          <cell r="F5805">
            <v>79.66</v>
          </cell>
          <cell r="G5805">
            <v>0</v>
          </cell>
          <cell r="H5805">
            <v>62</v>
          </cell>
        </row>
        <row r="5806">
          <cell r="F5806">
            <v>315.24</v>
          </cell>
          <cell r="G5806">
            <v>0</v>
          </cell>
          <cell r="H5806">
            <v>62</v>
          </cell>
        </row>
        <row r="5807">
          <cell r="F5807">
            <v>232.72999999999996</v>
          </cell>
          <cell r="G5807">
            <v>0</v>
          </cell>
          <cell r="H5807">
            <v>62</v>
          </cell>
        </row>
        <row r="5808">
          <cell r="F5808">
            <v>331.47</v>
          </cell>
          <cell r="G5808">
            <v>0</v>
          </cell>
          <cell r="H5808">
            <v>62</v>
          </cell>
        </row>
        <row r="5809">
          <cell r="F5809">
            <v>231.48</v>
          </cell>
          <cell r="G5809">
            <v>0</v>
          </cell>
          <cell r="H5809">
            <v>62</v>
          </cell>
        </row>
        <row r="5810">
          <cell r="F5810">
            <v>446</v>
          </cell>
          <cell r="G5810">
            <v>0</v>
          </cell>
          <cell r="H5810">
            <v>62</v>
          </cell>
        </row>
        <row r="5811">
          <cell r="F5811">
            <v>4365.74</v>
          </cell>
          <cell r="G5811">
            <v>0</v>
          </cell>
          <cell r="H5811">
            <v>62</v>
          </cell>
        </row>
        <row r="5812">
          <cell r="F5812">
            <v>5.58</v>
          </cell>
          <cell r="G5812">
            <v>0</v>
          </cell>
          <cell r="H5812">
            <v>62</v>
          </cell>
        </row>
        <row r="5813">
          <cell r="F5813">
            <v>196.14</v>
          </cell>
          <cell r="G5813">
            <v>0</v>
          </cell>
          <cell r="H5813">
            <v>62</v>
          </cell>
        </row>
        <row r="5814">
          <cell r="F5814">
            <v>578.12</v>
          </cell>
          <cell r="G5814">
            <v>0</v>
          </cell>
          <cell r="H5814">
            <v>62</v>
          </cell>
        </row>
        <row r="5815">
          <cell r="F5815">
            <v>400.72</v>
          </cell>
          <cell r="G5815">
            <v>0</v>
          </cell>
          <cell r="H5815">
            <v>62</v>
          </cell>
        </row>
        <row r="5816">
          <cell r="F5816">
            <v>95.28</v>
          </cell>
          <cell r="G5816">
            <v>0</v>
          </cell>
          <cell r="H5816">
            <v>62</v>
          </cell>
        </row>
        <row r="5817">
          <cell r="F5817">
            <v>227.52</v>
          </cell>
          <cell r="G5817">
            <v>0</v>
          </cell>
          <cell r="H5817">
            <v>62</v>
          </cell>
        </row>
        <row r="5818">
          <cell r="F5818">
            <v>704.47</v>
          </cell>
          <cell r="G5818">
            <v>0</v>
          </cell>
          <cell r="H5818">
            <v>62</v>
          </cell>
        </row>
        <row r="5819">
          <cell r="F5819">
            <v>287.31</v>
          </cell>
          <cell r="G5819">
            <v>0</v>
          </cell>
          <cell r="H5819">
            <v>62</v>
          </cell>
        </row>
        <row r="5820">
          <cell r="F5820">
            <v>1759.17</v>
          </cell>
          <cell r="G5820">
            <v>0</v>
          </cell>
          <cell r="H5820">
            <v>62</v>
          </cell>
        </row>
        <row r="5821">
          <cell r="F5821">
            <v>173.77</v>
          </cell>
          <cell r="G5821">
            <v>0</v>
          </cell>
          <cell r="H5821">
            <v>62</v>
          </cell>
        </row>
        <row r="5822">
          <cell r="F5822">
            <v>466.39</v>
          </cell>
          <cell r="G5822">
            <v>0</v>
          </cell>
          <cell r="H5822">
            <v>62</v>
          </cell>
        </row>
        <row r="5823">
          <cell r="F5823">
            <v>589.97</v>
          </cell>
          <cell r="G5823">
            <v>0</v>
          </cell>
          <cell r="H5823">
            <v>62</v>
          </cell>
        </row>
        <row r="5824">
          <cell r="F5824">
            <v>103.33</v>
          </cell>
          <cell r="G5824">
            <v>0</v>
          </cell>
          <cell r="H5824">
            <v>62</v>
          </cell>
        </row>
        <row r="5825">
          <cell r="F5825">
            <v>112.31</v>
          </cell>
          <cell r="G5825">
            <v>0</v>
          </cell>
          <cell r="H5825">
            <v>62</v>
          </cell>
        </row>
        <row r="5826">
          <cell r="F5826">
            <v>309.83999999999997</v>
          </cell>
          <cell r="G5826">
            <v>0</v>
          </cell>
          <cell r="H5826">
            <v>62</v>
          </cell>
        </row>
        <row r="5827">
          <cell r="F5827">
            <v>25.85</v>
          </cell>
          <cell r="G5827">
            <v>0</v>
          </cell>
          <cell r="H5827">
            <v>62</v>
          </cell>
        </row>
        <row r="5828">
          <cell r="F5828">
            <v>6.52</v>
          </cell>
          <cell r="G5828">
            <v>0</v>
          </cell>
          <cell r="H5828">
            <v>62</v>
          </cell>
        </row>
        <row r="5829">
          <cell r="F5829">
            <v>34.82</v>
          </cell>
          <cell r="G5829">
            <v>0</v>
          </cell>
          <cell r="H5829">
            <v>62</v>
          </cell>
        </row>
        <row r="5830">
          <cell r="F5830">
            <v>215.57</v>
          </cell>
          <cell r="G5830">
            <v>0</v>
          </cell>
          <cell r="H5830">
            <v>62</v>
          </cell>
        </row>
        <row r="5831">
          <cell r="F5831">
            <v>465.3</v>
          </cell>
          <cell r="G5831">
            <v>0</v>
          </cell>
          <cell r="H5831">
            <v>62</v>
          </cell>
        </row>
        <row r="5832">
          <cell r="F5832">
            <v>1130.8599999999999</v>
          </cell>
          <cell r="G5832">
            <v>0</v>
          </cell>
          <cell r="H5832">
            <v>62</v>
          </cell>
        </row>
        <row r="5833">
          <cell r="F5833">
            <v>277.61</v>
          </cell>
          <cell r="G5833">
            <v>0</v>
          </cell>
          <cell r="H5833">
            <v>62</v>
          </cell>
        </row>
        <row r="5834">
          <cell r="F5834">
            <v>136.34</v>
          </cell>
          <cell r="G5834">
            <v>0</v>
          </cell>
          <cell r="H5834">
            <v>62</v>
          </cell>
        </row>
        <row r="5835">
          <cell r="F5835">
            <v>226.57</v>
          </cell>
          <cell r="G5835">
            <v>0</v>
          </cell>
          <cell r="H5835">
            <v>62</v>
          </cell>
        </row>
        <row r="5836">
          <cell r="F5836">
            <v>67.86</v>
          </cell>
          <cell r="G5836">
            <v>0</v>
          </cell>
          <cell r="H5836">
            <v>62</v>
          </cell>
        </row>
        <row r="5837">
          <cell r="F5837">
            <v>353.56</v>
          </cell>
          <cell r="G5837">
            <v>0</v>
          </cell>
          <cell r="H5837">
            <v>62</v>
          </cell>
        </row>
        <row r="5838">
          <cell r="F5838">
            <v>377.53</v>
          </cell>
          <cell r="G5838">
            <v>0</v>
          </cell>
          <cell r="H5838">
            <v>62</v>
          </cell>
        </row>
        <row r="5839">
          <cell r="F5839">
            <v>25.81</v>
          </cell>
          <cell r="G5839">
            <v>0</v>
          </cell>
          <cell r="H5839">
            <v>62</v>
          </cell>
        </row>
        <row r="5840">
          <cell r="F5840">
            <v>99.56</v>
          </cell>
          <cell r="G5840">
            <v>0</v>
          </cell>
          <cell r="H5840">
            <v>62</v>
          </cell>
        </row>
        <row r="5841">
          <cell r="F5841">
            <v>22.98</v>
          </cell>
          <cell r="G5841">
            <v>0</v>
          </cell>
          <cell r="H5841">
            <v>62</v>
          </cell>
        </row>
        <row r="5842">
          <cell r="F5842">
            <v>65.33</v>
          </cell>
          <cell r="G5842">
            <v>0</v>
          </cell>
          <cell r="H5842">
            <v>62</v>
          </cell>
        </row>
        <row r="5843">
          <cell r="F5843">
            <v>188.37</v>
          </cell>
          <cell r="G5843">
            <v>0</v>
          </cell>
          <cell r="H5843">
            <v>62</v>
          </cell>
        </row>
        <row r="5844">
          <cell r="F5844">
            <v>120.38</v>
          </cell>
          <cell r="G5844">
            <v>0</v>
          </cell>
          <cell r="H5844">
            <v>62</v>
          </cell>
        </row>
        <row r="5845">
          <cell r="F5845">
            <v>80.63</v>
          </cell>
          <cell r="G5845">
            <v>0</v>
          </cell>
          <cell r="H5845">
            <v>62</v>
          </cell>
        </row>
        <row r="5846">
          <cell r="F5846">
            <v>676.75</v>
          </cell>
          <cell r="G5846">
            <v>0</v>
          </cell>
          <cell r="H5846">
            <v>62</v>
          </cell>
        </row>
        <row r="5847">
          <cell r="F5847">
            <v>6.39</v>
          </cell>
          <cell r="G5847">
            <v>0</v>
          </cell>
          <cell r="H5847">
            <v>62</v>
          </cell>
        </row>
        <row r="5848">
          <cell r="F5848">
            <v>29.57</v>
          </cell>
          <cell r="G5848">
            <v>0</v>
          </cell>
          <cell r="H5848">
            <v>62</v>
          </cell>
        </row>
        <row r="5849">
          <cell r="F5849">
            <v>0</v>
          </cell>
          <cell r="G5849">
            <v>0</v>
          </cell>
          <cell r="H5849">
            <v>62</v>
          </cell>
        </row>
        <row r="5850">
          <cell r="F5850">
            <v>101.77</v>
          </cell>
          <cell r="G5850">
            <v>0</v>
          </cell>
          <cell r="H5850">
            <v>62</v>
          </cell>
        </row>
        <row r="5851">
          <cell r="F5851">
            <v>79.209999999999994</v>
          </cell>
          <cell r="G5851">
            <v>0</v>
          </cell>
          <cell r="H5851">
            <v>62</v>
          </cell>
        </row>
        <row r="5852">
          <cell r="F5852">
            <v>40.24</v>
          </cell>
          <cell r="G5852">
            <v>0</v>
          </cell>
          <cell r="H5852">
            <v>62</v>
          </cell>
        </row>
        <row r="5853">
          <cell r="F5853">
            <v>383.89</v>
          </cell>
          <cell r="G5853">
            <v>0</v>
          </cell>
          <cell r="H5853">
            <v>62</v>
          </cell>
        </row>
        <row r="5854">
          <cell r="F5854">
            <v>261.89999999999998</v>
          </cell>
          <cell r="G5854">
            <v>0</v>
          </cell>
          <cell r="H5854">
            <v>62</v>
          </cell>
        </row>
        <row r="5855">
          <cell r="F5855">
            <v>366.09</v>
          </cell>
          <cell r="G5855">
            <v>0</v>
          </cell>
          <cell r="H5855">
            <v>62</v>
          </cell>
        </row>
        <row r="5856">
          <cell r="F5856">
            <v>277.95</v>
          </cell>
          <cell r="G5856">
            <v>0</v>
          </cell>
          <cell r="H5856">
            <v>62</v>
          </cell>
        </row>
        <row r="5857">
          <cell r="F5857">
            <v>80.44</v>
          </cell>
          <cell r="G5857">
            <v>0</v>
          </cell>
          <cell r="H5857">
            <v>62</v>
          </cell>
        </row>
        <row r="5858">
          <cell r="F5858">
            <v>705.94</v>
          </cell>
          <cell r="G5858">
            <v>0</v>
          </cell>
          <cell r="H5858">
            <v>62</v>
          </cell>
        </row>
        <row r="5859">
          <cell r="F5859">
            <v>282.67</v>
          </cell>
          <cell r="G5859">
            <v>0</v>
          </cell>
          <cell r="H5859">
            <v>62</v>
          </cell>
        </row>
        <row r="5860">
          <cell r="F5860">
            <v>172.41</v>
          </cell>
          <cell r="G5860">
            <v>0</v>
          </cell>
          <cell r="H5860">
            <v>62</v>
          </cell>
        </row>
        <row r="5861">
          <cell r="F5861">
            <v>195.75</v>
          </cell>
          <cell r="G5861">
            <v>0</v>
          </cell>
          <cell r="H5861">
            <v>62</v>
          </cell>
        </row>
        <row r="5862">
          <cell r="F5862">
            <v>328.41</v>
          </cell>
          <cell r="G5862">
            <v>0</v>
          </cell>
          <cell r="H5862">
            <v>62</v>
          </cell>
        </row>
        <row r="5863">
          <cell r="F5863">
            <v>26.53</v>
          </cell>
          <cell r="G5863">
            <v>0</v>
          </cell>
          <cell r="H5863">
            <v>62</v>
          </cell>
        </row>
        <row r="5864">
          <cell r="F5864">
            <v>1018.8399999999999</v>
          </cell>
          <cell r="G5864">
            <v>0</v>
          </cell>
          <cell r="H5864">
            <v>62</v>
          </cell>
        </row>
        <row r="5865">
          <cell r="F5865">
            <v>183.98</v>
          </cell>
          <cell r="G5865">
            <v>0</v>
          </cell>
          <cell r="H5865">
            <v>62</v>
          </cell>
        </row>
        <row r="5866">
          <cell r="F5866">
            <v>80.45</v>
          </cell>
          <cell r="G5866">
            <v>0</v>
          </cell>
          <cell r="H5866">
            <v>62</v>
          </cell>
        </row>
        <row r="5867">
          <cell r="F5867">
            <v>8.5399999999999991</v>
          </cell>
          <cell r="G5867">
            <v>0</v>
          </cell>
          <cell r="H5867">
            <v>62</v>
          </cell>
        </row>
        <row r="5868">
          <cell r="F5868">
            <v>5.9600000000000009</v>
          </cell>
          <cell r="G5868">
            <v>0</v>
          </cell>
          <cell r="H5868">
            <v>62</v>
          </cell>
        </row>
        <row r="5869">
          <cell r="F5869">
            <v>335.56</v>
          </cell>
          <cell r="G5869">
            <v>0</v>
          </cell>
          <cell r="H5869">
            <v>62</v>
          </cell>
        </row>
        <row r="5870">
          <cell r="F5870">
            <v>87.6</v>
          </cell>
          <cell r="G5870">
            <v>0</v>
          </cell>
          <cell r="H5870">
            <v>62</v>
          </cell>
        </row>
        <row r="5871">
          <cell r="F5871">
            <v>3.64</v>
          </cell>
          <cell r="G5871">
            <v>0</v>
          </cell>
          <cell r="H5871">
            <v>62</v>
          </cell>
        </row>
        <row r="5872">
          <cell r="F5872">
            <v>36.17</v>
          </cell>
          <cell r="G5872">
            <v>0</v>
          </cell>
          <cell r="H5872">
            <v>62</v>
          </cell>
        </row>
        <row r="5873">
          <cell r="F5873">
            <v>491.26</v>
          </cell>
          <cell r="G5873">
            <v>0</v>
          </cell>
          <cell r="H5873">
            <v>62</v>
          </cell>
        </row>
        <row r="5874">
          <cell r="F5874">
            <v>75.45</v>
          </cell>
          <cell r="G5874">
            <v>0</v>
          </cell>
          <cell r="H5874">
            <v>62</v>
          </cell>
        </row>
        <row r="5875">
          <cell r="F5875">
            <v>113.77</v>
          </cell>
          <cell r="G5875">
            <v>0</v>
          </cell>
          <cell r="H5875">
            <v>62</v>
          </cell>
        </row>
        <row r="5876">
          <cell r="F5876">
            <v>317.02999999999997</v>
          </cell>
          <cell r="G5876">
            <v>0</v>
          </cell>
          <cell r="H5876">
            <v>62</v>
          </cell>
        </row>
        <row r="5877">
          <cell r="F5877">
            <v>52.78</v>
          </cell>
          <cell r="G5877">
            <v>0</v>
          </cell>
          <cell r="H5877">
            <v>62</v>
          </cell>
        </row>
        <row r="5878">
          <cell r="F5878">
            <v>83.41</v>
          </cell>
          <cell r="G5878">
            <v>0</v>
          </cell>
          <cell r="H5878">
            <v>62</v>
          </cell>
        </row>
        <row r="5879">
          <cell r="F5879">
            <v>28.38</v>
          </cell>
          <cell r="G5879">
            <v>0</v>
          </cell>
          <cell r="H5879">
            <v>62</v>
          </cell>
        </row>
        <row r="5880">
          <cell r="F5880">
            <v>116.99</v>
          </cell>
          <cell r="G5880">
            <v>0</v>
          </cell>
          <cell r="H5880">
            <v>62</v>
          </cell>
        </row>
        <row r="5881">
          <cell r="F5881">
            <v>40.21</v>
          </cell>
          <cell r="G5881">
            <v>0</v>
          </cell>
          <cell r="H5881">
            <v>62</v>
          </cell>
        </row>
        <row r="5882">
          <cell r="F5882">
            <v>122.45</v>
          </cell>
          <cell r="G5882">
            <v>0</v>
          </cell>
          <cell r="H5882">
            <v>62</v>
          </cell>
        </row>
        <row r="5883">
          <cell r="F5883">
            <v>938.96</v>
          </cell>
          <cell r="G5883">
            <v>0</v>
          </cell>
          <cell r="H5883">
            <v>62</v>
          </cell>
        </row>
        <row r="5884">
          <cell r="F5884">
            <v>364.71</v>
          </cell>
          <cell r="G5884">
            <v>0</v>
          </cell>
          <cell r="H5884">
            <v>62</v>
          </cell>
        </row>
        <row r="5885">
          <cell r="F5885">
            <v>99.67</v>
          </cell>
          <cell r="G5885">
            <v>0</v>
          </cell>
          <cell r="H5885">
            <v>62</v>
          </cell>
        </row>
        <row r="5886">
          <cell r="F5886">
            <v>331.34</v>
          </cell>
          <cell r="G5886">
            <v>0</v>
          </cell>
          <cell r="H5886">
            <v>62</v>
          </cell>
        </row>
        <row r="5887">
          <cell r="F5887">
            <v>253.7</v>
          </cell>
          <cell r="G5887">
            <v>0</v>
          </cell>
          <cell r="H5887">
            <v>62</v>
          </cell>
        </row>
        <row r="5888">
          <cell r="F5888">
            <v>878.62</v>
          </cell>
          <cell r="G5888">
            <v>0</v>
          </cell>
          <cell r="H5888">
            <v>62</v>
          </cell>
        </row>
        <row r="5889">
          <cell r="F5889">
            <v>34.590000000000003</v>
          </cell>
          <cell r="G5889">
            <v>0</v>
          </cell>
          <cell r="H5889">
            <v>62</v>
          </cell>
        </row>
        <row r="5890">
          <cell r="F5890">
            <v>36.28</v>
          </cell>
          <cell r="G5890">
            <v>0</v>
          </cell>
          <cell r="H5890">
            <v>62</v>
          </cell>
        </row>
        <row r="5891">
          <cell r="F5891">
            <v>21.07</v>
          </cell>
          <cell r="G5891">
            <v>0</v>
          </cell>
          <cell r="H5891">
            <v>62</v>
          </cell>
        </row>
        <row r="5892">
          <cell r="F5892">
            <v>27.14</v>
          </cell>
          <cell r="G5892">
            <v>0</v>
          </cell>
          <cell r="H5892">
            <v>62</v>
          </cell>
        </row>
        <row r="5893">
          <cell r="F5893">
            <v>80.45</v>
          </cell>
          <cell r="G5893">
            <v>0</v>
          </cell>
          <cell r="H5893">
            <v>62</v>
          </cell>
        </row>
        <row r="5894">
          <cell r="F5894">
            <v>333.3</v>
          </cell>
          <cell r="G5894">
            <v>0</v>
          </cell>
          <cell r="H5894">
            <v>62</v>
          </cell>
        </row>
        <row r="5895">
          <cell r="F5895">
            <v>917.28</v>
          </cell>
          <cell r="G5895">
            <v>0</v>
          </cell>
          <cell r="H5895">
            <v>62</v>
          </cell>
        </row>
        <row r="5896">
          <cell r="F5896">
            <v>359.68</v>
          </cell>
          <cell r="G5896">
            <v>0</v>
          </cell>
          <cell r="H5896">
            <v>62</v>
          </cell>
        </row>
        <row r="5897">
          <cell r="F5897">
            <v>165.29</v>
          </cell>
          <cell r="G5897">
            <v>0</v>
          </cell>
          <cell r="H5897">
            <v>62</v>
          </cell>
        </row>
        <row r="5898">
          <cell r="F5898">
            <v>74.55</v>
          </cell>
          <cell r="G5898">
            <v>0</v>
          </cell>
          <cell r="H5898">
            <v>62</v>
          </cell>
        </row>
        <row r="5899">
          <cell r="F5899">
            <v>242.66</v>
          </cell>
          <cell r="G5899">
            <v>0</v>
          </cell>
          <cell r="H5899">
            <v>62</v>
          </cell>
        </row>
        <row r="5900">
          <cell r="F5900">
            <v>180.31</v>
          </cell>
          <cell r="G5900">
            <v>0</v>
          </cell>
          <cell r="H5900">
            <v>62</v>
          </cell>
        </row>
        <row r="5901">
          <cell r="F5901">
            <v>43.51</v>
          </cell>
          <cell r="G5901">
            <v>0</v>
          </cell>
          <cell r="H5901">
            <v>62</v>
          </cell>
        </row>
        <row r="5902">
          <cell r="F5902">
            <v>57.21</v>
          </cell>
          <cell r="G5902">
            <v>0</v>
          </cell>
          <cell r="H5902">
            <v>62</v>
          </cell>
        </row>
        <row r="5903">
          <cell r="F5903">
            <v>145.81</v>
          </cell>
          <cell r="G5903">
            <v>0</v>
          </cell>
          <cell r="H5903">
            <v>62</v>
          </cell>
        </row>
        <row r="5904">
          <cell r="F5904">
            <v>75.7</v>
          </cell>
          <cell r="G5904">
            <v>0</v>
          </cell>
          <cell r="H5904">
            <v>62</v>
          </cell>
        </row>
        <row r="5905">
          <cell r="F5905">
            <v>441.99</v>
          </cell>
          <cell r="G5905">
            <v>0</v>
          </cell>
          <cell r="H5905">
            <v>62</v>
          </cell>
        </row>
        <row r="5906">
          <cell r="F5906">
            <v>272.14</v>
          </cell>
          <cell r="G5906">
            <v>0</v>
          </cell>
          <cell r="H5906">
            <v>62</v>
          </cell>
        </row>
        <row r="5907">
          <cell r="F5907">
            <v>311.39</v>
          </cell>
          <cell r="G5907">
            <v>0</v>
          </cell>
          <cell r="H5907">
            <v>62</v>
          </cell>
        </row>
        <row r="5908">
          <cell r="F5908">
            <v>346.24</v>
          </cell>
          <cell r="G5908">
            <v>0</v>
          </cell>
          <cell r="H5908">
            <v>62</v>
          </cell>
        </row>
        <row r="5909">
          <cell r="F5909">
            <v>728.04</v>
          </cell>
          <cell r="G5909">
            <v>0</v>
          </cell>
          <cell r="H5909">
            <v>62</v>
          </cell>
        </row>
        <row r="5910">
          <cell r="F5910">
            <v>181.89</v>
          </cell>
          <cell r="G5910">
            <v>0</v>
          </cell>
          <cell r="H5910">
            <v>62</v>
          </cell>
        </row>
        <row r="5911">
          <cell r="F5911">
            <v>66.39</v>
          </cell>
          <cell r="G5911">
            <v>0</v>
          </cell>
          <cell r="H5911">
            <v>62</v>
          </cell>
        </row>
        <row r="5912">
          <cell r="F5912">
            <v>330.35</v>
          </cell>
          <cell r="G5912">
            <v>0</v>
          </cell>
          <cell r="H5912">
            <v>62</v>
          </cell>
        </row>
        <row r="5913">
          <cell r="F5913">
            <v>43.93</v>
          </cell>
          <cell r="G5913">
            <v>0</v>
          </cell>
          <cell r="H5913">
            <v>62</v>
          </cell>
        </row>
        <row r="5914">
          <cell r="F5914">
            <v>142.05000000000001</v>
          </cell>
          <cell r="G5914">
            <v>0</v>
          </cell>
          <cell r="H5914">
            <v>62</v>
          </cell>
        </row>
        <row r="5915">
          <cell r="F5915">
            <v>265.04000000000002</v>
          </cell>
          <cell r="G5915">
            <v>0</v>
          </cell>
          <cell r="H5915">
            <v>62</v>
          </cell>
        </row>
        <row r="5916">
          <cell r="F5916">
            <v>155.5</v>
          </cell>
          <cell r="G5916">
            <v>0</v>
          </cell>
          <cell r="H5916">
            <v>62</v>
          </cell>
        </row>
        <row r="5917">
          <cell r="F5917">
            <v>48.31</v>
          </cell>
          <cell r="G5917">
            <v>0</v>
          </cell>
          <cell r="H5917">
            <v>62</v>
          </cell>
        </row>
        <row r="5918">
          <cell r="F5918">
            <v>20.23</v>
          </cell>
          <cell r="G5918">
            <v>0</v>
          </cell>
          <cell r="H5918">
            <v>62</v>
          </cell>
        </row>
        <row r="5919">
          <cell r="F5919">
            <v>15.44</v>
          </cell>
          <cell r="G5919">
            <v>0</v>
          </cell>
          <cell r="H5919">
            <v>62</v>
          </cell>
        </row>
        <row r="5920">
          <cell r="F5920">
            <v>36.39</v>
          </cell>
          <cell r="G5920">
            <v>0</v>
          </cell>
          <cell r="H5920">
            <v>62</v>
          </cell>
        </row>
        <row r="5921">
          <cell r="F5921">
            <v>268.44</v>
          </cell>
          <cell r="G5921">
            <v>0</v>
          </cell>
          <cell r="H5921">
            <v>62</v>
          </cell>
        </row>
        <row r="5922">
          <cell r="F5922">
            <v>1093.24</v>
          </cell>
          <cell r="G5922">
            <v>0</v>
          </cell>
          <cell r="H5922">
            <v>62</v>
          </cell>
        </row>
        <row r="5923">
          <cell r="F5923">
            <v>318.20999999999998</v>
          </cell>
          <cell r="G5923">
            <v>0</v>
          </cell>
          <cell r="H5923">
            <v>62</v>
          </cell>
        </row>
        <row r="5924">
          <cell r="F5924">
            <v>439.26</v>
          </cell>
          <cell r="G5924">
            <v>0</v>
          </cell>
          <cell r="H5924">
            <v>62</v>
          </cell>
        </row>
        <row r="5925">
          <cell r="F5925">
            <v>927.82</v>
          </cell>
          <cell r="G5925">
            <v>0</v>
          </cell>
          <cell r="H5925">
            <v>62</v>
          </cell>
        </row>
        <row r="5926">
          <cell r="F5926">
            <v>281.35000000000002</v>
          </cell>
          <cell r="G5926">
            <v>0</v>
          </cell>
          <cell r="H5926">
            <v>62</v>
          </cell>
        </row>
        <row r="5927">
          <cell r="F5927">
            <v>331.16</v>
          </cell>
          <cell r="G5927">
            <v>0</v>
          </cell>
          <cell r="H5927">
            <v>62</v>
          </cell>
        </row>
        <row r="5928">
          <cell r="F5928">
            <v>54.04</v>
          </cell>
          <cell r="G5928">
            <v>0</v>
          </cell>
          <cell r="H5928">
            <v>62</v>
          </cell>
        </row>
        <row r="5929">
          <cell r="F5929">
            <v>180.12</v>
          </cell>
          <cell r="G5929">
            <v>0</v>
          </cell>
          <cell r="H5929">
            <v>62</v>
          </cell>
        </row>
        <row r="5930">
          <cell r="F5930">
            <v>32.03</v>
          </cell>
          <cell r="G5930">
            <v>0</v>
          </cell>
          <cell r="H5930">
            <v>62</v>
          </cell>
        </row>
        <row r="5931">
          <cell r="F5931">
            <v>270.87</v>
          </cell>
          <cell r="G5931">
            <v>0</v>
          </cell>
          <cell r="H5931">
            <v>62</v>
          </cell>
        </row>
        <row r="5932">
          <cell r="F5932">
            <v>242.45</v>
          </cell>
          <cell r="G5932">
            <v>0</v>
          </cell>
          <cell r="H5932">
            <v>62</v>
          </cell>
        </row>
        <row r="5933">
          <cell r="F5933">
            <v>60.41</v>
          </cell>
          <cell r="G5933">
            <v>0</v>
          </cell>
          <cell r="H5933">
            <v>62</v>
          </cell>
        </row>
        <row r="5934">
          <cell r="F5934">
            <v>461.99</v>
          </cell>
          <cell r="G5934">
            <v>0</v>
          </cell>
          <cell r="H5934">
            <v>62</v>
          </cell>
        </row>
        <row r="5935">
          <cell r="F5935">
            <v>897.3</v>
          </cell>
          <cell r="G5935">
            <v>0</v>
          </cell>
          <cell r="H5935">
            <v>62</v>
          </cell>
        </row>
        <row r="5936">
          <cell r="F5936">
            <v>297.57</v>
          </cell>
          <cell r="G5936">
            <v>0</v>
          </cell>
          <cell r="H5936">
            <v>62</v>
          </cell>
        </row>
        <row r="5937">
          <cell r="F5937">
            <v>443.62</v>
          </cell>
          <cell r="G5937">
            <v>0</v>
          </cell>
          <cell r="H5937">
            <v>62</v>
          </cell>
        </row>
        <row r="5938">
          <cell r="F5938">
            <v>83.26</v>
          </cell>
          <cell r="G5938">
            <v>0</v>
          </cell>
          <cell r="H5938">
            <v>62</v>
          </cell>
        </row>
        <row r="5939">
          <cell r="F5939">
            <v>909.59</v>
          </cell>
          <cell r="G5939">
            <v>0</v>
          </cell>
          <cell r="H5939">
            <v>62</v>
          </cell>
        </row>
        <row r="5940">
          <cell r="F5940">
            <v>65.709999999999994</v>
          </cell>
          <cell r="G5940">
            <v>0</v>
          </cell>
          <cell r="H5940">
            <v>62</v>
          </cell>
        </row>
        <row r="5941">
          <cell r="F5941">
            <v>126.75</v>
          </cell>
          <cell r="G5941">
            <v>0</v>
          </cell>
          <cell r="H5941">
            <v>62</v>
          </cell>
        </row>
        <row r="5942">
          <cell r="F5942">
            <v>520.53</v>
          </cell>
          <cell r="G5942">
            <v>0</v>
          </cell>
          <cell r="H5942">
            <v>62</v>
          </cell>
        </row>
        <row r="5943">
          <cell r="F5943">
            <v>350.78</v>
          </cell>
          <cell r="G5943">
            <v>0</v>
          </cell>
          <cell r="H5943">
            <v>62</v>
          </cell>
        </row>
        <row r="5944">
          <cell r="F5944">
            <v>1072.04</v>
          </cell>
          <cell r="G5944">
            <v>0</v>
          </cell>
          <cell r="H5944">
            <v>62</v>
          </cell>
        </row>
        <row r="5945">
          <cell r="F5945">
            <v>11.76</v>
          </cell>
          <cell r="G5945">
            <v>0</v>
          </cell>
          <cell r="H5945">
            <v>62</v>
          </cell>
        </row>
        <row r="5946">
          <cell r="F5946">
            <v>295.95999999999998</v>
          </cell>
          <cell r="G5946">
            <v>0</v>
          </cell>
          <cell r="H5946">
            <v>62</v>
          </cell>
        </row>
        <row r="5947">
          <cell r="F5947">
            <v>181.33</v>
          </cell>
          <cell r="G5947">
            <v>0</v>
          </cell>
          <cell r="H5947">
            <v>62</v>
          </cell>
        </row>
        <row r="5948">
          <cell r="F5948">
            <v>40.22</v>
          </cell>
          <cell r="G5948">
            <v>0</v>
          </cell>
          <cell r="H5948">
            <v>62</v>
          </cell>
        </row>
        <row r="5949">
          <cell r="F5949">
            <v>22.7</v>
          </cell>
          <cell r="G5949">
            <v>0</v>
          </cell>
          <cell r="H5949">
            <v>62</v>
          </cell>
        </row>
        <row r="5950">
          <cell r="F5950">
            <v>1349.12</v>
          </cell>
          <cell r="G5950">
            <v>0</v>
          </cell>
          <cell r="H5950">
            <v>62</v>
          </cell>
        </row>
        <row r="5951">
          <cell r="F5951">
            <v>95.7</v>
          </cell>
          <cell r="G5951">
            <v>0</v>
          </cell>
          <cell r="H5951">
            <v>62</v>
          </cell>
        </row>
        <row r="5952">
          <cell r="F5952">
            <v>37.24</v>
          </cell>
          <cell r="G5952">
            <v>0</v>
          </cell>
          <cell r="H5952">
            <v>62</v>
          </cell>
        </row>
        <row r="5953">
          <cell r="F5953">
            <v>39.950000000000003</v>
          </cell>
          <cell r="G5953">
            <v>0</v>
          </cell>
          <cell r="H5953">
            <v>62</v>
          </cell>
        </row>
        <row r="5954">
          <cell r="F5954">
            <v>63.02</v>
          </cell>
          <cell r="G5954">
            <v>0</v>
          </cell>
          <cell r="H5954">
            <v>62</v>
          </cell>
        </row>
        <row r="5955">
          <cell r="F5955">
            <v>32.17</v>
          </cell>
          <cell r="G5955">
            <v>0</v>
          </cell>
          <cell r="H5955">
            <v>62</v>
          </cell>
        </row>
        <row r="5956">
          <cell r="F5956">
            <v>162.58000000000001</v>
          </cell>
          <cell r="G5956">
            <v>0</v>
          </cell>
          <cell r="H5956">
            <v>62</v>
          </cell>
        </row>
        <row r="5957">
          <cell r="F5957">
            <v>1148.05</v>
          </cell>
          <cell r="G5957">
            <v>0</v>
          </cell>
          <cell r="H5957">
            <v>62</v>
          </cell>
        </row>
        <row r="5958">
          <cell r="F5958">
            <v>26.95</v>
          </cell>
          <cell r="G5958">
            <v>0</v>
          </cell>
          <cell r="H5958">
            <v>62</v>
          </cell>
        </row>
        <row r="5959">
          <cell r="F5959">
            <v>4285.7</v>
          </cell>
          <cell r="G5959">
            <v>0</v>
          </cell>
          <cell r="H5959">
            <v>62</v>
          </cell>
        </row>
        <row r="5960">
          <cell r="F5960">
            <v>3396.85</v>
          </cell>
          <cell r="G5960">
            <v>0</v>
          </cell>
          <cell r="H5960">
            <v>62</v>
          </cell>
        </row>
        <row r="5961">
          <cell r="F5961">
            <v>2870.23</v>
          </cell>
          <cell r="G5961">
            <v>0</v>
          </cell>
          <cell r="H5961">
            <v>62</v>
          </cell>
        </row>
        <row r="5962">
          <cell r="F5962">
            <v>101.02</v>
          </cell>
          <cell r="G5962">
            <v>0</v>
          </cell>
          <cell r="H5962">
            <v>62</v>
          </cell>
        </row>
        <row r="5963">
          <cell r="F5963">
            <v>385.5</v>
          </cell>
          <cell r="G5963">
            <v>0</v>
          </cell>
          <cell r="H5963">
            <v>62</v>
          </cell>
        </row>
        <row r="5964">
          <cell r="F5964">
            <v>232.86</v>
          </cell>
          <cell r="G5964">
            <v>0</v>
          </cell>
          <cell r="H5964">
            <v>62</v>
          </cell>
        </row>
        <row r="5965">
          <cell r="F5965">
            <v>573.25</v>
          </cell>
          <cell r="G5965">
            <v>0</v>
          </cell>
          <cell r="H5965">
            <v>62</v>
          </cell>
        </row>
        <row r="5966">
          <cell r="F5966">
            <v>825.56</v>
          </cell>
          <cell r="G5966">
            <v>0</v>
          </cell>
          <cell r="H5966">
            <v>62</v>
          </cell>
        </row>
        <row r="5967">
          <cell r="F5967">
            <v>206.99</v>
          </cell>
          <cell r="G5967">
            <v>0</v>
          </cell>
          <cell r="H5967">
            <v>62</v>
          </cell>
        </row>
        <row r="5968">
          <cell r="F5968">
            <v>2958.58</v>
          </cell>
          <cell r="G5968">
            <v>0</v>
          </cell>
          <cell r="H5968">
            <v>62</v>
          </cell>
        </row>
        <row r="5969">
          <cell r="F5969">
            <v>11.41</v>
          </cell>
          <cell r="G5969">
            <v>0</v>
          </cell>
          <cell r="H5969">
            <v>62</v>
          </cell>
        </row>
        <row r="5970">
          <cell r="F5970">
            <v>109.27</v>
          </cell>
          <cell r="G5970">
            <v>0</v>
          </cell>
          <cell r="H5970">
            <v>62</v>
          </cell>
        </row>
        <row r="5971">
          <cell r="F5971">
            <v>92.78</v>
          </cell>
          <cell r="G5971">
            <v>0</v>
          </cell>
          <cell r="H5971">
            <v>62</v>
          </cell>
        </row>
        <row r="5972">
          <cell r="F5972">
            <v>180.08</v>
          </cell>
          <cell r="G5972">
            <v>0</v>
          </cell>
          <cell r="H5972">
            <v>62</v>
          </cell>
        </row>
        <row r="5973">
          <cell r="F5973">
            <v>2923.7</v>
          </cell>
          <cell r="G5973">
            <v>0</v>
          </cell>
          <cell r="H5973">
            <v>62</v>
          </cell>
        </row>
        <row r="5974">
          <cell r="F5974">
            <v>2224.4299999999998</v>
          </cell>
          <cell r="G5974">
            <v>0</v>
          </cell>
          <cell r="H5974">
            <v>62</v>
          </cell>
        </row>
        <row r="5975">
          <cell r="F5975">
            <v>254.14</v>
          </cell>
          <cell r="G5975">
            <v>0</v>
          </cell>
          <cell r="H5975">
            <v>62</v>
          </cell>
        </row>
        <row r="5976">
          <cell r="F5976">
            <v>2295.11</v>
          </cell>
          <cell r="G5976">
            <v>0</v>
          </cell>
          <cell r="H5976">
            <v>62</v>
          </cell>
        </row>
        <row r="5977">
          <cell r="F5977">
            <v>938.44</v>
          </cell>
          <cell r="G5977">
            <v>0</v>
          </cell>
          <cell r="H5977">
            <v>62</v>
          </cell>
        </row>
        <row r="5978">
          <cell r="F5978">
            <v>114.18</v>
          </cell>
          <cell r="G5978">
            <v>0</v>
          </cell>
          <cell r="H5978">
            <v>62</v>
          </cell>
        </row>
        <row r="5979">
          <cell r="F5979">
            <v>354.17</v>
          </cell>
          <cell r="G5979">
            <v>0</v>
          </cell>
          <cell r="H5979">
            <v>62</v>
          </cell>
        </row>
        <row r="5980">
          <cell r="F5980">
            <v>835.44</v>
          </cell>
          <cell r="G5980">
            <v>0</v>
          </cell>
          <cell r="H5980">
            <v>62</v>
          </cell>
        </row>
        <row r="5981">
          <cell r="F5981">
            <v>1153.95</v>
          </cell>
          <cell r="G5981">
            <v>0</v>
          </cell>
          <cell r="H5981">
            <v>62</v>
          </cell>
        </row>
        <row r="5982">
          <cell r="F5982">
            <v>137.15</v>
          </cell>
          <cell r="G5982">
            <v>0</v>
          </cell>
          <cell r="H5982">
            <v>62</v>
          </cell>
        </row>
        <row r="5983">
          <cell r="F5983">
            <v>1470.78</v>
          </cell>
          <cell r="G5983">
            <v>0</v>
          </cell>
          <cell r="H5983">
            <v>62</v>
          </cell>
        </row>
        <row r="5984">
          <cell r="F5984">
            <v>799.7</v>
          </cell>
          <cell r="G5984">
            <v>0</v>
          </cell>
          <cell r="H5984">
            <v>62</v>
          </cell>
        </row>
        <row r="5985">
          <cell r="F5985">
            <v>126.77</v>
          </cell>
          <cell r="G5985">
            <v>0</v>
          </cell>
          <cell r="H5985">
            <v>62</v>
          </cell>
        </row>
        <row r="5986">
          <cell r="F5986">
            <v>249.61</v>
          </cell>
          <cell r="G5986">
            <v>0</v>
          </cell>
          <cell r="H5986">
            <v>62</v>
          </cell>
        </row>
        <row r="5987">
          <cell r="F5987">
            <v>459.27</v>
          </cell>
          <cell r="G5987">
            <v>0</v>
          </cell>
          <cell r="H5987">
            <v>62</v>
          </cell>
        </row>
        <row r="5988">
          <cell r="F5988">
            <v>138.53</v>
          </cell>
          <cell r="G5988">
            <v>0</v>
          </cell>
          <cell r="H5988">
            <v>62</v>
          </cell>
        </row>
        <row r="5989">
          <cell r="F5989">
            <v>896.6</v>
          </cell>
          <cell r="G5989">
            <v>0</v>
          </cell>
          <cell r="H5989">
            <v>62</v>
          </cell>
        </row>
        <row r="5990">
          <cell r="F5990">
            <v>253.58</v>
          </cell>
          <cell r="G5990">
            <v>0</v>
          </cell>
          <cell r="H5990">
            <v>62</v>
          </cell>
        </row>
        <row r="5991">
          <cell r="F5991">
            <v>2220.62</v>
          </cell>
          <cell r="G5991">
            <v>0</v>
          </cell>
          <cell r="H5991">
            <v>62</v>
          </cell>
        </row>
        <row r="5992">
          <cell r="F5992">
            <v>510.14</v>
          </cell>
          <cell r="G5992">
            <v>0</v>
          </cell>
          <cell r="H5992">
            <v>62</v>
          </cell>
        </row>
        <row r="5993">
          <cell r="F5993">
            <v>3447.81</v>
          </cell>
          <cell r="G5993">
            <v>0</v>
          </cell>
          <cell r="H5993">
            <v>62</v>
          </cell>
        </row>
        <row r="5994">
          <cell r="F5994">
            <v>2829.05</v>
          </cell>
          <cell r="G5994">
            <v>0</v>
          </cell>
          <cell r="H5994">
            <v>62</v>
          </cell>
        </row>
        <row r="5995">
          <cell r="F5995">
            <v>379.86</v>
          </cell>
          <cell r="G5995">
            <v>0</v>
          </cell>
          <cell r="H5995">
            <v>62</v>
          </cell>
        </row>
        <row r="5996">
          <cell r="F5996">
            <v>198.76</v>
          </cell>
          <cell r="G5996">
            <v>0</v>
          </cell>
          <cell r="H5996">
            <v>62</v>
          </cell>
        </row>
        <row r="5997">
          <cell r="F5997">
            <v>313.45999999999998</v>
          </cell>
          <cell r="G5997">
            <v>0</v>
          </cell>
          <cell r="H5997">
            <v>62</v>
          </cell>
        </row>
        <row r="5998">
          <cell r="F5998">
            <v>2769.65</v>
          </cell>
          <cell r="G5998">
            <v>0</v>
          </cell>
          <cell r="H5998">
            <v>62</v>
          </cell>
        </row>
        <row r="5999">
          <cell r="F5999">
            <v>262.33999999999997</v>
          </cell>
          <cell r="G5999">
            <v>0</v>
          </cell>
          <cell r="H5999">
            <v>62</v>
          </cell>
        </row>
        <row r="6000">
          <cell r="F6000">
            <v>114.72</v>
          </cell>
          <cell r="G6000">
            <v>0</v>
          </cell>
          <cell r="H6000">
            <v>62</v>
          </cell>
        </row>
        <row r="6001">
          <cell r="F6001">
            <v>318.44</v>
          </cell>
          <cell r="G6001">
            <v>0</v>
          </cell>
          <cell r="H6001">
            <v>62</v>
          </cell>
        </row>
        <row r="6002">
          <cell r="F6002">
            <v>1044.46</v>
          </cell>
          <cell r="G6002">
            <v>0</v>
          </cell>
          <cell r="H6002">
            <v>62</v>
          </cell>
        </row>
        <row r="6003">
          <cell r="F6003">
            <v>571.96</v>
          </cell>
          <cell r="G6003">
            <v>0</v>
          </cell>
          <cell r="H6003">
            <v>62</v>
          </cell>
        </row>
        <row r="6004">
          <cell r="F6004">
            <v>253.58</v>
          </cell>
          <cell r="G6004">
            <v>0</v>
          </cell>
          <cell r="H6004">
            <v>62</v>
          </cell>
        </row>
        <row r="6005">
          <cell r="F6005">
            <v>301.7</v>
          </cell>
          <cell r="G6005">
            <v>0</v>
          </cell>
          <cell r="H6005">
            <v>62</v>
          </cell>
        </row>
        <row r="6006">
          <cell r="F6006">
            <v>568.62</v>
          </cell>
          <cell r="G6006">
            <v>0</v>
          </cell>
          <cell r="H6006">
            <v>62</v>
          </cell>
        </row>
        <row r="6007">
          <cell r="F6007">
            <v>170.79</v>
          </cell>
          <cell r="G6007">
            <v>0</v>
          </cell>
          <cell r="H6007">
            <v>62</v>
          </cell>
        </row>
        <row r="6008">
          <cell r="F6008">
            <v>2132.48</v>
          </cell>
          <cell r="G6008">
            <v>0</v>
          </cell>
          <cell r="H6008">
            <v>62</v>
          </cell>
        </row>
        <row r="6009">
          <cell r="F6009">
            <v>1133.27</v>
          </cell>
          <cell r="G6009">
            <v>0</v>
          </cell>
          <cell r="H6009">
            <v>62</v>
          </cell>
        </row>
        <row r="6010">
          <cell r="F6010">
            <v>1398.6</v>
          </cell>
          <cell r="G6010">
            <v>0</v>
          </cell>
          <cell r="H6010">
            <v>62</v>
          </cell>
        </row>
        <row r="6011">
          <cell r="F6011">
            <v>1383.96</v>
          </cell>
          <cell r="G6011">
            <v>0</v>
          </cell>
          <cell r="H6011">
            <v>62</v>
          </cell>
        </row>
        <row r="6012">
          <cell r="F6012">
            <v>262.88</v>
          </cell>
          <cell r="G6012">
            <v>0</v>
          </cell>
          <cell r="H6012">
            <v>62</v>
          </cell>
        </row>
        <row r="6013">
          <cell r="F6013">
            <v>876.23</v>
          </cell>
          <cell r="G6013">
            <v>0</v>
          </cell>
          <cell r="H6013">
            <v>62</v>
          </cell>
        </row>
        <row r="6014">
          <cell r="F6014">
            <v>1109.8599999999999</v>
          </cell>
          <cell r="G6014">
            <v>0</v>
          </cell>
          <cell r="H6014">
            <v>62</v>
          </cell>
        </row>
        <row r="6015">
          <cell r="F6015">
            <v>110.11</v>
          </cell>
          <cell r="G6015">
            <v>0</v>
          </cell>
          <cell r="H6015">
            <v>62</v>
          </cell>
        </row>
        <row r="6016">
          <cell r="F6016">
            <v>85.52</v>
          </cell>
          <cell r="G6016">
            <v>0</v>
          </cell>
          <cell r="H6016">
            <v>62</v>
          </cell>
        </row>
        <row r="6017">
          <cell r="F6017">
            <v>125.93</v>
          </cell>
          <cell r="G6017">
            <v>0</v>
          </cell>
          <cell r="H6017">
            <v>62</v>
          </cell>
        </row>
        <row r="6018">
          <cell r="F6018">
            <v>101.39</v>
          </cell>
          <cell r="G6018">
            <v>0</v>
          </cell>
          <cell r="H6018">
            <v>62</v>
          </cell>
        </row>
        <row r="6019">
          <cell r="F6019">
            <v>1190.23</v>
          </cell>
          <cell r="G6019">
            <v>0</v>
          </cell>
          <cell r="H6019">
            <v>62</v>
          </cell>
        </row>
        <row r="6020">
          <cell r="F6020">
            <v>237.88</v>
          </cell>
          <cell r="G6020">
            <v>0</v>
          </cell>
          <cell r="H6020">
            <v>62</v>
          </cell>
        </row>
        <row r="6021">
          <cell r="F6021">
            <v>853.47</v>
          </cell>
          <cell r="G6021">
            <v>0</v>
          </cell>
          <cell r="H6021">
            <v>62</v>
          </cell>
        </row>
        <row r="6022">
          <cell r="F6022">
            <v>1859.98</v>
          </cell>
          <cell r="G6022">
            <v>0</v>
          </cell>
          <cell r="H6022">
            <v>62</v>
          </cell>
        </row>
        <row r="6023">
          <cell r="F6023">
            <v>213.78</v>
          </cell>
          <cell r="G6023">
            <v>0</v>
          </cell>
          <cell r="H6023">
            <v>62</v>
          </cell>
        </row>
        <row r="6024">
          <cell r="F6024">
            <v>875.08</v>
          </cell>
          <cell r="G6024">
            <v>0</v>
          </cell>
          <cell r="H6024">
            <v>62</v>
          </cell>
        </row>
        <row r="6025">
          <cell r="F6025">
            <v>1210.45</v>
          </cell>
          <cell r="G6025">
            <v>0</v>
          </cell>
          <cell r="H6025">
            <v>62</v>
          </cell>
        </row>
        <row r="6026">
          <cell r="F6026">
            <v>126.81</v>
          </cell>
          <cell r="G6026">
            <v>0</v>
          </cell>
          <cell r="H6026">
            <v>62</v>
          </cell>
        </row>
        <row r="6027">
          <cell r="F6027">
            <v>1638.72</v>
          </cell>
          <cell r="G6027">
            <v>0</v>
          </cell>
          <cell r="H6027">
            <v>62</v>
          </cell>
        </row>
        <row r="6028">
          <cell r="F6028">
            <v>2889.95</v>
          </cell>
          <cell r="G6028">
            <v>0</v>
          </cell>
          <cell r="H6028">
            <v>62</v>
          </cell>
        </row>
        <row r="6029">
          <cell r="F6029">
            <v>1091.45</v>
          </cell>
          <cell r="G6029">
            <v>0</v>
          </cell>
          <cell r="H6029">
            <v>62</v>
          </cell>
        </row>
        <row r="6030">
          <cell r="F6030">
            <v>253.57</v>
          </cell>
          <cell r="G6030">
            <v>0</v>
          </cell>
          <cell r="H6030">
            <v>62</v>
          </cell>
        </row>
        <row r="6031">
          <cell r="F6031">
            <v>276.17</v>
          </cell>
          <cell r="G6031">
            <v>0</v>
          </cell>
          <cell r="H6031">
            <v>62</v>
          </cell>
        </row>
        <row r="6032">
          <cell r="F6032">
            <v>117.14</v>
          </cell>
          <cell r="G6032">
            <v>0</v>
          </cell>
          <cell r="H6032">
            <v>62</v>
          </cell>
        </row>
        <row r="6033">
          <cell r="F6033">
            <v>190.43</v>
          </cell>
          <cell r="G6033">
            <v>0</v>
          </cell>
          <cell r="H6033">
            <v>62</v>
          </cell>
        </row>
        <row r="6034">
          <cell r="F6034">
            <v>1058.17</v>
          </cell>
          <cell r="G6034">
            <v>0</v>
          </cell>
          <cell r="H6034">
            <v>62</v>
          </cell>
        </row>
        <row r="6035">
          <cell r="F6035">
            <v>3383.2</v>
          </cell>
          <cell r="G6035">
            <v>0</v>
          </cell>
          <cell r="H6035">
            <v>62</v>
          </cell>
        </row>
        <row r="6036">
          <cell r="F6036">
            <v>999.33</v>
          </cell>
          <cell r="G6036">
            <v>0</v>
          </cell>
          <cell r="H6036">
            <v>62</v>
          </cell>
        </row>
        <row r="6037">
          <cell r="F6037">
            <v>1393.52</v>
          </cell>
          <cell r="G6037">
            <v>0</v>
          </cell>
          <cell r="H6037">
            <v>62</v>
          </cell>
        </row>
        <row r="6038">
          <cell r="F6038">
            <v>55.760000000000005</v>
          </cell>
          <cell r="G6038">
            <v>0</v>
          </cell>
          <cell r="H6038">
            <v>62</v>
          </cell>
        </row>
        <row r="6039">
          <cell r="F6039">
            <v>72.44</v>
          </cell>
          <cell r="G6039">
            <v>0</v>
          </cell>
          <cell r="H6039">
            <v>62</v>
          </cell>
        </row>
        <row r="6040">
          <cell r="F6040">
            <v>152.43</v>
          </cell>
          <cell r="G6040">
            <v>0</v>
          </cell>
          <cell r="H6040">
            <v>62</v>
          </cell>
        </row>
        <row r="6041">
          <cell r="F6041">
            <v>89.49</v>
          </cell>
          <cell r="G6041">
            <v>0</v>
          </cell>
          <cell r="H6041">
            <v>62</v>
          </cell>
        </row>
        <row r="6042">
          <cell r="F6042">
            <v>593.74</v>
          </cell>
          <cell r="G6042">
            <v>0</v>
          </cell>
          <cell r="H6042">
            <v>62</v>
          </cell>
        </row>
        <row r="6043">
          <cell r="F6043">
            <v>976.75</v>
          </cell>
          <cell r="G6043">
            <v>0</v>
          </cell>
          <cell r="H6043">
            <v>62</v>
          </cell>
        </row>
        <row r="6044">
          <cell r="F6044">
            <v>764.91</v>
          </cell>
          <cell r="G6044">
            <v>0</v>
          </cell>
          <cell r="H6044">
            <v>62</v>
          </cell>
        </row>
        <row r="6045">
          <cell r="F6045">
            <v>679.84</v>
          </cell>
          <cell r="G6045">
            <v>0</v>
          </cell>
          <cell r="H6045">
            <v>62</v>
          </cell>
        </row>
        <row r="6046">
          <cell r="F6046">
            <v>368.75</v>
          </cell>
          <cell r="G6046">
            <v>0</v>
          </cell>
          <cell r="H6046">
            <v>62</v>
          </cell>
        </row>
        <row r="6047">
          <cell r="F6047">
            <v>1548.9</v>
          </cell>
          <cell r="G6047">
            <v>0</v>
          </cell>
          <cell r="H6047">
            <v>62</v>
          </cell>
        </row>
        <row r="6048">
          <cell r="F6048">
            <v>717.13</v>
          </cell>
          <cell r="G6048">
            <v>0</v>
          </cell>
          <cell r="H6048">
            <v>62</v>
          </cell>
        </row>
        <row r="6049">
          <cell r="F6049">
            <v>845.94</v>
          </cell>
          <cell r="G6049">
            <v>0</v>
          </cell>
          <cell r="H6049">
            <v>62</v>
          </cell>
        </row>
        <row r="6050">
          <cell r="F6050">
            <v>81.260000000000005</v>
          </cell>
          <cell r="G6050">
            <v>0</v>
          </cell>
          <cell r="H6050">
            <v>62</v>
          </cell>
        </row>
        <row r="6051">
          <cell r="F6051">
            <v>166.06</v>
          </cell>
          <cell r="G6051">
            <v>0</v>
          </cell>
          <cell r="H6051">
            <v>62</v>
          </cell>
        </row>
        <row r="6052">
          <cell r="F6052">
            <v>886.86</v>
          </cell>
          <cell r="G6052">
            <v>0</v>
          </cell>
          <cell r="H6052">
            <v>62</v>
          </cell>
        </row>
        <row r="6053">
          <cell r="F6053">
            <v>81.819999999999993</v>
          </cell>
          <cell r="G6053">
            <v>0</v>
          </cell>
          <cell r="H6053">
            <v>62</v>
          </cell>
        </row>
        <row r="6054">
          <cell r="F6054">
            <v>764.77</v>
          </cell>
          <cell r="G6054">
            <v>0</v>
          </cell>
          <cell r="H6054">
            <v>62</v>
          </cell>
        </row>
        <row r="6055">
          <cell r="F6055">
            <v>37.06</v>
          </cell>
          <cell r="G6055">
            <v>0</v>
          </cell>
          <cell r="H6055">
            <v>62</v>
          </cell>
        </row>
        <row r="6056">
          <cell r="F6056">
            <v>4248.76</v>
          </cell>
          <cell r="G6056">
            <v>0</v>
          </cell>
          <cell r="H6056">
            <v>62</v>
          </cell>
        </row>
        <row r="6057">
          <cell r="F6057">
            <v>71.56</v>
          </cell>
          <cell r="G6057">
            <v>0</v>
          </cell>
          <cell r="H6057">
            <v>62</v>
          </cell>
        </row>
        <row r="6058">
          <cell r="F6058">
            <v>543.61</v>
          </cell>
          <cell r="G6058">
            <v>0</v>
          </cell>
          <cell r="H6058">
            <v>62</v>
          </cell>
        </row>
        <row r="6059">
          <cell r="F6059">
            <v>399.56</v>
          </cell>
          <cell r="G6059">
            <v>0</v>
          </cell>
          <cell r="H6059">
            <v>62</v>
          </cell>
        </row>
        <row r="6060">
          <cell r="F6060">
            <v>64.150000000000006</v>
          </cell>
          <cell r="G6060">
            <v>0</v>
          </cell>
          <cell r="H6060">
            <v>62</v>
          </cell>
        </row>
        <row r="6061">
          <cell r="F6061">
            <v>5547.98</v>
          </cell>
          <cell r="G6061">
            <v>0</v>
          </cell>
          <cell r="H6061">
            <v>62</v>
          </cell>
        </row>
        <row r="6062">
          <cell r="F6062">
            <v>234.51</v>
          </cell>
          <cell r="G6062">
            <v>0</v>
          </cell>
          <cell r="H6062">
            <v>62</v>
          </cell>
        </row>
        <row r="6063">
          <cell r="F6063">
            <v>448.37</v>
          </cell>
          <cell r="G6063">
            <v>0</v>
          </cell>
          <cell r="H6063">
            <v>62</v>
          </cell>
        </row>
        <row r="6064">
          <cell r="F6064">
            <v>1455.74</v>
          </cell>
          <cell r="G6064">
            <v>0</v>
          </cell>
          <cell r="H6064">
            <v>62</v>
          </cell>
        </row>
        <row r="6065">
          <cell r="F6065">
            <v>358.37</v>
          </cell>
          <cell r="G6065">
            <v>0</v>
          </cell>
          <cell r="H6065">
            <v>62</v>
          </cell>
        </row>
        <row r="6066">
          <cell r="F6066">
            <v>858.2</v>
          </cell>
          <cell r="G6066">
            <v>0</v>
          </cell>
          <cell r="H6066">
            <v>62</v>
          </cell>
        </row>
        <row r="6067">
          <cell r="F6067">
            <v>492.85</v>
          </cell>
          <cell r="G6067">
            <v>0</v>
          </cell>
          <cell r="H6067">
            <v>62</v>
          </cell>
        </row>
        <row r="6068">
          <cell r="F6068">
            <v>981.55</v>
          </cell>
          <cell r="G6068">
            <v>0</v>
          </cell>
          <cell r="H6068">
            <v>62</v>
          </cell>
        </row>
        <row r="6069">
          <cell r="F6069">
            <v>66.459999999999994</v>
          </cell>
          <cell r="G6069">
            <v>0</v>
          </cell>
          <cell r="H6069">
            <v>62</v>
          </cell>
        </row>
        <row r="6070">
          <cell r="F6070">
            <v>1002.79</v>
          </cell>
          <cell r="G6070">
            <v>0</v>
          </cell>
          <cell r="H6070">
            <v>62</v>
          </cell>
        </row>
        <row r="6071">
          <cell r="F6071">
            <v>430.23</v>
          </cell>
          <cell r="G6071">
            <v>0</v>
          </cell>
          <cell r="H6071">
            <v>62</v>
          </cell>
        </row>
        <row r="6072">
          <cell r="F6072">
            <v>314.31</v>
          </cell>
          <cell r="G6072">
            <v>0</v>
          </cell>
          <cell r="H6072">
            <v>62</v>
          </cell>
        </row>
        <row r="6073">
          <cell r="F6073">
            <v>714.73</v>
          </cell>
          <cell r="G6073">
            <v>0</v>
          </cell>
          <cell r="H6073">
            <v>62</v>
          </cell>
        </row>
        <row r="6074">
          <cell r="F6074">
            <v>3375.34</v>
          </cell>
          <cell r="G6074">
            <v>0</v>
          </cell>
          <cell r="H6074">
            <v>62</v>
          </cell>
        </row>
        <row r="6075">
          <cell r="F6075">
            <v>115.69</v>
          </cell>
          <cell r="G6075">
            <v>0</v>
          </cell>
          <cell r="H6075">
            <v>62</v>
          </cell>
        </row>
        <row r="6076">
          <cell r="F6076">
            <v>126.74</v>
          </cell>
          <cell r="G6076">
            <v>0</v>
          </cell>
          <cell r="H6076">
            <v>62</v>
          </cell>
        </row>
        <row r="6077">
          <cell r="F6077">
            <v>20.04</v>
          </cell>
          <cell r="G6077">
            <v>0</v>
          </cell>
          <cell r="H6077">
            <v>62</v>
          </cell>
        </row>
        <row r="6078">
          <cell r="F6078">
            <v>20.47</v>
          </cell>
          <cell r="G6078">
            <v>0</v>
          </cell>
          <cell r="H6078">
            <v>62</v>
          </cell>
        </row>
        <row r="6079">
          <cell r="F6079">
            <v>0</v>
          </cell>
          <cell r="G6079">
            <v>0</v>
          </cell>
          <cell r="H6079">
            <v>62</v>
          </cell>
        </row>
        <row r="6080">
          <cell r="F6080">
            <v>1050.77</v>
          </cell>
          <cell r="G6080">
            <v>0</v>
          </cell>
          <cell r="H6080">
            <v>62</v>
          </cell>
        </row>
        <row r="6081">
          <cell r="F6081">
            <v>890.84</v>
          </cell>
          <cell r="G6081">
            <v>0</v>
          </cell>
          <cell r="H6081">
            <v>62</v>
          </cell>
        </row>
        <row r="6082">
          <cell r="F6082">
            <v>1044.04</v>
          </cell>
          <cell r="G6082">
            <v>0</v>
          </cell>
          <cell r="H6082">
            <v>62</v>
          </cell>
        </row>
        <row r="6083">
          <cell r="F6083">
            <v>1262.97</v>
          </cell>
          <cell r="G6083">
            <v>0</v>
          </cell>
          <cell r="H6083">
            <v>62</v>
          </cell>
        </row>
        <row r="6084">
          <cell r="F6084">
            <v>300.3</v>
          </cell>
          <cell r="G6084">
            <v>0</v>
          </cell>
          <cell r="H6084">
            <v>62</v>
          </cell>
        </row>
        <row r="6085">
          <cell r="F6085">
            <v>1823.48</v>
          </cell>
          <cell r="G6085">
            <v>0</v>
          </cell>
          <cell r="H6085">
            <v>62</v>
          </cell>
        </row>
        <row r="6086">
          <cell r="F6086">
            <v>325.57</v>
          </cell>
          <cell r="G6086">
            <v>0</v>
          </cell>
          <cell r="H6086">
            <v>62</v>
          </cell>
        </row>
        <row r="6087">
          <cell r="F6087">
            <v>567.37</v>
          </cell>
          <cell r="G6087">
            <v>0</v>
          </cell>
          <cell r="H6087">
            <v>62</v>
          </cell>
        </row>
        <row r="6088">
          <cell r="F6088">
            <v>617.19000000000005</v>
          </cell>
          <cell r="G6088">
            <v>0</v>
          </cell>
          <cell r="H6088">
            <v>62</v>
          </cell>
        </row>
        <row r="6089">
          <cell r="F6089">
            <v>1041.71</v>
          </cell>
          <cell r="G6089">
            <v>0</v>
          </cell>
          <cell r="H6089">
            <v>62</v>
          </cell>
        </row>
        <row r="6090">
          <cell r="F6090">
            <v>1035.1500000000001</v>
          </cell>
          <cell r="G6090">
            <v>0</v>
          </cell>
          <cell r="H6090">
            <v>62</v>
          </cell>
        </row>
        <row r="6091">
          <cell r="F6091">
            <v>1493.86</v>
          </cell>
          <cell r="G6091">
            <v>0</v>
          </cell>
          <cell r="H6091">
            <v>62</v>
          </cell>
        </row>
        <row r="6092">
          <cell r="F6092">
            <v>48.91</v>
          </cell>
          <cell r="G6092">
            <v>0</v>
          </cell>
          <cell r="H6092">
            <v>62</v>
          </cell>
        </row>
        <row r="6093">
          <cell r="F6093">
            <v>209.37</v>
          </cell>
          <cell r="G6093">
            <v>0</v>
          </cell>
          <cell r="H6093">
            <v>62</v>
          </cell>
        </row>
        <row r="6094">
          <cell r="F6094">
            <v>211.48</v>
          </cell>
          <cell r="G6094">
            <v>0</v>
          </cell>
          <cell r="H6094">
            <v>62</v>
          </cell>
        </row>
        <row r="6095">
          <cell r="F6095">
            <v>579.28</v>
          </cell>
          <cell r="G6095">
            <v>0</v>
          </cell>
          <cell r="H6095">
            <v>62</v>
          </cell>
        </row>
        <row r="6096">
          <cell r="F6096">
            <v>521.11</v>
          </cell>
          <cell r="G6096">
            <v>0</v>
          </cell>
          <cell r="H6096">
            <v>62</v>
          </cell>
        </row>
        <row r="6097">
          <cell r="F6097">
            <v>83.77</v>
          </cell>
          <cell r="G6097">
            <v>0</v>
          </cell>
          <cell r="H6097">
            <v>62</v>
          </cell>
        </row>
        <row r="6098">
          <cell r="F6098">
            <v>905.12</v>
          </cell>
          <cell r="G6098">
            <v>0</v>
          </cell>
          <cell r="H6098">
            <v>62</v>
          </cell>
        </row>
        <row r="6099">
          <cell r="F6099">
            <v>546.85</v>
          </cell>
          <cell r="G6099">
            <v>0</v>
          </cell>
          <cell r="H6099">
            <v>62</v>
          </cell>
        </row>
        <row r="6100">
          <cell r="F6100">
            <v>0</v>
          </cell>
          <cell r="G6100">
            <v>0</v>
          </cell>
          <cell r="H6100">
            <v>62</v>
          </cell>
        </row>
        <row r="6101">
          <cell r="F6101">
            <v>50.44</v>
          </cell>
          <cell r="G6101">
            <v>0</v>
          </cell>
          <cell r="H6101">
            <v>62</v>
          </cell>
        </row>
        <row r="6102">
          <cell r="F6102">
            <v>0.31</v>
          </cell>
          <cell r="G6102">
            <v>0</v>
          </cell>
          <cell r="H6102">
            <v>62</v>
          </cell>
        </row>
        <row r="6103">
          <cell r="F6103">
            <v>13.7</v>
          </cell>
          <cell r="G6103">
            <v>0</v>
          </cell>
          <cell r="H6103">
            <v>62</v>
          </cell>
        </row>
        <row r="6104">
          <cell r="F6104">
            <v>4.6400000000000006</v>
          </cell>
          <cell r="G6104">
            <v>0</v>
          </cell>
          <cell r="H6104">
            <v>62</v>
          </cell>
        </row>
        <row r="6105">
          <cell r="F6105">
            <v>68.819999999999993</v>
          </cell>
          <cell r="G6105">
            <v>0</v>
          </cell>
          <cell r="H6105">
            <v>62</v>
          </cell>
        </row>
        <row r="6106">
          <cell r="F6106">
            <v>53.42</v>
          </cell>
          <cell r="G6106">
            <v>0</v>
          </cell>
          <cell r="H6106">
            <v>62</v>
          </cell>
        </row>
        <row r="6107">
          <cell r="F6107">
            <v>55.18</v>
          </cell>
          <cell r="G6107">
            <v>0</v>
          </cell>
          <cell r="H6107">
            <v>62</v>
          </cell>
        </row>
        <row r="6108">
          <cell r="F6108">
            <v>83.21</v>
          </cell>
          <cell r="G6108">
            <v>0</v>
          </cell>
          <cell r="H6108">
            <v>62</v>
          </cell>
        </row>
        <row r="6109">
          <cell r="F6109">
            <v>98.86</v>
          </cell>
          <cell r="G6109">
            <v>0</v>
          </cell>
          <cell r="H6109">
            <v>62</v>
          </cell>
        </row>
        <row r="6110">
          <cell r="F6110">
            <v>20.28</v>
          </cell>
          <cell r="G6110">
            <v>0</v>
          </cell>
          <cell r="H6110">
            <v>62</v>
          </cell>
        </row>
        <row r="6111">
          <cell r="F6111">
            <v>765</v>
          </cell>
          <cell r="G6111">
            <v>0</v>
          </cell>
          <cell r="H6111">
            <v>62</v>
          </cell>
        </row>
        <row r="6112">
          <cell r="F6112">
            <v>147.5</v>
          </cell>
          <cell r="G6112">
            <v>0</v>
          </cell>
          <cell r="H6112">
            <v>62</v>
          </cell>
        </row>
        <row r="6113">
          <cell r="F6113">
            <v>50</v>
          </cell>
          <cell r="G6113">
            <v>0</v>
          </cell>
          <cell r="H6113">
            <v>62</v>
          </cell>
        </row>
        <row r="6114">
          <cell r="F6114">
            <v>3.25</v>
          </cell>
          <cell r="G6114">
            <v>0</v>
          </cell>
          <cell r="H6114">
            <v>62</v>
          </cell>
        </row>
        <row r="6115">
          <cell r="F6115">
            <v>8.89</v>
          </cell>
          <cell r="G6115">
            <v>0</v>
          </cell>
          <cell r="H6115">
            <v>62</v>
          </cell>
        </row>
        <row r="6116">
          <cell r="F6116">
            <v>3055.72</v>
          </cell>
          <cell r="G6116">
            <v>0</v>
          </cell>
          <cell r="H6116">
            <v>62</v>
          </cell>
        </row>
        <row r="6117">
          <cell r="F6117">
            <v>531.29999999999995</v>
          </cell>
          <cell r="G6117">
            <v>0</v>
          </cell>
          <cell r="H6117">
            <v>62</v>
          </cell>
        </row>
        <row r="6118">
          <cell r="F6118">
            <v>92.66</v>
          </cell>
          <cell r="G6118">
            <v>0</v>
          </cell>
          <cell r="H6118">
            <v>62</v>
          </cell>
        </row>
        <row r="6119">
          <cell r="F6119">
            <v>90.1</v>
          </cell>
          <cell r="G6119">
            <v>0</v>
          </cell>
          <cell r="H6119">
            <v>62</v>
          </cell>
        </row>
        <row r="6120">
          <cell r="F6120">
            <v>7.79</v>
          </cell>
          <cell r="G6120">
            <v>0</v>
          </cell>
          <cell r="H6120">
            <v>62</v>
          </cell>
        </row>
        <row r="6121">
          <cell r="F6121">
            <v>0</v>
          </cell>
          <cell r="G6121">
            <v>0</v>
          </cell>
          <cell r="H6121">
            <v>62</v>
          </cell>
        </row>
        <row r="6122">
          <cell r="F6122">
            <v>20.100000000000001</v>
          </cell>
          <cell r="G6122">
            <v>0</v>
          </cell>
          <cell r="H6122">
            <v>62</v>
          </cell>
        </row>
        <row r="6123">
          <cell r="F6123">
            <v>4.4899999999999949</v>
          </cell>
          <cell r="G6123">
            <v>0</v>
          </cell>
          <cell r="H6123">
            <v>62</v>
          </cell>
        </row>
        <row r="6124">
          <cell r="F6124">
            <v>16.03</v>
          </cell>
          <cell r="G6124">
            <v>0</v>
          </cell>
          <cell r="H6124">
            <v>62</v>
          </cell>
        </row>
        <row r="6125">
          <cell r="F6125">
            <v>351.8</v>
          </cell>
          <cell r="G6125">
            <v>0</v>
          </cell>
          <cell r="H6125">
            <v>62</v>
          </cell>
        </row>
        <row r="6126">
          <cell r="F6126">
            <v>129.41</v>
          </cell>
          <cell r="G6126">
            <v>0</v>
          </cell>
          <cell r="H6126">
            <v>62</v>
          </cell>
        </row>
        <row r="6127">
          <cell r="F6127">
            <v>57.51</v>
          </cell>
          <cell r="G6127">
            <v>0</v>
          </cell>
          <cell r="H6127">
            <v>62</v>
          </cell>
        </row>
        <row r="6128">
          <cell r="F6128">
            <v>340.34</v>
          </cell>
          <cell r="G6128">
            <v>0</v>
          </cell>
          <cell r="H6128">
            <v>62</v>
          </cell>
        </row>
        <row r="6129">
          <cell r="F6129">
            <v>122.85</v>
          </cell>
          <cell r="G6129">
            <v>0</v>
          </cell>
          <cell r="H6129">
            <v>62</v>
          </cell>
        </row>
        <row r="6130">
          <cell r="F6130">
            <v>246.5</v>
          </cell>
          <cell r="G6130">
            <v>0</v>
          </cell>
          <cell r="H6130">
            <v>62</v>
          </cell>
        </row>
        <row r="6131">
          <cell r="F6131">
            <v>7.03</v>
          </cell>
          <cell r="G6131">
            <v>0</v>
          </cell>
          <cell r="H6131">
            <v>62</v>
          </cell>
        </row>
        <row r="6132">
          <cell r="F6132">
            <v>54.53</v>
          </cell>
          <cell r="G6132">
            <v>0</v>
          </cell>
          <cell r="H6132">
            <v>62</v>
          </cell>
        </row>
        <row r="6133">
          <cell r="F6133">
            <v>95</v>
          </cell>
          <cell r="G6133">
            <v>0</v>
          </cell>
          <cell r="H6133">
            <v>62</v>
          </cell>
        </row>
        <row r="6134">
          <cell r="F6134">
            <v>218.55</v>
          </cell>
          <cell r="G6134">
            <v>0</v>
          </cell>
          <cell r="H6134">
            <v>62</v>
          </cell>
        </row>
        <row r="6135">
          <cell r="F6135">
            <v>45.32</v>
          </cell>
          <cell r="G6135">
            <v>0</v>
          </cell>
          <cell r="H6135">
            <v>62</v>
          </cell>
        </row>
        <row r="6136">
          <cell r="F6136">
            <v>403.02</v>
          </cell>
          <cell r="G6136">
            <v>0</v>
          </cell>
          <cell r="H6136">
            <v>62</v>
          </cell>
        </row>
        <row r="6137">
          <cell r="F6137">
            <v>15</v>
          </cell>
          <cell r="G6137">
            <v>0</v>
          </cell>
          <cell r="H6137">
            <v>62</v>
          </cell>
        </row>
        <row r="6138">
          <cell r="F6138">
            <v>547.76</v>
          </cell>
          <cell r="G6138">
            <v>0</v>
          </cell>
          <cell r="H6138">
            <v>62</v>
          </cell>
        </row>
        <row r="6139">
          <cell r="F6139">
            <v>7.83</v>
          </cell>
          <cell r="G6139">
            <v>0</v>
          </cell>
          <cell r="H6139">
            <v>62</v>
          </cell>
        </row>
        <row r="6140">
          <cell r="F6140">
            <v>113.51</v>
          </cell>
          <cell r="G6140">
            <v>0</v>
          </cell>
          <cell r="H6140">
            <v>62</v>
          </cell>
        </row>
        <row r="6141">
          <cell r="F6141">
            <v>158.65</v>
          </cell>
          <cell r="G6141">
            <v>0</v>
          </cell>
          <cell r="H6141">
            <v>62</v>
          </cell>
        </row>
        <row r="6142">
          <cell r="F6142">
            <v>62.2</v>
          </cell>
          <cell r="G6142">
            <v>0</v>
          </cell>
          <cell r="H6142">
            <v>62</v>
          </cell>
        </row>
        <row r="6143">
          <cell r="F6143">
            <v>35.75</v>
          </cell>
          <cell r="G6143">
            <v>0</v>
          </cell>
          <cell r="H6143">
            <v>62</v>
          </cell>
        </row>
        <row r="6144">
          <cell r="F6144">
            <v>62.04</v>
          </cell>
          <cell r="G6144">
            <v>0</v>
          </cell>
          <cell r="H6144">
            <v>62</v>
          </cell>
        </row>
        <row r="6145">
          <cell r="F6145">
            <v>0.74</v>
          </cell>
          <cell r="G6145">
            <v>0</v>
          </cell>
          <cell r="H6145">
            <v>62</v>
          </cell>
        </row>
        <row r="6146">
          <cell r="F6146">
            <v>693.76</v>
          </cell>
          <cell r="G6146">
            <v>0</v>
          </cell>
          <cell r="H6146">
            <v>62</v>
          </cell>
        </row>
        <row r="6147">
          <cell r="F6147">
            <v>126.13</v>
          </cell>
          <cell r="G6147">
            <v>0</v>
          </cell>
          <cell r="H6147">
            <v>62</v>
          </cell>
        </row>
        <row r="6148">
          <cell r="F6148">
            <v>5.9200000000000017</v>
          </cell>
          <cell r="G6148">
            <v>0</v>
          </cell>
          <cell r="H6148">
            <v>62</v>
          </cell>
        </row>
        <row r="6149">
          <cell r="F6149">
            <v>62.8</v>
          </cell>
          <cell r="G6149">
            <v>0</v>
          </cell>
          <cell r="H6149">
            <v>62</v>
          </cell>
        </row>
        <row r="6150">
          <cell r="F6150">
            <v>1.7</v>
          </cell>
          <cell r="G6150">
            <v>0</v>
          </cell>
          <cell r="H6150">
            <v>62</v>
          </cell>
        </row>
        <row r="6151">
          <cell r="F6151">
            <v>157.16999999999999</v>
          </cell>
          <cell r="G6151">
            <v>0</v>
          </cell>
          <cell r="H6151">
            <v>62</v>
          </cell>
        </row>
        <row r="6152">
          <cell r="F6152">
            <v>43.65</v>
          </cell>
          <cell r="G6152">
            <v>0</v>
          </cell>
          <cell r="H6152">
            <v>62</v>
          </cell>
        </row>
        <row r="6153">
          <cell r="F6153">
            <v>211.67</v>
          </cell>
          <cell r="G6153">
            <v>0</v>
          </cell>
          <cell r="H6153">
            <v>62</v>
          </cell>
        </row>
        <row r="6154">
          <cell r="F6154">
            <v>12.17</v>
          </cell>
          <cell r="G6154">
            <v>0</v>
          </cell>
          <cell r="H6154">
            <v>62</v>
          </cell>
        </row>
        <row r="6155">
          <cell r="F6155">
            <v>57.5</v>
          </cell>
          <cell r="G6155">
            <v>0</v>
          </cell>
          <cell r="H6155">
            <v>62</v>
          </cell>
        </row>
        <row r="6156">
          <cell r="F6156">
            <v>25342.2</v>
          </cell>
          <cell r="G6156">
            <v>0</v>
          </cell>
          <cell r="H6156">
            <v>62</v>
          </cell>
        </row>
        <row r="6157">
          <cell r="F6157">
            <v>230.44</v>
          </cell>
          <cell r="G6157">
            <v>0</v>
          </cell>
          <cell r="H6157">
            <v>62</v>
          </cell>
        </row>
        <row r="6158">
          <cell r="F6158">
            <v>58.85</v>
          </cell>
          <cell r="G6158">
            <v>0</v>
          </cell>
          <cell r="H6158">
            <v>62</v>
          </cell>
        </row>
        <row r="6159">
          <cell r="F6159">
            <v>83.73</v>
          </cell>
          <cell r="G6159">
            <v>0</v>
          </cell>
          <cell r="H6159">
            <v>62</v>
          </cell>
        </row>
        <row r="6160">
          <cell r="F6160">
            <v>0</v>
          </cell>
          <cell r="G6160">
            <v>0</v>
          </cell>
          <cell r="H6160">
            <v>62</v>
          </cell>
        </row>
        <row r="6161">
          <cell r="F6161">
            <v>38.76</v>
          </cell>
          <cell r="G6161">
            <v>0</v>
          </cell>
          <cell r="H6161">
            <v>62</v>
          </cell>
        </row>
        <row r="6162">
          <cell r="F6162">
            <v>139.24</v>
          </cell>
          <cell r="G6162">
            <v>0</v>
          </cell>
          <cell r="H6162">
            <v>62</v>
          </cell>
        </row>
        <row r="6163">
          <cell r="F6163">
            <v>48</v>
          </cell>
          <cell r="G6163">
            <v>0</v>
          </cell>
          <cell r="H6163">
            <v>62</v>
          </cell>
        </row>
        <row r="6164">
          <cell r="F6164">
            <v>82.84</v>
          </cell>
          <cell r="G6164">
            <v>0</v>
          </cell>
          <cell r="H6164">
            <v>62</v>
          </cell>
        </row>
        <row r="6165">
          <cell r="F6165">
            <v>799.56999999999994</v>
          </cell>
          <cell r="G6165">
            <v>0</v>
          </cell>
          <cell r="H6165">
            <v>62</v>
          </cell>
        </row>
        <row r="6166">
          <cell r="F6166">
            <v>3.0399999999999991</v>
          </cell>
          <cell r="G6166">
            <v>0</v>
          </cell>
          <cell r="H6166">
            <v>62</v>
          </cell>
        </row>
        <row r="6167">
          <cell r="F6167">
            <v>74.400000000000006</v>
          </cell>
          <cell r="G6167">
            <v>0</v>
          </cell>
          <cell r="H6167">
            <v>62</v>
          </cell>
        </row>
        <row r="6168">
          <cell r="F6168">
            <v>65.650000000000006</v>
          </cell>
          <cell r="G6168">
            <v>0</v>
          </cell>
          <cell r="H6168">
            <v>62</v>
          </cell>
        </row>
        <row r="6169">
          <cell r="F6169">
            <v>2.9600000000000009</v>
          </cell>
          <cell r="G6169">
            <v>0</v>
          </cell>
          <cell r="H6169">
            <v>62</v>
          </cell>
        </row>
        <row r="6170">
          <cell r="F6170">
            <v>5.45</v>
          </cell>
          <cell r="G6170">
            <v>0</v>
          </cell>
          <cell r="H6170">
            <v>62</v>
          </cell>
        </row>
        <row r="6171">
          <cell r="F6171">
            <v>20.47</v>
          </cell>
          <cell r="G6171">
            <v>0</v>
          </cell>
          <cell r="H6171">
            <v>62</v>
          </cell>
        </row>
        <row r="6172">
          <cell r="F6172">
            <v>14.76</v>
          </cell>
          <cell r="G6172">
            <v>0</v>
          </cell>
          <cell r="H6172">
            <v>62</v>
          </cell>
        </row>
        <row r="6173">
          <cell r="F6173">
            <v>81.05</v>
          </cell>
          <cell r="G6173">
            <v>0</v>
          </cell>
          <cell r="H6173">
            <v>62</v>
          </cell>
        </row>
        <row r="6174">
          <cell r="F6174">
            <v>212.45</v>
          </cell>
          <cell r="G6174">
            <v>0</v>
          </cell>
          <cell r="H6174">
            <v>62</v>
          </cell>
        </row>
        <row r="6175">
          <cell r="F6175">
            <v>250</v>
          </cell>
          <cell r="G6175">
            <v>0</v>
          </cell>
          <cell r="H6175">
            <v>62</v>
          </cell>
        </row>
        <row r="6176">
          <cell r="F6176">
            <v>20.47</v>
          </cell>
          <cell r="G6176">
            <v>0</v>
          </cell>
          <cell r="H6176">
            <v>62</v>
          </cell>
        </row>
        <row r="6177">
          <cell r="F6177">
            <v>27.95</v>
          </cell>
          <cell r="G6177">
            <v>0</v>
          </cell>
          <cell r="H6177">
            <v>62</v>
          </cell>
        </row>
        <row r="6178">
          <cell r="F6178">
            <v>0.63</v>
          </cell>
          <cell r="G6178">
            <v>0</v>
          </cell>
          <cell r="H6178">
            <v>62</v>
          </cell>
        </row>
        <row r="6179">
          <cell r="F6179">
            <v>54.44</v>
          </cell>
          <cell r="G6179">
            <v>0</v>
          </cell>
          <cell r="H6179">
            <v>62</v>
          </cell>
        </row>
        <row r="6180">
          <cell r="F6180">
            <v>14.14</v>
          </cell>
          <cell r="G6180">
            <v>0</v>
          </cell>
          <cell r="H6180">
            <v>62</v>
          </cell>
        </row>
        <row r="6181">
          <cell r="F6181">
            <v>274.44</v>
          </cell>
          <cell r="G6181">
            <v>0</v>
          </cell>
          <cell r="H6181">
            <v>62</v>
          </cell>
        </row>
        <row r="6182">
          <cell r="F6182">
            <v>23.24</v>
          </cell>
          <cell r="G6182">
            <v>0</v>
          </cell>
          <cell r="H6182">
            <v>62</v>
          </cell>
        </row>
        <row r="6183">
          <cell r="F6183">
            <v>2056.19</v>
          </cell>
          <cell r="G6183">
            <v>0</v>
          </cell>
          <cell r="H6183">
            <v>62</v>
          </cell>
        </row>
        <row r="6184">
          <cell r="F6184">
            <v>827.26</v>
          </cell>
          <cell r="G6184">
            <v>0</v>
          </cell>
          <cell r="H6184">
            <v>62</v>
          </cell>
        </row>
        <row r="6185">
          <cell r="F6185">
            <v>844.52</v>
          </cell>
          <cell r="G6185">
            <v>0</v>
          </cell>
          <cell r="H6185">
            <v>62</v>
          </cell>
        </row>
        <row r="6186">
          <cell r="F6186">
            <v>24.99</v>
          </cell>
          <cell r="G6186">
            <v>0</v>
          </cell>
          <cell r="H6186">
            <v>62</v>
          </cell>
        </row>
        <row r="6187">
          <cell r="F6187">
            <v>882.05</v>
          </cell>
          <cell r="G6187">
            <v>0</v>
          </cell>
          <cell r="H6187">
            <v>62</v>
          </cell>
        </row>
        <row r="6188">
          <cell r="F6188">
            <v>806.29</v>
          </cell>
          <cell r="G6188">
            <v>0</v>
          </cell>
          <cell r="H6188">
            <v>62</v>
          </cell>
        </row>
        <row r="6189">
          <cell r="F6189">
            <v>2.5200000000000031</v>
          </cell>
          <cell r="G6189">
            <v>0</v>
          </cell>
          <cell r="H6189">
            <v>62</v>
          </cell>
        </row>
        <row r="6190">
          <cell r="F6190">
            <v>674.61</v>
          </cell>
          <cell r="G6190">
            <v>0</v>
          </cell>
          <cell r="H6190">
            <v>62</v>
          </cell>
        </row>
        <row r="6191">
          <cell r="F6191">
            <v>1067.6300000000001</v>
          </cell>
          <cell r="G6191">
            <v>0</v>
          </cell>
          <cell r="H6191">
            <v>62</v>
          </cell>
        </row>
        <row r="6192">
          <cell r="F6192">
            <v>60</v>
          </cell>
          <cell r="G6192">
            <v>0</v>
          </cell>
          <cell r="H6192">
            <v>62</v>
          </cell>
        </row>
        <row r="6193">
          <cell r="F6193">
            <v>48.4</v>
          </cell>
          <cell r="G6193">
            <v>0</v>
          </cell>
          <cell r="H6193">
            <v>62</v>
          </cell>
        </row>
        <row r="6194">
          <cell r="F6194">
            <v>431.78</v>
          </cell>
          <cell r="G6194">
            <v>0</v>
          </cell>
          <cell r="H6194">
            <v>62</v>
          </cell>
        </row>
        <row r="6195">
          <cell r="F6195">
            <v>25.28</v>
          </cell>
          <cell r="G6195">
            <v>0</v>
          </cell>
          <cell r="H6195">
            <v>62</v>
          </cell>
        </row>
        <row r="6196">
          <cell r="F6196">
            <v>0</v>
          </cell>
          <cell r="G6196">
            <v>0</v>
          </cell>
          <cell r="H6196">
            <v>62</v>
          </cell>
        </row>
        <row r="6197">
          <cell r="F6197">
            <v>353.63</v>
          </cell>
          <cell r="G6197">
            <v>0</v>
          </cell>
          <cell r="H6197">
            <v>62</v>
          </cell>
        </row>
        <row r="6198">
          <cell r="F6198">
            <v>20.88</v>
          </cell>
          <cell r="G6198">
            <v>0</v>
          </cell>
          <cell r="H6198">
            <v>62</v>
          </cell>
        </row>
        <row r="6199">
          <cell r="F6199">
            <v>10115.31</v>
          </cell>
          <cell r="G6199">
            <v>0</v>
          </cell>
          <cell r="H6199">
            <v>62</v>
          </cell>
        </row>
        <row r="6200">
          <cell r="F6200">
            <v>10.77</v>
          </cell>
          <cell r="G6200">
            <v>0</v>
          </cell>
          <cell r="H6200">
            <v>62</v>
          </cell>
        </row>
        <row r="6201">
          <cell r="F6201">
            <v>16</v>
          </cell>
          <cell r="G6201">
            <v>0</v>
          </cell>
          <cell r="H6201">
            <v>62</v>
          </cell>
        </row>
        <row r="6202">
          <cell r="F6202">
            <v>10.77</v>
          </cell>
          <cell r="G6202">
            <v>0</v>
          </cell>
          <cell r="H6202">
            <v>62</v>
          </cell>
        </row>
        <row r="6203">
          <cell r="F6203">
            <v>28</v>
          </cell>
          <cell r="G6203">
            <v>0</v>
          </cell>
          <cell r="H6203">
            <v>62</v>
          </cell>
        </row>
        <row r="6204">
          <cell r="F6204">
            <v>10.77</v>
          </cell>
          <cell r="G6204">
            <v>0</v>
          </cell>
          <cell r="H6204">
            <v>62</v>
          </cell>
        </row>
        <row r="6205">
          <cell r="F6205">
            <v>12.72</v>
          </cell>
          <cell r="G6205">
            <v>0</v>
          </cell>
          <cell r="H6205">
            <v>62</v>
          </cell>
        </row>
        <row r="6206">
          <cell r="F6206">
            <v>10.77</v>
          </cell>
          <cell r="G6206">
            <v>0</v>
          </cell>
          <cell r="H6206">
            <v>62</v>
          </cell>
        </row>
        <row r="6207">
          <cell r="F6207">
            <v>10.77</v>
          </cell>
          <cell r="G6207">
            <v>0</v>
          </cell>
          <cell r="H6207">
            <v>62</v>
          </cell>
        </row>
        <row r="6208">
          <cell r="F6208">
            <v>21.54</v>
          </cell>
          <cell r="G6208">
            <v>0</v>
          </cell>
          <cell r="H6208">
            <v>62</v>
          </cell>
        </row>
        <row r="6209">
          <cell r="F6209">
            <v>50.86</v>
          </cell>
          <cell r="G6209">
            <v>0</v>
          </cell>
          <cell r="H6209">
            <v>62</v>
          </cell>
        </row>
        <row r="6210">
          <cell r="F6210">
            <v>83.61</v>
          </cell>
          <cell r="G6210">
            <v>0</v>
          </cell>
          <cell r="H6210">
            <v>62</v>
          </cell>
        </row>
        <row r="6211">
          <cell r="F6211">
            <v>28.310000000000002</v>
          </cell>
          <cell r="G6211">
            <v>0</v>
          </cell>
          <cell r="H6211">
            <v>62</v>
          </cell>
        </row>
        <row r="6212">
          <cell r="F6212">
            <v>10.77</v>
          </cell>
          <cell r="G6212">
            <v>0</v>
          </cell>
          <cell r="H6212">
            <v>62</v>
          </cell>
        </row>
        <row r="6213">
          <cell r="F6213">
            <v>16.72</v>
          </cell>
          <cell r="G6213">
            <v>0</v>
          </cell>
          <cell r="H6213">
            <v>62</v>
          </cell>
        </row>
        <row r="6214">
          <cell r="F6214">
            <v>1010.8</v>
          </cell>
          <cell r="G6214">
            <v>0</v>
          </cell>
          <cell r="H6214">
            <v>62</v>
          </cell>
        </row>
        <row r="6215">
          <cell r="F6215">
            <v>10.77</v>
          </cell>
          <cell r="G6215">
            <v>0</v>
          </cell>
          <cell r="H6215">
            <v>62</v>
          </cell>
        </row>
        <row r="6216">
          <cell r="F6216">
            <v>12.72</v>
          </cell>
          <cell r="G6216">
            <v>0</v>
          </cell>
          <cell r="H6216">
            <v>62</v>
          </cell>
        </row>
        <row r="6217">
          <cell r="F6217">
            <v>7.77</v>
          </cell>
          <cell r="G6217">
            <v>0</v>
          </cell>
          <cell r="H6217">
            <v>62</v>
          </cell>
        </row>
        <row r="6218">
          <cell r="F6218">
            <v>12.72</v>
          </cell>
          <cell r="G6218">
            <v>0</v>
          </cell>
          <cell r="H6218">
            <v>62</v>
          </cell>
        </row>
        <row r="6219">
          <cell r="F6219">
            <v>10.77</v>
          </cell>
          <cell r="G6219">
            <v>0</v>
          </cell>
          <cell r="H6219">
            <v>62</v>
          </cell>
        </row>
        <row r="6220">
          <cell r="F6220">
            <v>5018.3</v>
          </cell>
          <cell r="G6220">
            <v>0</v>
          </cell>
          <cell r="H6220">
            <v>62</v>
          </cell>
        </row>
        <row r="6221">
          <cell r="F6221">
            <v>2137.67</v>
          </cell>
          <cell r="G6221">
            <v>0</v>
          </cell>
          <cell r="H6221">
            <v>62</v>
          </cell>
        </row>
        <row r="6222">
          <cell r="F6222">
            <v>1.43</v>
          </cell>
          <cell r="G6222">
            <v>0</v>
          </cell>
          <cell r="H6222">
            <v>62</v>
          </cell>
        </row>
        <row r="6223">
          <cell r="F6223">
            <v>108</v>
          </cell>
          <cell r="G6223">
            <v>0</v>
          </cell>
          <cell r="H6223">
            <v>62</v>
          </cell>
        </row>
        <row r="6224">
          <cell r="F6224">
            <v>108</v>
          </cell>
          <cell r="G6224">
            <v>0</v>
          </cell>
          <cell r="H6224">
            <v>62</v>
          </cell>
        </row>
        <row r="6225">
          <cell r="F6225">
            <v>109.62</v>
          </cell>
          <cell r="G6225">
            <v>0</v>
          </cell>
          <cell r="H6225">
            <v>62</v>
          </cell>
        </row>
        <row r="6226">
          <cell r="F6226">
            <v>17.989999999999998</v>
          </cell>
          <cell r="G6226">
            <v>0</v>
          </cell>
          <cell r="H6226">
            <v>62</v>
          </cell>
        </row>
        <row r="6227">
          <cell r="F6227">
            <v>108</v>
          </cell>
          <cell r="G6227">
            <v>0</v>
          </cell>
          <cell r="H6227">
            <v>62</v>
          </cell>
        </row>
        <row r="6228">
          <cell r="F6228">
            <v>51.95</v>
          </cell>
          <cell r="G6228">
            <v>0</v>
          </cell>
          <cell r="H6228">
            <v>62</v>
          </cell>
        </row>
        <row r="6229">
          <cell r="F6229">
            <v>54</v>
          </cell>
          <cell r="G6229">
            <v>0</v>
          </cell>
          <cell r="H6229">
            <v>62</v>
          </cell>
        </row>
        <row r="6230">
          <cell r="F6230">
            <v>12.05</v>
          </cell>
          <cell r="G6230">
            <v>0</v>
          </cell>
          <cell r="H6230">
            <v>62</v>
          </cell>
        </row>
        <row r="6231">
          <cell r="F6231">
            <v>108</v>
          </cell>
          <cell r="G6231">
            <v>0</v>
          </cell>
          <cell r="H6231">
            <v>62</v>
          </cell>
        </row>
        <row r="6232">
          <cell r="F6232">
            <v>0</v>
          </cell>
          <cell r="G6232">
            <v>0</v>
          </cell>
          <cell r="H6232">
            <v>62</v>
          </cell>
        </row>
        <row r="6233">
          <cell r="F6233">
            <v>2.0499999999999998</v>
          </cell>
          <cell r="G6233">
            <v>0</v>
          </cell>
          <cell r="H6233">
            <v>62</v>
          </cell>
        </row>
        <row r="6234">
          <cell r="F6234">
            <v>39.07</v>
          </cell>
          <cell r="G6234">
            <v>0</v>
          </cell>
          <cell r="H6234">
            <v>62</v>
          </cell>
        </row>
        <row r="6235">
          <cell r="F6235">
            <v>924</v>
          </cell>
          <cell r="G6235">
            <v>0</v>
          </cell>
          <cell r="H6235">
            <v>62</v>
          </cell>
        </row>
        <row r="6236">
          <cell r="F6236">
            <v>108</v>
          </cell>
          <cell r="G6236">
            <v>0</v>
          </cell>
          <cell r="H6236">
            <v>62</v>
          </cell>
        </row>
        <row r="6237">
          <cell r="F6237">
            <v>108</v>
          </cell>
          <cell r="G6237">
            <v>0</v>
          </cell>
          <cell r="H6237">
            <v>62</v>
          </cell>
        </row>
        <row r="6238">
          <cell r="F6238">
            <v>611.4</v>
          </cell>
          <cell r="G6238">
            <v>0</v>
          </cell>
          <cell r="H6238">
            <v>62</v>
          </cell>
        </row>
        <row r="6239">
          <cell r="F6239">
            <v>7.5399999999999991</v>
          </cell>
          <cell r="G6239">
            <v>0</v>
          </cell>
          <cell r="H6239">
            <v>62</v>
          </cell>
        </row>
        <row r="6240">
          <cell r="F6240">
            <v>41.95</v>
          </cell>
          <cell r="G6240">
            <v>0</v>
          </cell>
          <cell r="H6240">
            <v>62</v>
          </cell>
        </row>
        <row r="6241">
          <cell r="F6241">
            <v>135</v>
          </cell>
          <cell r="G6241">
            <v>0</v>
          </cell>
          <cell r="H6241">
            <v>62</v>
          </cell>
        </row>
        <row r="6242">
          <cell r="F6242">
            <v>63</v>
          </cell>
          <cell r="G6242">
            <v>0</v>
          </cell>
          <cell r="H6242">
            <v>62</v>
          </cell>
        </row>
        <row r="6243">
          <cell r="F6243">
            <v>99</v>
          </cell>
          <cell r="G6243">
            <v>0</v>
          </cell>
          <cell r="H6243">
            <v>62</v>
          </cell>
        </row>
        <row r="6244">
          <cell r="F6244">
            <v>708</v>
          </cell>
          <cell r="G6244">
            <v>0</v>
          </cell>
          <cell r="H6244">
            <v>62</v>
          </cell>
        </row>
        <row r="6245">
          <cell r="F6245">
            <v>3756</v>
          </cell>
          <cell r="G6245">
            <v>0</v>
          </cell>
          <cell r="H6245">
            <v>62</v>
          </cell>
        </row>
        <row r="6246">
          <cell r="F6246">
            <v>567</v>
          </cell>
          <cell r="G6246">
            <v>0</v>
          </cell>
          <cell r="H6246">
            <v>62</v>
          </cell>
        </row>
        <row r="6247">
          <cell r="F6247">
            <v>270</v>
          </cell>
          <cell r="G6247">
            <v>0</v>
          </cell>
          <cell r="H6247">
            <v>62</v>
          </cell>
        </row>
        <row r="6248">
          <cell r="F6248">
            <v>108</v>
          </cell>
          <cell r="G6248">
            <v>0</v>
          </cell>
          <cell r="H6248">
            <v>62</v>
          </cell>
        </row>
        <row r="6249">
          <cell r="F6249">
            <v>54</v>
          </cell>
          <cell r="G6249">
            <v>0</v>
          </cell>
          <cell r="H6249">
            <v>62</v>
          </cell>
        </row>
        <row r="6250">
          <cell r="F6250">
            <v>270</v>
          </cell>
          <cell r="G6250">
            <v>0</v>
          </cell>
          <cell r="H6250">
            <v>62</v>
          </cell>
        </row>
        <row r="6251">
          <cell r="F6251">
            <v>168</v>
          </cell>
          <cell r="G6251">
            <v>0</v>
          </cell>
          <cell r="H6251">
            <v>62</v>
          </cell>
        </row>
        <row r="6252">
          <cell r="F6252">
            <v>79.38</v>
          </cell>
          <cell r="G6252">
            <v>0</v>
          </cell>
          <cell r="H6252">
            <v>62</v>
          </cell>
        </row>
        <row r="6253">
          <cell r="F6253">
            <v>54</v>
          </cell>
          <cell r="G6253">
            <v>0</v>
          </cell>
          <cell r="H6253">
            <v>62</v>
          </cell>
        </row>
        <row r="6254">
          <cell r="F6254">
            <v>10.46</v>
          </cell>
          <cell r="G6254">
            <v>0</v>
          </cell>
          <cell r="H6254">
            <v>62</v>
          </cell>
        </row>
        <row r="6255">
          <cell r="F6255">
            <v>162</v>
          </cell>
          <cell r="G6255">
            <v>0</v>
          </cell>
          <cell r="H6255">
            <v>62</v>
          </cell>
        </row>
        <row r="6256">
          <cell r="F6256">
            <v>1100</v>
          </cell>
          <cell r="G6256">
            <v>0</v>
          </cell>
          <cell r="H6256">
            <v>62</v>
          </cell>
        </row>
        <row r="6257">
          <cell r="F6257">
            <v>6682</v>
          </cell>
          <cell r="G6257">
            <v>0</v>
          </cell>
          <cell r="H6257">
            <v>62</v>
          </cell>
        </row>
        <row r="6258">
          <cell r="F6258">
            <v>67.5</v>
          </cell>
          <cell r="G6258">
            <v>0</v>
          </cell>
          <cell r="H6258">
            <v>62</v>
          </cell>
        </row>
        <row r="6259">
          <cell r="F6259">
            <v>90.01</v>
          </cell>
          <cell r="G6259">
            <v>0</v>
          </cell>
          <cell r="H6259">
            <v>62</v>
          </cell>
        </row>
        <row r="6260">
          <cell r="F6260">
            <v>36</v>
          </cell>
          <cell r="G6260">
            <v>0</v>
          </cell>
          <cell r="H6260">
            <v>62</v>
          </cell>
        </row>
        <row r="6261">
          <cell r="F6261">
            <v>336.57</v>
          </cell>
          <cell r="G6261">
            <v>0</v>
          </cell>
          <cell r="H6261">
            <v>62</v>
          </cell>
        </row>
        <row r="6262">
          <cell r="F6262">
            <v>0</v>
          </cell>
          <cell r="G6262">
            <v>0</v>
          </cell>
          <cell r="H6262">
            <v>62</v>
          </cell>
        </row>
        <row r="6263">
          <cell r="F6263">
            <v>0</v>
          </cell>
          <cell r="G6263">
            <v>0</v>
          </cell>
          <cell r="H6263">
            <v>62</v>
          </cell>
        </row>
        <row r="6264">
          <cell r="F6264">
            <v>0</v>
          </cell>
          <cell r="G6264">
            <v>0</v>
          </cell>
          <cell r="H6264">
            <v>62</v>
          </cell>
        </row>
        <row r="6265">
          <cell r="F6265">
            <v>0</v>
          </cell>
          <cell r="G6265">
            <v>0</v>
          </cell>
          <cell r="H6265">
            <v>62</v>
          </cell>
        </row>
        <row r="6266">
          <cell r="F6266">
            <v>0</v>
          </cell>
          <cell r="G6266">
            <v>0</v>
          </cell>
          <cell r="H6266">
            <v>62</v>
          </cell>
        </row>
        <row r="6267">
          <cell r="F6267">
            <v>0</v>
          </cell>
          <cell r="G6267">
            <v>0</v>
          </cell>
          <cell r="H6267">
            <v>62</v>
          </cell>
        </row>
        <row r="6268">
          <cell r="F6268">
            <v>0</v>
          </cell>
          <cell r="G6268">
            <v>0</v>
          </cell>
          <cell r="H6268">
            <v>62</v>
          </cell>
        </row>
        <row r="6269">
          <cell r="F6269">
            <v>0</v>
          </cell>
          <cell r="G6269">
            <v>0</v>
          </cell>
          <cell r="H6269">
            <v>62</v>
          </cell>
        </row>
        <row r="6270">
          <cell r="F6270">
            <v>0</v>
          </cell>
          <cell r="G6270">
            <v>0</v>
          </cell>
          <cell r="H6270">
            <v>62</v>
          </cell>
        </row>
        <row r="6271">
          <cell r="F6271">
            <v>0</v>
          </cell>
          <cell r="G6271">
            <v>0</v>
          </cell>
          <cell r="H6271">
            <v>62</v>
          </cell>
        </row>
        <row r="6272">
          <cell r="F6272">
            <v>0</v>
          </cell>
          <cell r="G6272">
            <v>0</v>
          </cell>
          <cell r="H6272">
            <v>62</v>
          </cell>
        </row>
        <row r="6273">
          <cell r="F6273">
            <v>0</v>
          </cell>
          <cell r="G6273">
            <v>0</v>
          </cell>
          <cell r="H6273">
            <v>62</v>
          </cell>
        </row>
        <row r="6274">
          <cell r="F6274">
            <v>0</v>
          </cell>
          <cell r="G6274">
            <v>0</v>
          </cell>
          <cell r="H6274">
            <v>62</v>
          </cell>
        </row>
        <row r="6275">
          <cell r="F6275">
            <v>0</v>
          </cell>
          <cell r="G6275">
            <v>0</v>
          </cell>
          <cell r="H6275">
            <v>62</v>
          </cell>
        </row>
        <row r="6276">
          <cell r="F6276">
            <v>0</v>
          </cell>
          <cell r="G6276">
            <v>0</v>
          </cell>
          <cell r="H6276">
            <v>62</v>
          </cell>
        </row>
        <row r="6277">
          <cell r="F6277">
            <v>0</v>
          </cell>
          <cell r="G6277">
            <v>0</v>
          </cell>
          <cell r="H6277">
            <v>62</v>
          </cell>
        </row>
        <row r="6278">
          <cell r="F6278">
            <v>0</v>
          </cell>
          <cell r="G6278">
            <v>0</v>
          </cell>
          <cell r="H6278">
            <v>62</v>
          </cell>
        </row>
        <row r="6279">
          <cell r="F6279">
            <v>0</v>
          </cell>
          <cell r="G6279">
            <v>0</v>
          </cell>
          <cell r="H6279">
            <v>62</v>
          </cell>
        </row>
        <row r="6280">
          <cell r="F6280">
            <v>0</v>
          </cell>
          <cell r="G6280">
            <v>0</v>
          </cell>
          <cell r="H6280">
            <v>62</v>
          </cell>
        </row>
        <row r="6281">
          <cell r="F6281">
            <v>0</v>
          </cell>
          <cell r="G6281">
            <v>0</v>
          </cell>
          <cell r="H6281">
            <v>62</v>
          </cell>
        </row>
        <row r="6282">
          <cell r="F6282">
            <v>0</v>
          </cell>
          <cell r="G6282">
            <v>0</v>
          </cell>
          <cell r="H6282">
            <v>62</v>
          </cell>
        </row>
        <row r="6283">
          <cell r="F6283">
            <v>0</v>
          </cell>
          <cell r="G6283">
            <v>0</v>
          </cell>
          <cell r="H6283">
            <v>62</v>
          </cell>
        </row>
        <row r="6284">
          <cell r="F6284">
            <v>0</v>
          </cell>
          <cell r="G6284">
            <v>0</v>
          </cell>
          <cell r="H6284">
            <v>62</v>
          </cell>
        </row>
        <row r="6285">
          <cell r="F6285">
            <v>0</v>
          </cell>
          <cell r="G6285">
            <v>0</v>
          </cell>
          <cell r="H6285">
            <v>62</v>
          </cell>
        </row>
        <row r="6286">
          <cell r="F6286">
            <v>0</v>
          </cell>
          <cell r="G6286">
            <v>0</v>
          </cell>
          <cell r="H6286">
            <v>62</v>
          </cell>
        </row>
        <row r="6287">
          <cell r="F6287">
            <v>0</v>
          </cell>
          <cell r="G6287">
            <v>0</v>
          </cell>
          <cell r="H6287">
            <v>62</v>
          </cell>
        </row>
        <row r="6288">
          <cell r="F6288">
            <v>0</v>
          </cell>
          <cell r="G6288">
            <v>0</v>
          </cell>
          <cell r="H6288">
            <v>62</v>
          </cell>
        </row>
        <row r="6289">
          <cell r="F6289">
            <v>0</v>
          </cell>
          <cell r="G6289">
            <v>0</v>
          </cell>
          <cell r="H6289">
            <v>62</v>
          </cell>
        </row>
        <row r="6290">
          <cell r="F6290">
            <v>0</v>
          </cell>
          <cell r="G6290">
            <v>0</v>
          </cell>
          <cell r="H6290">
            <v>62</v>
          </cell>
        </row>
        <row r="6291">
          <cell r="F6291">
            <v>0</v>
          </cell>
          <cell r="G6291">
            <v>0</v>
          </cell>
          <cell r="H6291">
            <v>62</v>
          </cell>
        </row>
        <row r="6292">
          <cell r="F6292">
            <v>0</v>
          </cell>
          <cell r="G6292">
            <v>0</v>
          </cell>
          <cell r="H6292">
            <v>62</v>
          </cell>
        </row>
        <row r="6293">
          <cell r="F6293">
            <v>0</v>
          </cell>
          <cell r="G6293">
            <v>0</v>
          </cell>
          <cell r="H6293">
            <v>62</v>
          </cell>
        </row>
        <row r="6294">
          <cell r="F6294">
            <v>0</v>
          </cell>
          <cell r="G6294">
            <v>0</v>
          </cell>
          <cell r="H6294">
            <v>62</v>
          </cell>
        </row>
        <row r="6295">
          <cell r="F6295">
            <v>0</v>
          </cell>
          <cell r="G6295">
            <v>0</v>
          </cell>
          <cell r="H6295">
            <v>62</v>
          </cell>
        </row>
        <row r="6296">
          <cell r="F6296">
            <v>0</v>
          </cell>
          <cell r="G6296">
            <v>0</v>
          </cell>
          <cell r="H6296">
            <v>62</v>
          </cell>
        </row>
        <row r="6297">
          <cell r="F6297">
            <v>0</v>
          </cell>
          <cell r="G6297">
            <v>0</v>
          </cell>
          <cell r="H6297">
            <v>62</v>
          </cell>
        </row>
        <row r="6298">
          <cell r="F6298">
            <v>0</v>
          </cell>
          <cell r="G6298">
            <v>0</v>
          </cell>
          <cell r="H6298">
            <v>62</v>
          </cell>
        </row>
        <row r="6299">
          <cell r="F6299">
            <v>0</v>
          </cell>
          <cell r="G6299">
            <v>0</v>
          </cell>
          <cell r="H6299">
            <v>62</v>
          </cell>
        </row>
        <row r="6300">
          <cell r="F6300">
            <v>0</v>
          </cell>
          <cell r="G6300">
            <v>0</v>
          </cell>
          <cell r="H6300">
            <v>62</v>
          </cell>
        </row>
        <row r="6301">
          <cell r="F6301">
            <v>0</v>
          </cell>
          <cell r="G6301">
            <v>0</v>
          </cell>
          <cell r="H6301">
            <v>62</v>
          </cell>
        </row>
        <row r="6302">
          <cell r="F6302">
            <v>0</v>
          </cell>
          <cell r="G6302">
            <v>0</v>
          </cell>
          <cell r="H6302">
            <v>62</v>
          </cell>
        </row>
        <row r="6303">
          <cell r="F6303">
            <v>0</v>
          </cell>
          <cell r="G6303">
            <v>0</v>
          </cell>
          <cell r="H6303">
            <v>62</v>
          </cell>
        </row>
        <row r="6304">
          <cell r="F6304">
            <v>0</v>
          </cell>
          <cell r="G6304">
            <v>0</v>
          </cell>
          <cell r="H6304">
            <v>62</v>
          </cell>
        </row>
        <row r="6305">
          <cell r="F6305">
            <v>0</v>
          </cell>
          <cell r="G6305">
            <v>0</v>
          </cell>
          <cell r="H6305">
            <v>62</v>
          </cell>
        </row>
        <row r="6306">
          <cell r="F6306">
            <v>0</v>
          </cell>
          <cell r="G6306">
            <v>0</v>
          </cell>
          <cell r="H6306">
            <v>62</v>
          </cell>
        </row>
        <row r="6307">
          <cell r="F6307">
            <v>0</v>
          </cell>
          <cell r="G6307">
            <v>0</v>
          </cell>
          <cell r="H6307">
            <v>62</v>
          </cell>
        </row>
        <row r="6308">
          <cell r="F6308">
            <v>0</v>
          </cell>
          <cell r="G6308">
            <v>0</v>
          </cell>
          <cell r="H6308">
            <v>62</v>
          </cell>
        </row>
        <row r="6309">
          <cell r="F6309">
            <v>0</v>
          </cell>
          <cell r="G6309">
            <v>0</v>
          </cell>
          <cell r="H6309">
            <v>62</v>
          </cell>
        </row>
        <row r="6310">
          <cell r="F6310">
            <v>0</v>
          </cell>
          <cell r="G6310">
            <v>0</v>
          </cell>
          <cell r="H6310">
            <v>62</v>
          </cell>
        </row>
        <row r="6311">
          <cell r="F6311">
            <v>0</v>
          </cell>
          <cell r="G6311">
            <v>0</v>
          </cell>
          <cell r="H6311">
            <v>62</v>
          </cell>
        </row>
        <row r="6312">
          <cell r="F6312">
            <v>0</v>
          </cell>
          <cell r="G6312">
            <v>0</v>
          </cell>
          <cell r="H6312">
            <v>62</v>
          </cell>
        </row>
        <row r="6313">
          <cell r="F6313">
            <v>0</v>
          </cell>
          <cell r="G6313">
            <v>0</v>
          </cell>
          <cell r="H6313">
            <v>62</v>
          </cell>
        </row>
        <row r="6314">
          <cell r="F6314">
            <v>0</v>
          </cell>
          <cell r="G6314">
            <v>0</v>
          </cell>
          <cell r="H6314">
            <v>62</v>
          </cell>
        </row>
        <row r="6315">
          <cell r="F6315">
            <v>0</v>
          </cell>
          <cell r="G6315">
            <v>0</v>
          </cell>
          <cell r="H6315">
            <v>62</v>
          </cell>
        </row>
        <row r="6316">
          <cell r="F6316">
            <v>0</v>
          </cell>
          <cell r="G6316">
            <v>0</v>
          </cell>
          <cell r="H6316">
            <v>62</v>
          </cell>
        </row>
        <row r="6317">
          <cell r="F6317">
            <v>0</v>
          </cell>
          <cell r="G6317">
            <v>0</v>
          </cell>
          <cell r="H6317">
            <v>62</v>
          </cell>
        </row>
        <row r="6318">
          <cell r="F6318">
            <v>0</v>
          </cell>
          <cell r="G6318">
            <v>0</v>
          </cell>
          <cell r="H6318">
            <v>62</v>
          </cell>
        </row>
        <row r="6319">
          <cell r="F6319">
            <v>0</v>
          </cell>
          <cell r="G6319">
            <v>0</v>
          </cell>
          <cell r="H6319">
            <v>62</v>
          </cell>
        </row>
        <row r="6320">
          <cell r="F6320">
            <v>0</v>
          </cell>
          <cell r="G6320">
            <v>0</v>
          </cell>
          <cell r="H6320">
            <v>62</v>
          </cell>
        </row>
        <row r="6321">
          <cell r="F6321">
            <v>0</v>
          </cell>
          <cell r="G6321">
            <v>0</v>
          </cell>
          <cell r="H6321">
            <v>62</v>
          </cell>
        </row>
        <row r="6322">
          <cell r="F6322">
            <v>0</v>
          </cell>
          <cell r="G6322">
            <v>0</v>
          </cell>
          <cell r="H6322">
            <v>62</v>
          </cell>
        </row>
        <row r="6323">
          <cell r="F6323">
            <v>0</v>
          </cell>
          <cell r="G6323">
            <v>0</v>
          </cell>
          <cell r="H6323">
            <v>62</v>
          </cell>
        </row>
        <row r="6324">
          <cell r="F6324">
            <v>0</v>
          </cell>
          <cell r="G6324">
            <v>0</v>
          </cell>
          <cell r="H6324">
            <v>62</v>
          </cell>
        </row>
        <row r="6325">
          <cell r="F6325">
            <v>0</v>
          </cell>
          <cell r="G6325">
            <v>0</v>
          </cell>
          <cell r="H6325">
            <v>62</v>
          </cell>
        </row>
        <row r="6326">
          <cell r="F6326">
            <v>0</v>
          </cell>
          <cell r="G6326">
            <v>0</v>
          </cell>
          <cell r="H6326">
            <v>62</v>
          </cell>
        </row>
        <row r="6327">
          <cell r="F6327">
            <v>0</v>
          </cell>
          <cell r="G6327">
            <v>0</v>
          </cell>
          <cell r="H6327">
            <v>62</v>
          </cell>
        </row>
        <row r="6328">
          <cell r="F6328">
            <v>0</v>
          </cell>
          <cell r="G6328">
            <v>0</v>
          </cell>
          <cell r="H6328">
            <v>62</v>
          </cell>
        </row>
        <row r="6329">
          <cell r="F6329">
            <v>0</v>
          </cell>
          <cell r="G6329">
            <v>0</v>
          </cell>
          <cell r="H6329">
            <v>62</v>
          </cell>
        </row>
        <row r="6330">
          <cell r="F6330">
            <v>0</v>
          </cell>
          <cell r="G6330">
            <v>0</v>
          </cell>
          <cell r="H6330">
            <v>62</v>
          </cell>
        </row>
        <row r="6331">
          <cell r="F6331">
            <v>0</v>
          </cell>
          <cell r="G6331">
            <v>0</v>
          </cell>
          <cell r="H6331">
            <v>62</v>
          </cell>
        </row>
        <row r="6332">
          <cell r="F6332">
            <v>0</v>
          </cell>
          <cell r="G6332">
            <v>0</v>
          </cell>
          <cell r="H6332">
            <v>62</v>
          </cell>
        </row>
        <row r="6333">
          <cell r="F6333">
            <v>0</v>
          </cell>
          <cell r="G6333">
            <v>0</v>
          </cell>
          <cell r="H6333">
            <v>62</v>
          </cell>
        </row>
        <row r="6334">
          <cell r="F6334">
            <v>0</v>
          </cell>
          <cell r="G6334">
            <v>0</v>
          </cell>
          <cell r="H6334">
            <v>62</v>
          </cell>
        </row>
        <row r="6335">
          <cell r="F6335">
            <v>0</v>
          </cell>
          <cell r="G6335">
            <v>0</v>
          </cell>
          <cell r="H6335">
            <v>62</v>
          </cell>
        </row>
        <row r="6336">
          <cell r="F6336">
            <v>0</v>
          </cell>
          <cell r="G6336">
            <v>0</v>
          </cell>
          <cell r="H6336">
            <v>62</v>
          </cell>
        </row>
        <row r="6337">
          <cell r="F6337">
            <v>0</v>
          </cell>
          <cell r="G6337">
            <v>0</v>
          </cell>
          <cell r="H6337">
            <v>62</v>
          </cell>
        </row>
        <row r="6338">
          <cell r="F6338">
            <v>0</v>
          </cell>
          <cell r="G6338">
            <v>0</v>
          </cell>
          <cell r="H6338">
            <v>62</v>
          </cell>
        </row>
        <row r="6339">
          <cell r="F6339">
            <v>0</v>
          </cell>
          <cell r="G6339">
            <v>0</v>
          </cell>
          <cell r="H6339">
            <v>62</v>
          </cell>
        </row>
        <row r="6340">
          <cell r="F6340">
            <v>0</v>
          </cell>
          <cell r="G6340">
            <v>0</v>
          </cell>
          <cell r="H6340">
            <v>62</v>
          </cell>
        </row>
        <row r="6341">
          <cell r="F6341">
            <v>0</v>
          </cell>
          <cell r="G6341">
            <v>0</v>
          </cell>
          <cell r="H6341">
            <v>62</v>
          </cell>
        </row>
        <row r="6342">
          <cell r="F6342">
            <v>0</v>
          </cell>
          <cell r="G6342">
            <v>0</v>
          </cell>
          <cell r="H6342">
            <v>62</v>
          </cell>
        </row>
        <row r="6343">
          <cell r="F6343">
            <v>0</v>
          </cell>
          <cell r="G6343">
            <v>0</v>
          </cell>
          <cell r="H6343">
            <v>62</v>
          </cell>
        </row>
        <row r="6344">
          <cell r="F6344">
            <v>0</v>
          </cell>
          <cell r="G6344">
            <v>0</v>
          </cell>
          <cell r="H6344">
            <v>62</v>
          </cell>
        </row>
        <row r="6345">
          <cell r="F6345">
            <v>0</v>
          </cell>
          <cell r="G6345">
            <v>0</v>
          </cell>
          <cell r="H6345">
            <v>62</v>
          </cell>
        </row>
        <row r="6346">
          <cell r="F6346">
            <v>0</v>
          </cell>
          <cell r="G6346">
            <v>0</v>
          </cell>
          <cell r="H6346">
            <v>62</v>
          </cell>
        </row>
        <row r="6347">
          <cell r="F6347">
            <v>0</v>
          </cell>
          <cell r="G6347">
            <v>0</v>
          </cell>
          <cell r="H6347">
            <v>62</v>
          </cell>
        </row>
        <row r="6348">
          <cell r="F6348">
            <v>0</v>
          </cell>
          <cell r="G6348">
            <v>0</v>
          </cell>
          <cell r="H6348">
            <v>62</v>
          </cell>
        </row>
        <row r="6349">
          <cell r="F6349">
            <v>0</v>
          </cell>
          <cell r="G6349">
            <v>0</v>
          </cell>
          <cell r="H6349">
            <v>62</v>
          </cell>
        </row>
        <row r="6350">
          <cell r="F6350">
            <v>0</v>
          </cell>
          <cell r="G6350">
            <v>0</v>
          </cell>
          <cell r="H6350">
            <v>62</v>
          </cell>
        </row>
        <row r="6351">
          <cell r="F6351">
            <v>0</v>
          </cell>
          <cell r="G6351">
            <v>0</v>
          </cell>
          <cell r="H6351">
            <v>62</v>
          </cell>
        </row>
        <row r="6352">
          <cell r="F6352">
            <v>0</v>
          </cell>
          <cell r="G6352">
            <v>0</v>
          </cell>
          <cell r="H6352">
            <v>62</v>
          </cell>
        </row>
        <row r="6353">
          <cell r="F6353">
            <v>0</v>
          </cell>
          <cell r="G6353">
            <v>0</v>
          </cell>
          <cell r="H6353">
            <v>62</v>
          </cell>
        </row>
        <row r="6354">
          <cell r="F6354">
            <v>0</v>
          </cell>
          <cell r="G6354">
            <v>0</v>
          </cell>
          <cell r="H6354">
            <v>62</v>
          </cell>
        </row>
        <row r="6355">
          <cell r="F6355">
            <v>0</v>
          </cell>
          <cell r="G6355">
            <v>0</v>
          </cell>
          <cell r="H6355">
            <v>62</v>
          </cell>
        </row>
        <row r="6356">
          <cell r="F6356">
            <v>0</v>
          </cell>
          <cell r="G6356">
            <v>0</v>
          </cell>
          <cell r="H6356">
            <v>62</v>
          </cell>
        </row>
        <row r="6357">
          <cell r="F6357">
            <v>0</v>
          </cell>
          <cell r="G6357">
            <v>0</v>
          </cell>
          <cell r="H6357">
            <v>62</v>
          </cell>
        </row>
        <row r="6358">
          <cell r="F6358">
            <v>0</v>
          </cell>
          <cell r="G6358">
            <v>0</v>
          </cell>
          <cell r="H6358">
            <v>62</v>
          </cell>
        </row>
        <row r="6359">
          <cell r="F6359">
            <v>0</v>
          </cell>
          <cell r="G6359">
            <v>0</v>
          </cell>
          <cell r="H6359">
            <v>62</v>
          </cell>
        </row>
        <row r="6360">
          <cell r="F6360">
            <v>0</v>
          </cell>
          <cell r="G6360">
            <v>0</v>
          </cell>
          <cell r="H6360">
            <v>62</v>
          </cell>
        </row>
        <row r="6361">
          <cell r="F6361">
            <v>0</v>
          </cell>
          <cell r="G6361">
            <v>0</v>
          </cell>
          <cell r="H6361">
            <v>62</v>
          </cell>
        </row>
        <row r="6362">
          <cell r="F6362">
            <v>0</v>
          </cell>
          <cell r="G6362">
            <v>0</v>
          </cell>
          <cell r="H6362">
            <v>62</v>
          </cell>
        </row>
        <row r="6363">
          <cell r="F6363">
            <v>0</v>
          </cell>
          <cell r="G6363">
            <v>0</v>
          </cell>
          <cell r="H6363">
            <v>62</v>
          </cell>
        </row>
        <row r="6364">
          <cell r="F6364">
            <v>0</v>
          </cell>
          <cell r="G6364">
            <v>0</v>
          </cell>
          <cell r="H6364">
            <v>62</v>
          </cell>
        </row>
        <row r="6365">
          <cell r="F6365">
            <v>0</v>
          </cell>
          <cell r="G6365">
            <v>0</v>
          </cell>
          <cell r="H6365">
            <v>62</v>
          </cell>
        </row>
        <row r="6366">
          <cell r="F6366">
            <v>0</v>
          </cell>
          <cell r="G6366">
            <v>0</v>
          </cell>
          <cell r="H6366">
            <v>62</v>
          </cell>
        </row>
        <row r="6367">
          <cell r="F6367">
            <v>0</v>
          </cell>
          <cell r="G6367">
            <v>0</v>
          </cell>
          <cell r="H6367">
            <v>62</v>
          </cell>
        </row>
        <row r="6368">
          <cell r="F6368">
            <v>0</v>
          </cell>
          <cell r="G6368">
            <v>0</v>
          </cell>
          <cell r="H6368">
            <v>62</v>
          </cell>
        </row>
        <row r="6369">
          <cell r="F6369">
            <v>0</v>
          </cell>
          <cell r="G6369">
            <v>0</v>
          </cell>
          <cell r="H6369">
            <v>62</v>
          </cell>
        </row>
        <row r="6370">
          <cell r="F6370">
            <v>0</v>
          </cell>
          <cell r="G6370">
            <v>0</v>
          </cell>
          <cell r="H6370">
            <v>62</v>
          </cell>
        </row>
        <row r="6371">
          <cell r="F6371">
            <v>0</v>
          </cell>
          <cell r="G6371">
            <v>0</v>
          </cell>
          <cell r="H6371">
            <v>62</v>
          </cell>
        </row>
        <row r="6372">
          <cell r="F6372">
            <v>0</v>
          </cell>
          <cell r="G6372">
            <v>0</v>
          </cell>
          <cell r="H6372">
            <v>62</v>
          </cell>
        </row>
        <row r="6373">
          <cell r="F6373">
            <v>0</v>
          </cell>
          <cell r="G6373">
            <v>0</v>
          </cell>
          <cell r="H6373">
            <v>62</v>
          </cell>
        </row>
        <row r="6374">
          <cell r="F6374">
            <v>0</v>
          </cell>
          <cell r="G6374">
            <v>0</v>
          </cell>
          <cell r="H6374">
            <v>62</v>
          </cell>
        </row>
        <row r="6375">
          <cell r="F6375">
            <v>0</v>
          </cell>
          <cell r="G6375">
            <v>0</v>
          </cell>
          <cell r="H6375">
            <v>62</v>
          </cell>
        </row>
        <row r="6376">
          <cell r="F6376">
            <v>0</v>
          </cell>
          <cell r="G6376">
            <v>0</v>
          </cell>
          <cell r="H6376">
            <v>62</v>
          </cell>
        </row>
        <row r="6377">
          <cell r="F6377">
            <v>0</v>
          </cell>
          <cell r="G6377">
            <v>0</v>
          </cell>
          <cell r="H6377">
            <v>62</v>
          </cell>
        </row>
        <row r="6378">
          <cell r="F6378">
            <v>0</v>
          </cell>
          <cell r="G6378">
            <v>0</v>
          </cell>
          <cell r="H6378">
            <v>62</v>
          </cell>
        </row>
        <row r="6379">
          <cell r="F6379">
            <v>0</v>
          </cell>
          <cell r="G6379">
            <v>0</v>
          </cell>
          <cell r="H6379">
            <v>62</v>
          </cell>
        </row>
        <row r="6380">
          <cell r="F6380">
            <v>0</v>
          </cell>
          <cell r="G6380">
            <v>0</v>
          </cell>
          <cell r="H6380">
            <v>62</v>
          </cell>
        </row>
        <row r="6381">
          <cell r="F6381">
            <v>0</v>
          </cell>
          <cell r="G6381">
            <v>0</v>
          </cell>
          <cell r="H6381">
            <v>62</v>
          </cell>
        </row>
        <row r="6382">
          <cell r="F6382">
            <v>0</v>
          </cell>
          <cell r="G6382">
            <v>0</v>
          </cell>
          <cell r="H6382">
            <v>62</v>
          </cell>
        </row>
        <row r="6383">
          <cell r="F6383">
            <v>0</v>
          </cell>
          <cell r="G6383">
            <v>0</v>
          </cell>
          <cell r="H6383">
            <v>62</v>
          </cell>
        </row>
        <row r="6384">
          <cell r="F6384">
            <v>0</v>
          </cell>
          <cell r="G6384">
            <v>0</v>
          </cell>
          <cell r="H6384">
            <v>62</v>
          </cell>
        </row>
        <row r="6385">
          <cell r="F6385">
            <v>0</v>
          </cell>
          <cell r="G6385">
            <v>0</v>
          </cell>
          <cell r="H6385">
            <v>62</v>
          </cell>
        </row>
        <row r="6386">
          <cell r="F6386">
            <v>0</v>
          </cell>
          <cell r="G6386">
            <v>0</v>
          </cell>
          <cell r="H6386">
            <v>62</v>
          </cell>
        </row>
        <row r="6387">
          <cell r="F6387">
            <v>0</v>
          </cell>
          <cell r="G6387">
            <v>0</v>
          </cell>
          <cell r="H6387">
            <v>62</v>
          </cell>
        </row>
        <row r="6388">
          <cell r="F6388">
            <v>0</v>
          </cell>
          <cell r="G6388">
            <v>0</v>
          </cell>
          <cell r="H6388">
            <v>62</v>
          </cell>
        </row>
        <row r="6389">
          <cell r="F6389">
            <v>0</v>
          </cell>
          <cell r="G6389">
            <v>0</v>
          </cell>
          <cell r="H6389">
            <v>62</v>
          </cell>
        </row>
        <row r="6390">
          <cell r="F6390">
            <v>0</v>
          </cell>
          <cell r="G6390">
            <v>0</v>
          </cell>
          <cell r="H6390">
            <v>62</v>
          </cell>
        </row>
        <row r="6391">
          <cell r="F6391">
            <v>0</v>
          </cell>
          <cell r="G6391">
            <v>0</v>
          </cell>
          <cell r="H6391">
            <v>62</v>
          </cell>
        </row>
        <row r="6392">
          <cell r="F6392">
            <v>0</v>
          </cell>
          <cell r="G6392">
            <v>0</v>
          </cell>
          <cell r="H6392">
            <v>62</v>
          </cell>
        </row>
        <row r="6393">
          <cell r="F6393">
            <v>0</v>
          </cell>
          <cell r="G6393">
            <v>0</v>
          </cell>
          <cell r="H6393">
            <v>62</v>
          </cell>
        </row>
        <row r="6394">
          <cell r="F6394">
            <v>0</v>
          </cell>
          <cell r="G6394">
            <v>0</v>
          </cell>
          <cell r="H6394">
            <v>62</v>
          </cell>
        </row>
        <row r="6395">
          <cell r="F6395">
            <v>0</v>
          </cell>
          <cell r="G6395">
            <v>0</v>
          </cell>
          <cell r="H6395">
            <v>62</v>
          </cell>
        </row>
        <row r="6396">
          <cell r="F6396">
            <v>0</v>
          </cell>
          <cell r="G6396">
            <v>0</v>
          </cell>
          <cell r="H6396">
            <v>62</v>
          </cell>
        </row>
        <row r="6397">
          <cell r="F6397">
            <v>0</v>
          </cell>
          <cell r="G6397">
            <v>0</v>
          </cell>
          <cell r="H6397">
            <v>62</v>
          </cell>
        </row>
        <row r="6398">
          <cell r="F6398">
            <v>17.899999999999999</v>
          </cell>
          <cell r="G6398">
            <v>0</v>
          </cell>
          <cell r="H6398">
            <v>62</v>
          </cell>
        </row>
        <row r="6399">
          <cell r="F6399">
            <v>355.6</v>
          </cell>
          <cell r="G6399">
            <v>0</v>
          </cell>
          <cell r="H6399">
            <v>62</v>
          </cell>
        </row>
        <row r="6400">
          <cell r="F6400">
            <v>24.370000000000005</v>
          </cell>
          <cell r="G6400">
            <v>0</v>
          </cell>
          <cell r="H6400">
            <v>62</v>
          </cell>
        </row>
        <row r="6401">
          <cell r="F6401">
            <v>54.05</v>
          </cell>
          <cell r="G6401">
            <v>0</v>
          </cell>
          <cell r="H6401">
            <v>62</v>
          </cell>
        </row>
        <row r="6402">
          <cell r="F6402">
            <v>27</v>
          </cell>
          <cell r="G6402">
            <v>0</v>
          </cell>
          <cell r="H6402">
            <v>62</v>
          </cell>
        </row>
        <row r="6403">
          <cell r="F6403">
            <v>95.92</v>
          </cell>
          <cell r="G6403">
            <v>0</v>
          </cell>
          <cell r="H6403">
            <v>62</v>
          </cell>
        </row>
        <row r="6404">
          <cell r="F6404">
            <v>403.8</v>
          </cell>
          <cell r="G6404">
            <v>0</v>
          </cell>
          <cell r="H6404">
            <v>62</v>
          </cell>
        </row>
        <row r="6405">
          <cell r="F6405">
            <v>272.68</v>
          </cell>
          <cell r="G6405">
            <v>0</v>
          </cell>
          <cell r="H6405">
            <v>62</v>
          </cell>
        </row>
        <row r="6406">
          <cell r="F6406">
            <v>726.83</v>
          </cell>
          <cell r="G6406">
            <v>0</v>
          </cell>
          <cell r="H6406">
            <v>62</v>
          </cell>
        </row>
        <row r="6407">
          <cell r="F6407">
            <v>981.3900000000001</v>
          </cell>
          <cell r="G6407">
            <v>0</v>
          </cell>
          <cell r="H6407">
            <v>62</v>
          </cell>
        </row>
        <row r="6408">
          <cell r="F6408">
            <v>69.55</v>
          </cell>
          <cell r="G6408">
            <v>0</v>
          </cell>
          <cell r="H6408">
            <v>62</v>
          </cell>
        </row>
        <row r="6409">
          <cell r="F6409">
            <v>270</v>
          </cell>
          <cell r="G6409">
            <v>0</v>
          </cell>
          <cell r="H6409">
            <v>62</v>
          </cell>
        </row>
        <row r="6410">
          <cell r="F6410">
            <v>615.61</v>
          </cell>
          <cell r="G6410">
            <v>0</v>
          </cell>
          <cell r="H6410">
            <v>62</v>
          </cell>
        </row>
        <row r="6411">
          <cell r="F6411">
            <v>829.83</v>
          </cell>
          <cell r="G6411">
            <v>0</v>
          </cell>
          <cell r="H6411">
            <v>62</v>
          </cell>
        </row>
        <row r="6412">
          <cell r="F6412">
            <v>307.18</v>
          </cell>
          <cell r="G6412">
            <v>0</v>
          </cell>
          <cell r="H6412">
            <v>62</v>
          </cell>
        </row>
        <row r="6413">
          <cell r="F6413">
            <v>427</v>
          </cell>
          <cell r="G6413">
            <v>0</v>
          </cell>
          <cell r="H6413">
            <v>62</v>
          </cell>
        </row>
        <row r="6414">
          <cell r="F6414">
            <v>263.7</v>
          </cell>
          <cell r="G6414">
            <v>0</v>
          </cell>
          <cell r="H6414">
            <v>62</v>
          </cell>
        </row>
        <row r="6415">
          <cell r="F6415">
            <v>1065.8200000000002</v>
          </cell>
          <cell r="G6415">
            <v>0</v>
          </cell>
          <cell r="H6415">
            <v>62</v>
          </cell>
        </row>
        <row r="6416">
          <cell r="F6416">
            <v>11.45</v>
          </cell>
          <cell r="G6416">
            <v>0</v>
          </cell>
          <cell r="H6416">
            <v>62</v>
          </cell>
        </row>
        <row r="6417">
          <cell r="F6417">
            <v>27.53</v>
          </cell>
          <cell r="G6417">
            <v>0</v>
          </cell>
          <cell r="H6417">
            <v>62</v>
          </cell>
        </row>
        <row r="6418">
          <cell r="F6418">
            <v>31.5</v>
          </cell>
          <cell r="G6418">
            <v>0</v>
          </cell>
          <cell r="H6418">
            <v>62</v>
          </cell>
        </row>
        <row r="6419">
          <cell r="F6419">
            <v>121.7</v>
          </cell>
          <cell r="G6419">
            <v>0</v>
          </cell>
          <cell r="H6419">
            <v>62</v>
          </cell>
        </row>
        <row r="6420">
          <cell r="F6420">
            <v>965.52999999999986</v>
          </cell>
          <cell r="G6420">
            <v>0</v>
          </cell>
          <cell r="H6420">
            <v>62</v>
          </cell>
        </row>
        <row r="6421">
          <cell r="F6421">
            <v>257.89</v>
          </cell>
          <cell r="G6421">
            <v>0</v>
          </cell>
          <cell r="H6421">
            <v>62</v>
          </cell>
        </row>
        <row r="6422">
          <cell r="F6422">
            <v>367.52</v>
          </cell>
          <cell r="G6422">
            <v>0</v>
          </cell>
          <cell r="H6422">
            <v>62</v>
          </cell>
        </row>
        <row r="6423">
          <cell r="F6423">
            <v>16.46</v>
          </cell>
          <cell r="G6423">
            <v>0</v>
          </cell>
          <cell r="H6423">
            <v>62</v>
          </cell>
        </row>
        <row r="6424">
          <cell r="F6424">
            <v>38.61</v>
          </cell>
          <cell r="G6424">
            <v>0</v>
          </cell>
          <cell r="H6424">
            <v>62</v>
          </cell>
        </row>
        <row r="6425">
          <cell r="F6425">
            <v>83.5</v>
          </cell>
          <cell r="G6425">
            <v>0</v>
          </cell>
          <cell r="H6425">
            <v>62</v>
          </cell>
        </row>
        <row r="6426">
          <cell r="F6426">
            <v>272.55</v>
          </cell>
          <cell r="G6426">
            <v>0</v>
          </cell>
          <cell r="H6426">
            <v>62</v>
          </cell>
        </row>
        <row r="6427">
          <cell r="F6427">
            <v>983.49</v>
          </cell>
          <cell r="G6427">
            <v>0</v>
          </cell>
          <cell r="H6427">
            <v>62</v>
          </cell>
        </row>
        <row r="6428">
          <cell r="F6428">
            <v>2806.09</v>
          </cell>
          <cell r="G6428">
            <v>0</v>
          </cell>
          <cell r="H6428">
            <v>62</v>
          </cell>
        </row>
        <row r="6429">
          <cell r="F6429">
            <v>882.23</v>
          </cell>
          <cell r="G6429">
            <v>0</v>
          </cell>
          <cell r="H6429">
            <v>62</v>
          </cell>
        </row>
        <row r="6430">
          <cell r="F6430">
            <v>19.260000000000002</v>
          </cell>
          <cell r="G6430">
            <v>0</v>
          </cell>
          <cell r="H6430">
            <v>62</v>
          </cell>
        </row>
        <row r="6431">
          <cell r="F6431">
            <v>269.60000000000002</v>
          </cell>
          <cell r="G6431">
            <v>0</v>
          </cell>
          <cell r="H6431">
            <v>62</v>
          </cell>
        </row>
        <row r="6432">
          <cell r="F6432">
            <v>514</v>
          </cell>
          <cell r="G6432">
            <v>0</v>
          </cell>
          <cell r="H6432">
            <v>62</v>
          </cell>
        </row>
        <row r="6433">
          <cell r="F6433">
            <v>29.65</v>
          </cell>
          <cell r="G6433">
            <v>0</v>
          </cell>
          <cell r="H6433">
            <v>62</v>
          </cell>
        </row>
        <row r="6434">
          <cell r="F6434">
            <v>250.28</v>
          </cell>
          <cell r="G6434">
            <v>0</v>
          </cell>
          <cell r="H6434">
            <v>62</v>
          </cell>
        </row>
        <row r="6435">
          <cell r="F6435">
            <v>101.48</v>
          </cell>
          <cell r="G6435">
            <v>0</v>
          </cell>
          <cell r="H6435">
            <v>62</v>
          </cell>
        </row>
        <row r="6436">
          <cell r="F6436">
            <v>21.930000000000007</v>
          </cell>
          <cell r="G6436">
            <v>0</v>
          </cell>
          <cell r="H6436">
            <v>62</v>
          </cell>
        </row>
        <row r="6437">
          <cell r="F6437">
            <v>554.57000000000005</v>
          </cell>
          <cell r="G6437">
            <v>0</v>
          </cell>
          <cell r="H6437">
            <v>62</v>
          </cell>
        </row>
        <row r="6438">
          <cell r="F6438">
            <v>69.540000000000006</v>
          </cell>
          <cell r="G6438">
            <v>0</v>
          </cell>
          <cell r="H6438">
            <v>62</v>
          </cell>
        </row>
        <row r="6439">
          <cell r="F6439">
            <v>45.899999999999977</v>
          </cell>
          <cell r="G6439">
            <v>0</v>
          </cell>
          <cell r="H6439">
            <v>62</v>
          </cell>
        </row>
        <row r="6440">
          <cell r="F6440">
            <v>492.75</v>
          </cell>
          <cell r="G6440">
            <v>0</v>
          </cell>
          <cell r="H6440">
            <v>62</v>
          </cell>
        </row>
        <row r="6441">
          <cell r="F6441">
            <v>608.97</v>
          </cell>
          <cell r="G6441">
            <v>0</v>
          </cell>
          <cell r="H6441">
            <v>62</v>
          </cell>
        </row>
        <row r="6442">
          <cell r="F6442">
            <v>128.35</v>
          </cell>
          <cell r="G6442">
            <v>0</v>
          </cell>
          <cell r="H6442">
            <v>62</v>
          </cell>
        </row>
        <row r="6443">
          <cell r="F6443">
            <v>22.07</v>
          </cell>
          <cell r="G6443">
            <v>0</v>
          </cell>
          <cell r="H6443">
            <v>62</v>
          </cell>
        </row>
        <row r="6444">
          <cell r="F6444">
            <v>715.03</v>
          </cell>
          <cell r="G6444">
            <v>0</v>
          </cell>
          <cell r="H6444">
            <v>62</v>
          </cell>
        </row>
        <row r="6445">
          <cell r="F6445">
            <v>3528.3599999999997</v>
          </cell>
          <cell r="G6445">
            <v>0</v>
          </cell>
          <cell r="H6445">
            <v>62</v>
          </cell>
        </row>
        <row r="6446">
          <cell r="F6446">
            <v>557.42999999999995</v>
          </cell>
          <cell r="G6446">
            <v>0</v>
          </cell>
          <cell r="H6446">
            <v>62</v>
          </cell>
        </row>
        <row r="6447">
          <cell r="F6447">
            <v>3.62</v>
          </cell>
          <cell r="G6447">
            <v>0</v>
          </cell>
          <cell r="H6447">
            <v>62</v>
          </cell>
        </row>
        <row r="6448">
          <cell r="F6448">
            <v>403.24</v>
          </cell>
          <cell r="G6448">
            <v>0</v>
          </cell>
          <cell r="H6448">
            <v>62</v>
          </cell>
        </row>
        <row r="6449">
          <cell r="F6449">
            <v>27</v>
          </cell>
          <cell r="G6449">
            <v>0</v>
          </cell>
          <cell r="H6449">
            <v>62</v>
          </cell>
        </row>
        <row r="6450">
          <cell r="F6450">
            <v>56.81</v>
          </cell>
          <cell r="G6450">
            <v>0</v>
          </cell>
          <cell r="H6450">
            <v>62</v>
          </cell>
        </row>
        <row r="6451">
          <cell r="F6451">
            <v>167.1</v>
          </cell>
          <cell r="G6451">
            <v>0</v>
          </cell>
          <cell r="H6451">
            <v>62</v>
          </cell>
        </row>
        <row r="6452">
          <cell r="F6452">
            <v>5.6500000000000057</v>
          </cell>
          <cell r="G6452">
            <v>0</v>
          </cell>
          <cell r="H6452">
            <v>62</v>
          </cell>
        </row>
        <row r="6453">
          <cell r="F6453">
            <v>196.91</v>
          </cell>
          <cell r="G6453">
            <v>0</v>
          </cell>
          <cell r="H6453">
            <v>62</v>
          </cell>
        </row>
        <row r="6454">
          <cell r="F6454">
            <v>350.33</v>
          </cell>
          <cell r="G6454">
            <v>0</v>
          </cell>
          <cell r="H6454">
            <v>62</v>
          </cell>
        </row>
        <row r="6455">
          <cell r="F6455">
            <v>71.010000000000005</v>
          </cell>
          <cell r="G6455">
            <v>0</v>
          </cell>
          <cell r="H6455">
            <v>62</v>
          </cell>
        </row>
        <row r="6456">
          <cell r="F6456">
            <v>49.1</v>
          </cell>
          <cell r="G6456">
            <v>0</v>
          </cell>
          <cell r="H6456">
            <v>62</v>
          </cell>
        </row>
        <row r="6457">
          <cell r="F6457">
            <v>2189.79</v>
          </cell>
          <cell r="G6457">
            <v>0</v>
          </cell>
          <cell r="H6457">
            <v>62</v>
          </cell>
        </row>
        <row r="6458">
          <cell r="F6458">
            <v>635.21</v>
          </cell>
          <cell r="G6458">
            <v>0</v>
          </cell>
          <cell r="H6458">
            <v>62</v>
          </cell>
        </row>
        <row r="6459">
          <cell r="F6459">
            <v>292.27999999999997</v>
          </cell>
          <cell r="G6459">
            <v>0</v>
          </cell>
          <cell r="H6459">
            <v>62</v>
          </cell>
        </row>
        <row r="6460">
          <cell r="F6460">
            <v>15.95999999999998</v>
          </cell>
          <cell r="G6460">
            <v>0</v>
          </cell>
          <cell r="H6460">
            <v>62</v>
          </cell>
        </row>
        <row r="6461">
          <cell r="F6461">
            <v>252.95</v>
          </cell>
          <cell r="G6461">
            <v>0</v>
          </cell>
          <cell r="H6461">
            <v>62</v>
          </cell>
        </row>
        <row r="6462">
          <cell r="F6462">
            <v>267.44000000000005</v>
          </cell>
          <cell r="G6462">
            <v>0</v>
          </cell>
          <cell r="H6462">
            <v>62</v>
          </cell>
        </row>
        <row r="6463">
          <cell r="F6463">
            <v>837.55</v>
          </cell>
          <cell r="G6463">
            <v>0</v>
          </cell>
          <cell r="H6463">
            <v>62</v>
          </cell>
        </row>
        <row r="6464">
          <cell r="F6464">
            <v>27.08</v>
          </cell>
          <cell r="G6464">
            <v>0</v>
          </cell>
          <cell r="H6464">
            <v>62</v>
          </cell>
        </row>
        <row r="6465">
          <cell r="F6465">
            <v>159.84</v>
          </cell>
          <cell r="G6465">
            <v>0</v>
          </cell>
          <cell r="H6465">
            <v>62</v>
          </cell>
        </row>
        <row r="6466">
          <cell r="F6466">
            <v>708.47</v>
          </cell>
          <cell r="G6466">
            <v>0</v>
          </cell>
          <cell r="H6466">
            <v>62</v>
          </cell>
        </row>
        <row r="6467">
          <cell r="F6467">
            <v>45.9</v>
          </cell>
          <cell r="G6467">
            <v>0</v>
          </cell>
          <cell r="H6467">
            <v>62</v>
          </cell>
        </row>
        <row r="6468">
          <cell r="F6468">
            <v>422.41</v>
          </cell>
          <cell r="G6468">
            <v>0</v>
          </cell>
          <cell r="H6468">
            <v>62</v>
          </cell>
        </row>
        <row r="6469">
          <cell r="F6469">
            <v>97.6</v>
          </cell>
          <cell r="G6469">
            <v>0</v>
          </cell>
          <cell r="H6469">
            <v>62</v>
          </cell>
        </row>
        <row r="6470">
          <cell r="F6470">
            <v>149.03</v>
          </cell>
          <cell r="G6470">
            <v>0</v>
          </cell>
          <cell r="H6470">
            <v>62</v>
          </cell>
        </row>
        <row r="6471">
          <cell r="F6471">
            <v>27.08</v>
          </cell>
          <cell r="G6471">
            <v>0</v>
          </cell>
          <cell r="H6471">
            <v>62</v>
          </cell>
        </row>
        <row r="6472">
          <cell r="F6472">
            <v>713.53</v>
          </cell>
          <cell r="G6472">
            <v>0</v>
          </cell>
          <cell r="H6472">
            <v>62</v>
          </cell>
        </row>
        <row r="6473">
          <cell r="F6473">
            <v>192.43</v>
          </cell>
          <cell r="G6473">
            <v>0</v>
          </cell>
          <cell r="H6473">
            <v>62</v>
          </cell>
        </row>
        <row r="6474">
          <cell r="F6474">
            <v>112.76</v>
          </cell>
          <cell r="G6474">
            <v>0</v>
          </cell>
          <cell r="H6474">
            <v>62</v>
          </cell>
        </row>
        <row r="6475">
          <cell r="F6475">
            <v>574.4</v>
          </cell>
          <cell r="G6475">
            <v>0</v>
          </cell>
          <cell r="H6475">
            <v>62</v>
          </cell>
        </row>
        <row r="6476">
          <cell r="F6476">
            <v>384.83</v>
          </cell>
          <cell r="G6476">
            <v>0</v>
          </cell>
          <cell r="H6476">
            <v>62</v>
          </cell>
        </row>
        <row r="6477">
          <cell r="F6477">
            <v>402.17</v>
          </cell>
          <cell r="G6477">
            <v>0</v>
          </cell>
          <cell r="H6477">
            <v>62</v>
          </cell>
        </row>
        <row r="6478">
          <cell r="F6478">
            <v>88.53</v>
          </cell>
          <cell r="G6478">
            <v>0</v>
          </cell>
          <cell r="H6478">
            <v>62</v>
          </cell>
        </row>
        <row r="6479">
          <cell r="F6479">
            <v>56.6</v>
          </cell>
          <cell r="G6479">
            <v>0</v>
          </cell>
          <cell r="H6479">
            <v>62</v>
          </cell>
        </row>
        <row r="6480">
          <cell r="F6480">
            <v>393.3</v>
          </cell>
          <cell r="G6480">
            <v>0</v>
          </cell>
          <cell r="H6480">
            <v>62</v>
          </cell>
        </row>
        <row r="6481">
          <cell r="F6481">
            <v>20</v>
          </cell>
          <cell r="G6481">
            <v>0</v>
          </cell>
          <cell r="H6481">
            <v>62</v>
          </cell>
        </row>
        <row r="6482">
          <cell r="F6482">
            <v>517.70000000000005</v>
          </cell>
          <cell r="G6482">
            <v>0</v>
          </cell>
          <cell r="H6482">
            <v>62</v>
          </cell>
        </row>
        <row r="6483">
          <cell r="F6483">
            <v>0</v>
          </cell>
          <cell r="G6483">
            <v>0</v>
          </cell>
          <cell r="H6483">
            <v>62</v>
          </cell>
        </row>
        <row r="6484">
          <cell r="F6484">
            <v>655.24</v>
          </cell>
          <cell r="G6484">
            <v>0</v>
          </cell>
          <cell r="H6484">
            <v>62</v>
          </cell>
        </row>
        <row r="6485">
          <cell r="F6485">
            <v>165.4</v>
          </cell>
          <cell r="G6485">
            <v>0</v>
          </cell>
          <cell r="H6485">
            <v>62</v>
          </cell>
        </row>
        <row r="6486">
          <cell r="F6486">
            <v>56.86</v>
          </cell>
          <cell r="G6486">
            <v>0</v>
          </cell>
          <cell r="H6486">
            <v>62</v>
          </cell>
        </row>
        <row r="6487">
          <cell r="F6487">
            <v>153.94</v>
          </cell>
          <cell r="G6487">
            <v>0</v>
          </cell>
          <cell r="H6487">
            <v>62</v>
          </cell>
        </row>
        <row r="6488">
          <cell r="F6488">
            <v>415.07</v>
          </cell>
          <cell r="G6488">
            <v>0</v>
          </cell>
          <cell r="H6488">
            <v>62</v>
          </cell>
        </row>
        <row r="6489">
          <cell r="F6489">
            <v>258.52999999999997</v>
          </cell>
          <cell r="G6489">
            <v>0</v>
          </cell>
          <cell r="H6489">
            <v>62</v>
          </cell>
        </row>
        <row r="6490">
          <cell r="F6490">
            <v>1242.1199999999999</v>
          </cell>
          <cell r="G6490">
            <v>0</v>
          </cell>
          <cell r="H6490">
            <v>62</v>
          </cell>
        </row>
        <row r="6491">
          <cell r="F6491">
            <v>30.91</v>
          </cell>
          <cell r="G6491">
            <v>0</v>
          </cell>
          <cell r="H6491">
            <v>62</v>
          </cell>
        </row>
        <row r="6492">
          <cell r="F6492">
            <v>27.909999999999968</v>
          </cell>
          <cell r="G6492">
            <v>0</v>
          </cell>
          <cell r="H6492">
            <v>62</v>
          </cell>
        </row>
        <row r="6493">
          <cell r="F6493">
            <v>141.63999999999999</v>
          </cell>
          <cell r="G6493">
            <v>0</v>
          </cell>
          <cell r="H6493">
            <v>62</v>
          </cell>
        </row>
        <row r="6494">
          <cell r="F6494">
            <v>8.7200000000000006</v>
          </cell>
          <cell r="G6494">
            <v>0</v>
          </cell>
          <cell r="H6494">
            <v>62</v>
          </cell>
        </row>
        <row r="6495">
          <cell r="F6495">
            <v>460.53</v>
          </cell>
          <cell r="G6495">
            <v>0</v>
          </cell>
          <cell r="H6495">
            <v>62</v>
          </cell>
        </row>
        <row r="6496">
          <cell r="F6496">
            <v>67.81</v>
          </cell>
          <cell r="G6496">
            <v>0</v>
          </cell>
          <cell r="H6496">
            <v>62</v>
          </cell>
        </row>
        <row r="6497">
          <cell r="F6497">
            <v>108.32</v>
          </cell>
          <cell r="G6497">
            <v>0</v>
          </cell>
          <cell r="H6497">
            <v>62</v>
          </cell>
        </row>
        <row r="6498">
          <cell r="F6498">
            <v>243.8</v>
          </cell>
          <cell r="G6498">
            <v>0</v>
          </cell>
          <cell r="H6498">
            <v>62</v>
          </cell>
        </row>
        <row r="6499">
          <cell r="F6499">
            <v>1030.24</v>
          </cell>
          <cell r="G6499">
            <v>0</v>
          </cell>
          <cell r="H6499">
            <v>62</v>
          </cell>
        </row>
        <row r="6500">
          <cell r="F6500">
            <v>17.730000000000018</v>
          </cell>
          <cell r="G6500">
            <v>0</v>
          </cell>
          <cell r="H6500">
            <v>62</v>
          </cell>
        </row>
        <row r="6501">
          <cell r="F6501">
            <v>0</v>
          </cell>
          <cell r="G6501">
            <v>0</v>
          </cell>
          <cell r="H6501">
            <v>62</v>
          </cell>
        </row>
        <row r="6502">
          <cell r="F6502">
            <v>300</v>
          </cell>
          <cell r="G6502">
            <v>0</v>
          </cell>
          <cell r="H6502">
            <v>62</v>
          </cell>
        </row>
        <row r="6503">
          <cell r="F6503">
            <v>72.209999999999994</v>
          </cell>
          <cell r="G6503">
            <v>0</v>
          </cell>
          <cell r="H6503">
            <v>62</v>
          </cell>
        </row>
        <row r="6504">
          <cell r="F6504">
            <v>9.4</v>
          </cell>
          <cell r="G6504">
            <v>0</v>
          </cell>
          <cell r="H6504">
            <v>62</v>
          </cell>
        </row>
        <row r="6505">
          <cell r="F6505">
            <v>16.8</v>
          </cell>
          <cell r="G6505">
            <v>0</v>
          </cell>
          <cell r="H6505">
            <v>62</v>
          </cell>
        </row>
        <row r="6506">
          <cell r="F6506">
            <v>510.62</v>
          </cell>
          <cell r="G6506">
            <v>0</v>
          </cell>
          <cell r="H6506">
            <v>62</v>
          </cell>
        </row>
        <row r="6507">
          <cell r="F6507">
            <v>17.61</v>
          </cell>
          <cell r="G6507">
            <v>0</v>
          </cell>
          <cell r="H6507">
            <v>62</v>
          </cell>
        </row>
        <row r="6508">
          <cell r="F6508">
            <v>77.08</v>
          </cell>
          <cell r="G6508">
            <v>0</v>
          </cell>
          <cell r="H6508">
            <v>62</v>
          </cell>
        </row>
        <row r="6509">
          <cell r="F6509">
            <v>8.8000000000000007</v>
          </cell>
          <cell r="G6509">
            <v>0</v>
          </cell>
          <cell r="H6509">
            <v>62</v>
          </cell>
        </row>
        <row r="6510">
          <cell r="F6510">
            <v>119.83</v>
          </cell>
          <cell r="G6510">
            <v>0</v>
          </cell>
          <cell r="H6510">
            <v>62</v>
          </cell>
        </row>
        <row r="6511">
          <cell r="F6511">
            <v>1058.75</v>
          </cell>
          <cell r="G6511">
            <v>0</v>
          </cell>
          <cell r="H6511">
            <v>62</v>
          </cell>
        </row>
        <row r="6512">
          <cell r="F6512">
            <v>1197.9000000000001</v>
          </cell>
          <cell r="G6512">
            <v>0</v>
          </cell>
          <cell r="H6512">
            <v>62</v>
          </cell>
        </row>
        <row r="6513">
          <cell r="F6513">
            <v>5540.45</v>
          </cell>
          <cell r="G6513">
            <v>0</v>
          </cell>
          <cell r="H6513">
            <v>62</v>
          </cell>
        </row>
        <row r="6514">
          <cell r="F6514">
            <v>3422.44</v>
          </cell>
          <cell r="G6514">
            <v>0</v>
          </cell>
          <cell r="H6514">
            <v>62</v>
          </cell>
        </row>
        <row r="6515">
          <cell r="F6515">
            <v>79.760000000000005</v>
          </cell>
          <cell r="G6515">
            <v>0</v>
          </cell>
          <cell r="H6515">
            <v>62</v>
          </cell>
        </row>
        <row r="6516">
          <cell r="F6516">
            <v>267.86</v>
          </cell>
          <cell r="G6516">
            <v>0</v>
          </cell>
          <cell r="H6516">
            <v>62</v>
          </cell>
        </row>
        <row r="6517">
          <cell r="F6517">
            <v>240</v>
          </cell>
          <cell r="G6517">
            <v>0</v>
          </cell>
          <cell r="H6517">
            <v>62</v>
          </cell>
        </row>
        <row r="6518">
          <cell r="F6518">
            <v>310</v>
          </cell>
          <cell r="G6518">
            <v>0</v>
          </cell>
          <cell r="H6518">
            <v>62</v>
          </cell>
        </row>
        <row r="6519">
          <cell r="F6519">
            <v>1502.13</v>
          </cell>
          <cell r="G6519">
            <v>0</v>
          </cell>
          <cell r="H6519">
            <v>62</v>
          </cell>
        </row>
        <row r="6520">
          <cell r="F6520">
            <v>1873.66</v>
          </cell>
          <cell r="G6520">
            <v>0</v>
          </cell>
          <cell r="H6520">
            <v>62</v>
          </cell>
        </row>
        <row r="6521">
          <cell r="F6521">
            <v>3083.44</v>
          </cell>
          <cell r="G6521">
            <v>0</v>
          </cell>
          <cell r="H6521">
            <v>62</v>
          </cell>
        </row>
        <row r="6522">
          <cell r="F6522">
            <v>1224.03</v>
          </cell>
          <cell r="G6522">
            <v>0</v>
          </cell>
          <cell r="H6522">
            <v>62</v>
          </cell>
        </row>
        <row r="6523">
          <cell r="F6523">
            <v>1950.34</v>
          </cell>
          <cell r="G6523">
            <v>0</v>
          </cell>
          <cell r="H6523">
            <v>62</v>
          </cell>
        </row>
        <row r="6524">
          <cell r="F6524">
            <v>396.5</v>
          </cell>
          <cell r="G6524">
            <v>0</v>
          </cell>
          <cell r="H6524">
            <v>62</v>
          </cell>
        </row>
        <row r="6525">
          <cell r="F6525">
            <v>1882.5</v>
          </cell>
          <cell r="G6525">
            <v>0</v>
          </cell>
          <cell r="H6525">
            <v>62</v>
          </cell>
        </row>
        <row r="6526">
          <cell r="F6526">
            <v>1866.36</v>
          </cell>
          <cell r="G6526">
            <v>0</v>
          </cell>
          <cell r="H6526">
            <v>62</v>
          </cell>
        </row>
        <row r="6527">
          <cell r="F6527">
            <v>4836.17</v>
          </cell>
          <cell r="G6527">
            <v>0</v>
          </cell>
          <cell r="H6527">
            <v>62</v>
          </cell>
        </row>
        <row r="6528">
          <cell r="F6528">
            <v>5166.17</v>
          </cell>
          <cell r="G6528">
            <v>0</v>
          </cell>
          <cell r="H6528">
            <v>62</v>
          </cell>
        </row>
        <row r="6529">
          <cell r="F6529">
            <v>1134.5</v>
          </cell>
          <cell r="G6529">
            <v>0</v>
          </cell>
          <cell r="H6529">
            <v>62</v>
          </cell>
        </row>
        <row r="6530">
          <cell r="F6530">
            <v>108.89999999999998</v>
          </cell>
          <cell r="G6530">
            <v>0</v>
          </cell>
          <cell r="H6530">
            <v>62</v>
          </cell>
        </row>
        <row r="6531">
          <cell r="F6531">
            <v>111.08</v>
          </cell>
          <cell r="G6531">
            <v>0</v>
          </cell>
          <cell r="H6531">
            <v>62</v>
          </cell>
        </row>
        <row r="6532">
          <cell r="F6532">
            <v>82.22</v>
          </cell>
          <cell r="G6532">
            <v>0</v>
          </cell>
          <cell r="H6532">
            <v>62</v>
          </cell>
        </row>
        <row r="6533">
          <cell r="F6533">
            <v>145</v>
          </cell>
          <cell r="G6533">
            <v>0</v>
          </cell>
          <cell r="H6533">
            <v>62</v>
          </cell>
        </row>
        <row r="6534">
          <cell r="F6534">
            <v>45</v>
          </cell>
          <cell r="G6534">
            <v>0</v>
          </cell>
          <cell r="H6534">
            <v>62</v>
          </cell>
        </row>
        <row r="6535">
          <cell r="F6535">
            <v>1079.06</v>
          </cell>
          <cell r="G6535">
            <v>0</v>
          </cell>
          <cell r="H6535">
            <v>62</v>
          </cell>
        </row>
        <row r="6536">
          <cell r="F6536">
            <v>1164.82</v>
          </cell>
          <cell r="G6536">
            <v>0</v>
          </cell>
          <cell r="H6536">
            <v>62</v>
          </cell>
        </row>
        <row r="6537">
          <cell r="F6537">
            <v>135.30000000000001</v>
          </cell>
          <cell r="G6537">
            <v>0</v>
          </cell>
          <cell r="H6537">
            <v>62</v>
          </cell>
        </row>
        <row r="6538">
          <cell r="F6538">
            <v>1167.8900000000001</v>
          </cell>
          <cell r="G6538">
            <v>0</v>
          </cell>
          <cell r="H6538">
            <v>62</v>
          </cell>
        </row>
        <row r="6539">
          <cell r="F6539">
            <v>890</v>
          </cell>
          <cell r="G6539">
            <v>0</v>
          </cell>
          <cell r="H6539">
            <v>62</v>
          </cell>
        </row>
        <row r="6540">
          <cell r="F6540">
            <v>6562.69</v>
          </cell>
          <cell r="G6540">
            <v>0</v>
          </cell>
          <cell r="H6540">
            <v>62</v>
          </cell>
        </row>
        <row r="6541">
          <cell r="F6541">
            <v>1477.16</v>
          </cell>
          <cell r="G6541">
            <v>0</v>
          </cell>
          <cell r="H6541">
            <v>62</v>
          </cell>
        </row>
        <row r="6542">
          <cell r="F6542">
            <v>266.20000000000005</v>
          </cell>
          <cell r="G6542">
            <v>0</v>
          </cell>
          <cell r="H6542">
            <v>62</v>
          </cell>
        </row>
        <row r="6543">
          <cell r="F6543">
            <v>200</v>
          </cell>
          <cell r="G6543">
            <v>0</v>
          </cell>
          <cell r="H6543">
            <v>62</v>
          </cell>
        </row>
        <row r="6544">
          <cell r="F6544">
            <v>2238.6000000000004</v>
          </cell>
          <cell r="G6544">
            <v>0</v>
          </cell>
          <cell r="H6544">
            <v>62</v>
          </cell>
        </row>
        <row r="6545">
          <cell r="F6545">
            <v>5729.96</v>
          </cell>
          <cell r="G6545">
            <v>0</v>
          </cell>
          <cell r="H6545">
            <v>62</v>
          </cell>
        </row>
        <row r="6546">
          <cell r="F6546">
            <v>7376.91</v>
          </cell>
          <cell r="G6546">
            <v>0</v>
          </cell>
          <cell r="H6546">
            <v>62</v>
          </cell>
        </row>
        <row r="6547">
          <cell r="F6547">
            <v>2645.1</v>
          </cell>
          <cell r="G6547">
            <v>0</v>
          </cell>
          <cell r="H6547">
            <v>62</v>
          </cell>
        </row>
        <row r="6548">
          <cell r="F6548">
            <v>1707.76</v>
          </cell>
          <cell r="G6548">
            <v>0</v>
          </cell>
          <cell r="H6548">
            <v>62</v>
          </cell>
        </row>
        <row r="6549">
          <cell r="F6549">
            <v>2305.4700000000003</v>
          </cell>
          <cell r="G6549">
            <v>0</v>
          </cell>
          <cell r="H6549">
            <v>62</v>
          </cell>
        </row>
        <row r="6550">
          <cell r="F6550">
            <v>914.39</v>
          </cell>
          <cell r="G6550">
            <v>0</v>
          </cell>
          <cell r="H6550">
            <v>62</v>
          </cell>
        </row>
        <row r="6551">
          <cell r="F6551">
            <v>655</v>
          </cell>
          <cell r="G6551">
            <v>0</v>
          </cell>
          <cell r="H6551">
            <v>62</v>
          </cell>
        </row>
        <row r="6552">
          <cell r="F6552">
            <v>18.189999999999998</v>
          </cell>
          <cell r="G6552">
            <v>0</v>
          </cell>
          <cell r="H6552">
            <v>62</v>
          </cell>
        </row>
        <row r="6553">
          <cell r="F6553">
            <v>52.27</v>
          </cell>
          <cell r="G6553">
            <v>0</v>
          </cell>
          <cell r="H6553">
            <v>62</v>
          </cell>
        </row>
        <row r="6554">
          <cell r="F6554">
            <v>200</v>
          </cell>
          <cell r="G6554">
            <v>0</v>
          </cell>
          <cell r="H6554">
            <v>62</v>
          </cell>
        </row>
        <row r="6555">
          <cell r="F6555">
            <v>220</v>
          </cell>
          <cell r="G6555">
            <v>0</v>
          </cell>
          <cell r="H6555">
            <v>62</v>
          </cell>
        </row>
        <row r="6556">
          <cell r="F6556">
            <v>6918.07</v>
          </cell>
          <cell r="G6556">
            <v>0</v>
          </cell>
          <cell r="H6556">
            <v>62</v>
          </cell>
        </row>
        <row r="6557">
          <cell r="F6557">
            <v>337.44</v>
          </cell>
          <cell r="G6557">
            <v>0</v>
          </cell>
          <cell r="H6557">
            <v>62</v>
          </cell>
        </row>
        <row r="6558">
          <cell r="F6558">
            <v>959.89</v>
          </cell>
          <cell r="G6558">
            <v>0</v>
          </cell>
          <cell r="H6558">
            <v>62</v>
          </cell>
        </row>
        <row r="6559">
          <cell r="F6559">
            <v>1307.3700000000001</v>
          </cell>
          <cell r="G6559">
            <v>0</v>
          </cell>
          <cell r="H6559">
            <v>62</v>
          </cell>
        </row>
        <row r="6560">
          <cell r="F6560">
            <v>3497.02</v>
          </cell>
          <cell r="G6560">
            <v>0</v>
          </cell>
          <cell r="H6560">
            <v>62</v>
          </cell>
        </row>
        <row r="6561">
          <cell r="F6561">
            <v>369.95</v>
          </cell>
          <cell r="G6561">
            <v>0</v>
          </cell>
          <cell r="H6561">
            <v>62</v>
          </cell>
        </row>
        <row r="6562">
          <cell r="F6562">
            <v>1477.54</v>
          </cell>
          <cell r="G6562">
            <v>0</v>
          </cell>
          <cell r="H6562">
            <v>62</v>
          </cell>
        </row>
        <row r="6563">
          <cell r="F6563">
            <v>1300</v>
          </cell>
          <cell r="G6563">
            <v>0</v>
          </cell>
          <cell r="H6563">
            <v>62</v>
          </cell>
        </row>
        <row r="6564">
          <cell r="F6564">
            <v>1944.24</v>
          </cell>
          <cell r="G6564">
            <v>0</v>
          </cell>
          <cell r="H6564">
            <v>62</v>
          </cell>
        </row>
        <row r="6565">
          <cell r="F6565">
            <v>268</v>
          </cell>
          <cell r="G6565">
            <v>0</v>
          </cell>
          <cell r="H6565">
            <v>62</v>
          </cell>
        </row>
        <row r="6566">
          <cell r="F6566">
            <v>302.5</v>
          </cell>
          <cell r="G6566">
            <v>0</v>
          </cell>
          <cell r="H6566">
            <v>62</v>
          </cell>
        </row>
        <row r="6567">
          <cell r="F6567">
            <v>41.25</v>
          </cell>
          <cell r="G6567">
            <v>0</v>
          </cell>
          <cell r="H6567">
            <v>62</v>
          </cell>
        </row>
        <row r="6568">
          <cell r="F6568">
            <v>1253.3699999999999</v>
          </cell>
          <cell r="G6568">
            <v>0</v>
          </cell>
          <cell r="H6568">
            <v>62</v>
          </cell>
        </row>
        <row r="6569">
          <cell r="F6569">
            <v>270</v>
          </cell>
          <cell r="G6569">
            <v>0</v>
          </cell>
          <cell r="H6569">
            <v>62</v>
          </cell>
        </row>
        <row r="6570">
          <cell r="F6570">
            <v>1323.72</v>
          </cell>
          <cell r="G6570">
            <v>0</v>
          </cell>
          <cell r="H6570">
            <v>62</v>
          </cell>
        </row>
        <row r="6571">
          <cell r="F6571">
            <v>25</v>
          </cell>
          <cell r="G6571">
            <v>0</v>
          </cell>
          <cell r="H6571">
            <v>62</v>
          </cell>
        </row>
        <row r="6572">
          <cell r="F6572">
            <v>459.47</v>
          </cell>
          <cell r="G6572">
            <v>0</v>
          </cell>
          <cell r="H6572">
            <v>62</v>
          </cell>
        </row>
        <row r="6573">
          <cell r="F6573">
            <v>1734</v>
          </cell>
          <cell r="G6573">
            <v>0</v>
          </cell>
          <cell r="H6573">
            <v>62</v>
          </cell>
        </row>
        <row r="6574">
          <cell r="F6574">
            <v>272.48999999999978</v>
          </cell>
          <cell r="G6574">
            <v>0</v>
          </cell>
          <cell r="H6574">
            <v>62</v>
          </cell>
        </row>
        <row r="6575">
          <cell r="F6575">
            <v>4110.6000000000004</v>
          </cell>
          <cell r="G6575">
            <v>0</v>
          </cell>
          <cell r="H6575">
            <v>62</v>
          </cell>
        </row>
        <row r="6576">
          <cell r="F6576">
            <v>140</v>
          </cell>
          <cell r="G6576">
            <v>0</v>
          </cell>
          <cell r="H6576">
            <v>62</v>
          </cell>
        </row>
        <row r="6577">
          <cell r="F6577">
            <v>576.53</v>
          </cell>
          <cell r="G6577">
            <v>0</v>
          </cell>
          <cell r="H6577">
            <v>62</v>
          </cell>
        </row>
        <row r="6578">
          <cell r="F6578">
            <v>609.99999999999989</v>
          </cell>
          <cell r="G6578">
            <v>0</v>
          </cell>
          <cell r="H6578">
            <v>62</v>
          </cell>
        </row>
        <row r="6579">
          <cell r="F6579">
            <v>331.00000000000011</v>
          </cell>
          <cell r="G6579">
            <v>0</v>
          </cell>
          <cell r="H6579">
            <v>62</v>
          </cell>
        </row>
        <row r="6580">
          <cell r="F6580">
            <v>3922.3599999999997</v>
          </cell>
          <cell r="G6580">
            <v>0</v>
          </cell>
          <cell r="H6580">
            <v>62</v>
          </cell>
        </row>
        <row r="6581">
          <cell r="F6581">
            <v>2018.6</v>
          </cell>
          <cell r="G6581">
            <v>0</v>
          </cell>
          <cell r="H6581">
            <v>62</v>
          </cell>
        </row>
        <row r="6582">
          <cell r="F6582">
            <v>669.08</v>
          </cell>
          <cell r="G6582">
            <v>0</v>
          </cell>
          <cell r="H6582">
            <v>62</v>
          </cell>
        </row>
        <row r="6583">
          <cell r="F6583">
            <v>739.92</v>
          </cell>
          <cell r="G6583">
            <v>0</v>
          </cell>
          <cell r="H6583">
            <v>62</v>
          </cell>
        </row>
        <row r="6584">
          <cell r="F6584">
            <v>200</v>
          </cell>
          <cell r="G6584">
            <v>0</v>
          </cell>
          <cell r="H6584">
            <v>62</v>
          </cell>
        </row>
        <row r="6585">
          <cell r="F6585">
            <v>-2070.3199999999997</v>
          </cell>
          <cell r="G6585">
            <v>0</v>
          </cell>
          <cell r="H6585">
            <v>62</v>
          </cell>
        </row>
        <row r="6586">
          <cell r="F6586">
            <v>885.2800000000002</v>
          </cell>
          <cell r="G6586">
            <v>0</v>
          </cell>
          <cell r="H6586">
            <v>62</v>
          </cell>
        </row>
        <row r="6587">
          <cell r="F6587">
            <v>11220.349999999999</v>
          </cell>
          <cell r="G6587">
            <v>0</v>
          </cell>
          <cell r="H6587">
            <v>62</v>
          </cell>
        </row>
        <row r="6588">
          <cell r="F6588">
            <v>358</v>
          </cell>
          <cell r="G6588">
            <v>0</v>
          </cell>
          <cell r="H6588">
            <v>62</v>
          </cell>
        </row>
        <row r="6589">
          <cell r="F6589">
            <v>463.06</v>
          </cell>
          <cell r="G6589">
            <v>0</v>
          </cell>
          <cell r="H6589">
            <v>62</v>
          </cell>
        </row>
        <row r="6590">
          <cell r="F6590">
            <v>737.89999999999964</v>
          </cell>
          <cell r="G6590">
            <v>0</v>
          </cell>
          <cell r="H6590">
            <v>62</v>
          </cell>
        </row>
        <row r="6591">
          <cell r="F6591">
            <v>5311.87</v>
          </cell>
          <cell r="G6591">
            <v>0</v>
          </cell>
          <cell r="H6591">
            <v>62</v>
          </cell>
        </row>
        <row r="6592">
          <cell r="F6592">
            <v>276</v>
          </cell>
          <cell r="G6592">
            <v>0</v>
          </cell>
          <cell r="H6592">
            <v>62</v>
          </cell>
        </row>
        <row r="6593">
          <cell r="F6593">
            <v>312.33</v>
          </cell>
          <cell r="G6593">
            <v>0</v>
          </cell>
          <cell r="H6593">
            <v>62</v>
          </cell>
        </row>
        <row r="6594">
          <cell r="F6594">
            <v>100</v>
          </cell>
          <cell r="G6594">
            <v>0</v>
          </cell>
          <cell r="H6594">
            <v>62</v>
          </cell>
        </row>
        <row r="6595">
          <cell r="F6595">
            <v>3638.68</v>
          </cell>
          <cell r="G6595">
            <v>0</v>
          </cell>
          <cell r="H6595">
            <v>62</v>
          </cell>
        </row>
        <row r="6596">
          <cell r="F6596">
            <v>2539.0300000000002</v>
          </cell>
          <cell r="G6596">
            <v>0</v>
          </cell>
          <cell r="H6596">
            <v>62</v>
          </cell>
        </row>
        <row r="6597">
          <cell r="F6597">
            <v>235</v>
          </cell>
          <cell r="G6597">
            <v>0</v>
          </cell>
          <cell r="H6597">
            <v>62</v>
          </cell>
        </row>
        <row r="6598">
          <cell r="F6598">
            <v>155.30000000000001</v>
          </cell>
          <cell r="G6598">
            <v>0</v>
          </cell>
          <cell r="H6598">
            <v>62</v>
          </cell>
        </row>
        <row r="6599">
          <cell r="F6599">
            <v>4353.99</v>
          </cell>
          <cell r="G6599">
            <v>0</v>
          </cell>
          <cell r="H6599">
            <v>62</v>
          </cell>
        </row>
        <row r="6600">
          <cell r="F6600">
            <v>1894.45</v>
          </cell>
          <cell r="G6600">
            <v>0</v>
          </cell>
          <cell r="H6600">
            <v>62</v>
          </cell>
        </row>
        <row r="6601">
          <cell r="F6601">
            <v>1285.47</v>
          </cell>
          <cell r="G6601">
            <v>0</v>
          </cell>
          <cell r="H6601">
            <v>62</v>
          </cell>
        </row>
        <row r="6602">
          <cell r="F6602">
            <v>593.07000000000005</v>
          </cell>
          <cell r="G6602">
            <v>0</v>
          </cell>
          <cell r="H6602">
            <v>62</v>
          </cell>
        </row>
        <row r="6603">
          <cell r="F6603">
            <v>162.96</v>
          </cell>
          <cell r="G6603">
            <v>0</v>
          </cell>
          <cell r="H6603">
            <v>62</v>
          </cell>
        </row>
        <row r="6604">
          <cell r="F6604">
            <v>2481.19</v>
          </cell>
          <cell r="G6604">
            <v>0</v>
          </cell>
          <cell r="H6604">
            <v>62</v>
          </cell>
        </row>
        <row r="6605">
          <cell r="F6605">
            <v>2200.9</v>
          </cell>
          <cell r="G6605">
            <v>0</v>
          </cell>
          <cell r="H6605">
            <v>62</v>
          </cell>
        </row>
        <row r="6606">
          <cell r="F6606">
            <v>50</v>
          </cell>
          <cell r="G6606">
            <v>0</v>
          </cell>
          <cell r="H6606">
            <v>62</v>
          </cell>
        </row>
        <row r="6607">
          <cell r="F6607">
            <v>271.77</v>
          </cell>
          <cell r="G6607">
            <v>0</v>
          </cell>
          <cell r="H6607">
            <v>62</v>
          </cell>
        </row>
        <row r="6608">
          <cell r="F6608">
            <v>2065.39</v>
          </cell>
          <cell r="G6608">
            <v>0</v>
          </cell>
          <cell r="H6608">
            <v>62</v>
          </cell>
        </row>
        <row r="6609">
          <cell r="F6609">
            <v>1243.57</v>
          </cell>
          <cell r="G6609">
            <v>0</v>
          </cell>
          <cell r="H6609">
            <v>62</v>
          </cell>
        </row>
        <row r="6610">
          <cell r="F6610">
            <v>1147.96</v>
          </cell>
          <cell r="G6610">
            <v>0</v>
          </cell>
          <cell r="H6610">
            <v>62</v>
          </cell>
        </row>
        <row r="6611">
          <cell r="F6611">
            <v>404.33</v>
          </cell>
          <cell r="G6611">
            <v>0</v>
          </cell>
          <cell r="H6611">
            <v>62</v>
          </cell>
        </row>
        <row r="6612">
          <cell r="F6612">
            <v>2286.13</v>
          </cell>
          <cell r="G6612">
            <v>0</v>
          </cell>
          <cell r="H6612">
            <v>62</v>
          </cell>
        </row>
        <row r="6613">
          <cell r="F6613">
            <v>90</v>
          </cell>
          <cell r="G6613">
            <v>0</v>
          </cell>
          <cell r="H6613">
            <v>62</v>
          </cell>
        </row>
        <row r="6614">
          <cell r="F6614">
            <v>67.819999999999993</v>
          </cell>
          <cell r="G6614">
            <v>0</v>
          </cell>
          <cell r="H6614">
            <v>62</v>
          </cell>
        </row>
        <row r="6615">
          <cell r="F6615">
            <v>459.95999999999992</v>
          </cell>
          <cell r="G6615">
            <v>0</v>
          </cell>
          <cell r="H6615">
            <v>62</v>
          </cell>
        </row>
        <row r="6616">
          <cell r="F6616">
            <v>1247.8399999999999</v>
          </cell>
          <cell r="G6616">
            <v>0</v>
          </cell>
          <cell r="H6616">
            <v>62</v>
          </cell>
        </row>
        <row r="6617">
          <cell r="F6617">
            <v>180</v>
          </cell>
          <cell r="G6617">
            <v>0</v>
          </cell>
          <cell r="H6617">
            <v>62</v>
          </cell>
        </row>
        <row r="6618">
          <cell r="F6618">
            <v>843.75</v>
          </cell>
          <cell r="G6618">
            <v>0</v>
          </cell>
          <cell r="H6618">
            <v>62</v>
          </cell>
        </row>
        <row r="6619">
          <cell r="F6619">
            <v>3414.2300000000005</v>
          </cell>
          <cell r="G6619">
            <v>0</v>
          </cell>
          <cell r="H6619">
            <v>62</v>
          </cell>
        </row>
        <row r="6620">
          <cell r="F6620">
            <v>1377.51</v>
          </cell>
          <cell r="G6620">
            <v>0</v>
          </cell>
          <cell r="H6620">
            <v>62</v>
          </cell>
        </row>
        <row r="6621">
          <cell r="F6621">
            <v>390.45000000000005</v>
          </cell>
          <cell r="G6621">
            <v>0</v>
          </cell>
          <cell r="H6621">
            <v>62</v>
          </cell>
        </row>
        <row r="6622">
          <cell r="F6622">
            <v>25</v>
          </cell>
          <cell r="G6622">
            <v>0</v>
          </cell>
          <cell r="H6622">
            <v>62</v>
          </cell>
        </row>
        <row r="6623">
          <cell r="F6623">
            <v>948.6</v>
          </cell>
          <cell r="G6623">
            <v>0</v>
          </cell>
          <cell r="H6623">
            <v>62</v>
          </cell>
        </row>
        <row r="6624">
          <cell r="F6624">
            <v>629.69000000000005</v>
          </cell>
          <cell r="G6624">
            <v>0</v>
          </cell>
          <cell r="H6624">
            <v>62</v>
          </cell>
        </row>
        <row r="6625">
          <cell r="F6625">
            <v>250</v>
          </cell>
          <cell r="G6625">
            <v>0</v>
          </cell>
          <cell r="H6625">
            <v>62</v>
          </cell>
        </row>
        <row r="6626">
          <cell r="F6626">
            <v>915</v>
          </cell>
          <cell r="G6626">
            <v>0</v>
          </cell>
          <cell r="H6626">
            <v>62</v>
          </cell>
        </row>
        <row r="6627">
          <cell r="F6627">
            <v>1094.94</v>
          </cell>
          <cell r="G6627">
            <v>0</v>
          </cell>
          <cell r="H6627">
            <v>62</v>
          </cell>
        </row>
        <row r="6628">
          <cell r="F6628">
            <v>627.62</v>
          </cell>
          <cell r="G6628">
            <v>0</v>
          </cell>
          <cell r="H6628">
            <v>62</v>
          </cell>
        </row>
        <row r="6629">
          <cell r="F6629">
            <v>9568.7900000000009</v>
          </cell>
          <cell r="G6629">
            <v>0</v>
          </cell>
          <cell r="H6629">
            <v>62</v>
          </cell>
        </row>
        <row r="6630">
          <cell r="F6630">
            <v>1140</v>
          </cell>
          <cell r="G6630">
            <v>0</v>
          </cell>
          <cell r="H6630">
            <v>62</v>
          </cell>
        </row>
        <row r="6631">
          <cell r="F6631">
            <v>1213.2099999999998</v>
          </cell>
          <cell r="G6631">
            <v>0</v>
          </cell>
          <cell r="H6631">
            <v>62</v>
          </cell>
        </row>
        <row r="6632">
          <cell r="F6632">
            <v>7697.64</v>
          </cell>
          <cell r="G6632">
            <v>0</v>
          </cell>
          <cell r="H6632">
            <v>62</v>
          </cell>
        </row>
        <row r="6633">
          <cell r="F6633">
            <v>783.75</v>
          </cell>
          <cell r="G6633">
            <v>0</v>
          </cell>
          <cell r="H6633">
            <v>62</v>
          </cell>
        </row>
        <row r="6634">
          <cell r="F6634">
            <v>15.4</v>
          </cell>
          <cell r="G6634">
            <v>0</v>
          </cell>
          <cell r="H6634">
            <v>62</v>
          </cell>
        </row>
        <row r="6635">
          <cell r="F6635">
            <v>91.76</v>
          </cell>
          <cell r="G6635">
            <v>0</v>
          </cell>
          <cell r="H6635">
            <v>62</v>
          </cell>
        </row>
        <row r="6636">
          <cell r="F6636">
            <v>373.56</v>
          </cell>
          <cell r="G6636">
            <v>0</v>
          </cell>
          <cell r="H6636">
            <v>62</v>
          </cell>
        </row>
        <row r="6637">
          <cell r="F6637">
            <v>27.94</v>
          </cell>
          <cell r="G6637">
            <v>0</v>
          </cell>
          <cell r="H6637">
            <v>62</v>
          </cell>
        </row>
        <row r="6638">
          <cell r="F6638">
            <v>119.62</v>
          </cell>
          <cell r="G6638">
            <v>0</v>
          </cell>
          <cell r="H6638">
            <v>62</v>
          </cell>
        </row>
        <row r="6639">
          <cell r="F6639">
            <v>46.2</v>
          </cell>
          <cell r="G6639">
            <v>0</v>
          </cell>
          <cell r="H6639">
            <v>62</v>
          </cell>
        </row>
        <row r="6640">
          <cell r="F6640">
            <v>11.8</v>
          </cell>
          <cell r="G6640">
            <v>0</v>
          </cell>
          <cell r="H6640">
            <v>62</v>
          </cell>
        </row>
        <row r="6641">
          <cell r="F6641">
            <v>83.03</v>
          </cell>
          <cell r="G6641">
            <v>0</v>
          </cell>
          <cell r="H6641">
            <v>62</v>
          </cell>
        </row>
        <row r="6642">
          <cell r="F6642">
            <v>7.7</v>
          </cell>
          <cell r="G6642">
            <v>0</v>
          </cell>
          <cell r="H6642">
            <v>62</v>
          </cell>
        </row>
        <row r="6643">
          <cell r="F6643">
            <v>3.92</v>
          </cell>
          <cell r="G6643">
            <v>0</v>
          </cell>
          <cell r="H6643">
            <v>62</v>
          </cell>
        </row>
        <row r="6644">
          <cell r="F6644">
            <v>9.4</v>
          </cell>
          <cell r="G6644">
            <v>0</v>
          </cell>
          <cell r="H6644">
            <v>62</v>
          </cell>
        </row>
        <row r="6645">
          <cell r="F6645">
            <v>7.44</v>
          </cell>
          <cell r="G6645">
            <v>0</v>
          </cell>
          <cell r="H6645">
            <v>62</v>
          </cell>
        </row>
        <row r="6646">
          <cell r="F6646">
            <v>40.799999999999997</v>
          </cell>
          <cell r="G6646">
            <v>0</v>
          </cell>
          <cell r="H6646">
            <v>62</v>
          </cell>
        </row>
        <row r="6647">
          <cell r="F6647">
            <v>30.8</v>
          </cell>
          <cell r="G6647">
            <v>0</v>
          </cell>
          <cell r="H6647">
            <v>62</v>
          </cell>
        </row>
        <row r="6648">
          <cell r="F6648">
            <v>2.94</v>
          </cell>
          <cell r="G6648">
            <v>0</v>
          </cell>
          <cell r="H6648">
            <v>62</v>
          </cell>
        </row>
        <row r="6649">
          <cell r="F6649">
            <v>18.850000000000001</v>
          </cell>
          <cell r="G6649">
            <v>0</v>
          </cell>
          <cell r="H6649">
            <v>62</v>
          </cell>
        </row>
        <row r="6650">
          <cell r="F6650">
            <v>7.7</v>
          </cell>
          <cell r="G6650">
            <v>0</v>
          </cell>
          <cell r="H6650">
            <v>62</v>
          </cell>
        </row>
        <row r="6651">
          <cell r="F6651">
            <v>30.96</v>
          </cell>
          <cell r="G6651">
            <v>0</v>
          </cell>
          <cell r="H6651">
            <v>62</v>
          </cell>
        </row>
        <row r="6652">
          <cell r="F6652">
            <v>2.31</v>
          </cell>
          <cell r="G6652">
            <v>0</v>
          </cell>
          <cell r="H6652">
            <v>62</v>
          </cell>
        </row>
        <row r="6653">
          <cell r="F6653">
            <v>41.07</v>
          </cell>
          <cell r="G6653">
            <v>0</v>
          </cell>
          <cell r="H6653">
            <v>62</v>
          </cell>
        </row>
        <row r="6654">
          <cell r="F6654">
            <v>15.2</v>
          </cell>
          <cell r="G6654">
            <v>0</v>
          </cell>
          <cell r="H6654">
            <v>62</v>
          </cell>
        </row>
        <row r="6655">
          <cell r="F6655">
            <v>14</v>
          </cell>
          <cell r="G6655">
            <v>0</v>
          </cell>
          <cell r="H6655">
            <v>62</v>
          </cell>
        </row>
        <row r="6656">
          <cell r="F6656">
            <v>370.4</v>
          </cell>
          <cell r="G6656">
            <v>0</v>
          </cell>
          <cell r="H6656">
            <v>62</v>
          </cell>
        </row>
        <row r="6657">
          <cell r="F6657">
            <v>284.93</v>
          </cell>
          <cell r="G6657">
            <v>0</v>
          </cell>
          <cell r="H6657">
            <v>62</v>
          </cell>
        </row>
        <row r="6658">
          <cell r="F6658">
            <v>50.3</v>
          </cell>
          <cell r="G6658">
            <v>0</v>
          </cell>
          <cell r="H6658">
            <v>62</v>
          </cell>
        </row>
        <row r="6659">
          <cell r="F6659">
            <v>36.880000000000003</v>
          </cell>
          <cell r="G6659">
            <v>0</v>
          </cell>
          <cell r="H6659">
            <v>62</v>
          </cell>
        </row>
        <row r="6660">
          <cell r="F6660">
            <v>893.77</v>
          </cell>
          <cell r="G6660">
            <v>0</v>
          </cell>
          <cell r="H6660">
            <v>62</v>
          </cell>
        </row>
        <row r="6661">
          <cell r="F6661">
            <v>7.1</v>
          </cell>
          <cell r="G6661">
            <v>0</v>
          </cell>
          <cell r="H6661">
            <v>62</v>
          </cell>
        </row>
        <row r="6662">
          <cell r="F6662">
            <v>28.58</v>
          </cell>
          <cell r="G6662">
            <v>0</v>
          </cell>
          <cell r="H6662">
            <v>62</v>
          </cell>
        </row>
        <row r="6663">
          <cell r="F6663">
            <v>39.729999999999997</v>
          </cell>
          <cell r="G6663">
            <v>0</v>
          </cell>
          <cell r="H6663">
            <v>62</v>
          </cell>
        </row>
        <row r="6664">
          <cell r="F6664">
            <v>103.7</v>
          </cell>
          <cell r="G6664">
            <v>0</v>
          </cell>
          <cell r="H6664">
            <v>62</v>
          </cell>
        </row>
        <row r="6665">
          <cell r="F6665">
            <v>57.2</v>
          </cell>
          <cell r="G6665">
            <v>0</v>
          </cell>
          <cell r="H6665">
            <v>62</v>
          </cell>
        </row>
        <row r="6666">
          <cell r="F6666">
            <v>357.03999999999996</v>
          </cell>
          <cell r="G6666">
            <v>0</v>
          </cell>
          <cell r="H6666">
            <v>62</v>
          </cell>
        </row>
        <row r="6667">
          <cell r="F6667">
            <v>8.66</v>
          </cell>
          <cell r="G6667">
            <v>0</v>
          </cell>
          <cell r="H6667">
            <v>62</v>
          </cell>
        </row>
        <row r="6668">
          <cell r="F6668">
            <v>15.4</v>
          </cell>
          <cell r="G6668">
            <v>0</v>
          </cell>
          <cell r="H6668">
            <v>62</v>
          </cell>
        </row>
        <row r="6669">
          <cell r="F6669">
            <v>15.4</v>
          </cell>
          <cell r="G6669">
            <v>0</v>
          </cell>
          <cell r="H6669">
            <v>62</v>
          </cell>
        </row>
        <row r="6670">
          <cell r="F6670">
            <v>43.6</v>
          </cell>
          <cell r="G6670">
            <v>0</v>
          </cell>
          <cell r="H6670">
            <v>62</v>
          </cell>
        </row>
        <row r="6671">
          <cell r="F6671">
            <v>15.4</v>
          </cell>
          <cell r="G6671">
            <v>0</v>
          </cell>
          <cell r="H6671">
            <v>62</v>
          </cell>
        </row>
        <row r="6672">
          <cell r="F6672">
            <v>9.6</v>
          </cell>
          <cell r="G6672">
            <v>0</v>
          </cell>
          <cell r="H6672">
            <v>62</v>
          </cell>
        </row>
        <row r="6673">
          <cell r="F6673">
            <v>33.29</v>
          </cell>
          <cell r="G6673">
            <v>0</v>
          </cell>
          <cell r="H6673">
            <v>62</v>
          </cell>
        </row>
        <row r="6674">
          <cell r="F6674">
            <v>114.32</v>
          </cell>
          <cell r="G6674">
            <v>0</v>
          </cell>
          <cell r="H6674">
            <v>62</v>
          </cell>
        </row>
        <row r="6675">
          <cell r="F6675">
            <v>12.4</v>
          </cell>
          <cell r="G6675">
            <v>0</v>
          </cell>
          <cell r="H6675">
            <v>62</v>
          </cell>
        </row>
        <row r="6676">
          <cell r="F6676">
            <v>170.6</v>
          </cell>
          <cell r="G6676">
            <v>0</v>
          </cell>
          <cell r="H6676">
            <v>62</v>
          </cell>
        </row>
        <row r="6677">
          <cell r="F6677">
            <v>360.2</v>
          </cell>
          <cell r="G6677">
            <v>0</v>
          </cell>
          <cell r="H6677">
            <v>62</v>
          </cell>
        </row>
        <row r="6678">
          <cell r="F6678">
            <v>18.100000000000001</v>
          </cell>
          <cell r="G6678">
            <v>0</v>
          </cell>
          <cell r="H6678">
            <v>62</v>
          </cell>
        </row>
        <row r="6679">
          <cell r="F6679">
            <v>21.2</v>
          </cell>
          <cell r="G6679">
            <v>0</v>
          </cell>
          <cell r="H6679">
            <v>62</v>
          </cell>
        </row>
        <row r="6680">
          <cell r="F6680">
            <v>5.36</v>
          </cell>
          <cell r="G6680">
            <v>0</v>
          </cell>
          <cell r="H6680">
            <v>62</v>
          </cell>
        </row>
        <row r="6681">
          <cell r="F6681">
            <v>11</v>
          </cell>
          <cell r="G6681">
            <v>0</v>
          </cell>
          <cell r="H6681">
            <v>62</v>
          </cell>
        </row>
        <row r="6682">
          <cell r="F6682">
            <v>493.8</v>
          </cell>
          <cell r="G6682">
            <v>0</v>
          </cell>
          <cell r="H6682">
            <v>62</v>
          </cell>
        </row>
        <row r="6683">
          <cell r="F6683">
            <v>204</v>
          </cell>
          <cell r="G6683">
            <v>0</v>
          </cell>
          <cell r="H6683">
            <v>62</v>
          </cell>
        </row>
        <row r="6684">
          <cell r="F6684">
            <v>34.770000000000003</v>
          </cell>
          <cell r="G6684">
            <v>0</v>
          </cell>
          <cell r="H6684">
            <v>62</v>
          </cell>
        </row>
        <row r="6685">
          <cell r="F6685">
            <v>14.88</v>
          </cell>
          <cell r="G6685">
            <v>0</v>
          </cell>
          <cell r="H6685">
            <v>62</v>
          </cell>
        </row>
        <row r="6686">
          <cell r="F6686">
            <v>78.44</v>
          </cell>
          <cell r="G6686">
            <v>0</v>
          </cell>
          <cell r="H6686">
            <v>62</v>
          </cell>
        </row>
        <row r="6687">
          <cell r="F6687">
            <v>20.41</v>
          </cell>
          <cell r="G6687">
            <v>0</v>
          </cell>
          <cell r="H6687">
            <v>62</v>
          </cell>
        </row>
        <row r="6688">
          <cell r="F6688">
            <v>46.2</v>
          </cell>
          <cell r="G6688">
            <v>0</v>
          </cell>
          <cell r="H6688">
            <v>62</v>
          </cell>
        </row>
        <row r="6689">
          <cell r="F6689">
            <v>35.799999999999997</v>
          </cell>
          <cell r="G6689">
            <v>0</v>
          </cell>
          <cell r="H6689">
            <v>62</v>
          </cell>
        </row>
        <row r="6690">
          <cell r="F6690">
            <v>11.55</v>
          </cell>
          <cell r="G6690">
            <v>0</v>
          </cell>
          <cell r="H6690">
            <v>62</v>
          </cell>
        </row>
        <row r="6691">
          <cell r="F6691">
            <v>25.6</v>
          </cell>
          <cell r="G6691">
            <v>0</v>
          </cell>
          <cell r="H6691">
            <v>62</v>
          </cell>
        </row>
        <row r="6692">
          <cell r="F6692">
            <v>31.9</v>
          </cell>
          <cell r="G6692">
            <v>0</v>
          </cell>
          <cell r="H6692">
            <v>62</v>
          </cell>
        </row>
        <row r="6693">
          <cell r="F6693">
            <v>114.03</v>
          </cell>
          <cell r="G6693">
            <v>0</v>
          </cell>
          <cell r="H6693">
            <v>62</v>
          </cell>
        </row>
        <row r="6694">
          <cell r="F6694">
            <v>395.72</v>
          </cell>
          <cell r="G6694">
            <v>0</v>
          </cell>
          <cell r="H6694">
            <v>62</v>
          </cell>
        </row>
        <row r="6695">
          <cell r="F6695">
            <v>215.1</v>
          </cell>
          <cell r="G6695">
            <v>0</v>
          </cell>
          <cell r="H6695">
            <v>62</v>
          </cell>
        </row>
        <row r="6696">
          <cell r="F6696">
            <v>28.6</v>
          </cell>
          <cell r="G6696">
            <v>0</v>
          </cell>
          <cell r="H6696">
            <v>62</v>
          </cell>
        </row>
        <row r="6697">
          <cell r="F6697">
            <v>15.4</v>
          </cell>
          <cell r="G6697">
            <v>0</v>
          </cell>
          <cell r="H6697">
            <v>62</v>
          </cell>
        </row>
        <row r="6698">
          <cell r="F6698">
            <v>85.6</v>
          </cell>
          <cell r="G6698">
            <v>0</v>
          </cell>
          <cell r="H6698">
            <v>62</v>
          </cell>
        </row>
        <row r="6699">
          <cell r="F6699">
            <v>23.84</v>
          </cell>
          <cell r="G6699">
            <v>0</v>
          </cell>
          <cell r="H6699">
            <v>62</v>
          </cell>
        </row>
        <row r="6700">
          <cell r="F6700">
            <v>34.619999999999997</v>
          </cell>
          <cell r="G6700">
            <v>0</v>
          </cell>
          <cell r="H6700">
            <v>62</v>
          </cell>
        </row>
        <row r="6701">
          <cell r="F6701">
            <v>3.2</v>
          </cell>
          <cell r="G6701">
            <v>0</v>
          </cell>
          <cell r="H6701">
            <v>62</v>
          </cell>
        </row>
        <row r="6702">
          <cell r="F6702">
            <v>7.7</v>
          </cell>
          <cell r="G6702">
            <v>0</v>
          </cell>
          <cell r="H6702">
            <v>62</v>
          </cell>
        </row>
        <row r="6703">
          <cell r="F6703">
            <v>15.4</v>
          </cell>
          <cell r="G6703">
            <v>0</v>
          </cell>
          <cell r="H6703">
            <v>62</v>
          </cell>
        </row>
        <row r="6704">
          <cell r="F6704">
            <v>3.85</v>
          </cell>
          <cell r="G6704">
            <v>0</v>
          </cell>
          <cell r="H6704">
            <v>62</v>
          </cell>
        </row>
        <row r="6705">
          <cell r="F6705">
            <v>81.599999999999994</v>
          </cell>
          <cell r="G6705">
            <v>0</v>
          </cell>
          <cell r="H6705">
            <v>62</v>
          </cell>
        </row>
        <row r="6706">
          <cell r="F6706">
            <v>4.0599999999999996</v>
          </cell>
          <cell r="G6706">
            <v>0</v>
          </cell>
          <cell r="H6706">
            <v>62</v>
          </cell>
        </row>
        <row r="6707">
          <cell r="F6707">
            <v>42.58</v>
          </cell>
          <cell r="G6707">
            <v>0</v>
          </cell>
          <cell r="H6707">
            <v>62</v>
          </cell>
        </row>
        <row r="6708">
          <cell r="F6708">
            <v>3.2</v>
          </cell>
          <cell r="G6708">
            <v>0</v>
          </cell>
          <cell r="H6708">
            <v>62</v>
          </cell>
        </row>
        <row r="6709">
          <cell r="F6709">
            <v>43.8</v>
          </cell>
          <cell r="G6709">
            <v>0</v>
          </cell>
          <cell r="H6709">
            <v>62</v>
          </cell>
        </row>
        <row r="6710">
          <cell r="F6710">
            <v>18.22</v>
          </cell>
          <cell r="G6710">
            <v>0</v>
          </cell>
          <cell r="H6710">
            <v>62</v>
          </cell>
        </row>
        <row r="6711">
          <cell r="F6711">
            <v>16.95</v>
          </cell>
          <cell r="G6711">
            <v>0</v>
          </cell>
          <cell r="H6711">
            <v>62</v>
          </cell>
        </row>
        <row r="6712">
          <cell r="F6712">
            <v>24.46</v>
          </cell>
          <cell r="G6712">
            <v>0</v>
          </cell>
          <cell r="H6712">
            <v>62</v>
          </cell>
        </row>
        <row r="6713">
          <cell r="F6713">
            <v>36.68</v>
          </cell>
          <cell r="G6713">
            <v>0</v>
          </cell>
          <cell r="H6713">
            <v>62</v>
          </cell>
        </row>
        <row r="6714">
          <cell r="F6714">
            <v>29.69</v>
          </cell>
          <cell r="G6714">
            <v>0</v>
          </cell>
          <cell r="H6714">
            <v>62</v>
          </cell>
        </row>
        <row r="6715">
          <cell r="F6715">
            <v>251.22</v>
          </cell>
          <cell r="G6715">
            <v>0</v>
          </cell>
          <cell r="H6715">
            <v>62</v>
          </cell>
        </row>
        <row r="6716">
          <cell r="F6716">
            <v>69.040000000000006</v>
          </cell>
          <cell r="G6716">
            <v>0</v>
          </cell>
          <cell r="H6716">
            <v>62</v>
          </cell>
        </row>
        <row r="6717">
          <cell r="F6717">
            <v>116.66</v>
          </cell>
          <cell r="G6717">
            <v>0</v>
          </cell>
          <cell r="H6717">
            <v>62</v>
          </cell>
        </row>
        <row r="6718">
          <cell r="F6718">
            <v>93.66</v>
          </cell>
          <cell r="G6718">
            <v>0</v>
          </cell>
          <cell r="H6718">
            <v>62</v>
          </cell>
        </row>
        <row r="6719">
          <cell r="F6719">
            <v>2.14</v>
          </cell>
          <cell r="G6719">
            <v>0</v>
          </cell>
          <cell r="H6719">
            <v>62</v>
          </cell>
        </row>
        <row r="6720">
          <cell r="F6720">
            <v>5.0599999999999996</v>
          </cell>
          <cell r="G6720">
            <v>0</v>
          </cell>
          <cell r="H6720">
            <v>62</v>
          </cell>
        </row>
        <row r="6721">
          <cell r="F6721">
            <v>4.0999999999999996</v>
          </cell>
          <cell r="G6721">
            <v>0</v>
          </cell>
          <cell r="H6721">
            <v>62</v>
          </cell>
        </row>
        <row r="6722">
          <cell r="F6722">
            <v>24.68</v>
          </cell>
          <cell r="G6722">
            <v>0</v>
          </cell>
          <cell r="H6722">
            <v>62</v>
          </cell>
        </row>
        <row r="6723">
          <cell r="F6723">
            <v>4.95</v>
          </cell>
          <cell r="G6723">
            <v>0</v>
          </cell>
          <cell r="H6723">
            <v>62</v>
          </cell>
        </row>
        <row r="6724">
          <cell r="F6724">
            <v>64.2</v>
          </cell>
          <cell r="G6724">
            <v>0</v>
          </cell>
          <cell r="H6724">
            <v>62</v>
          </cell>
        </row>
        <row r="6725">
          <cell r="F6725">
            <v>19.72</v>
          </cell>
          <cell r="G6725">
            <v>0</v>
          </cell>
          <cell r="H6725">
            <v>62</v>
          </cell>
        </row>
        <row r="6726">
          <cell r="F6726">
            <v>2.46</v>
          </cell>
          <cell r="G6726">
            <v>0</v>
          </cell>
          <cell r="H6726">
            <v>62</v>
          </cell>
        </row>
        <row r="6727">
          <cell r="F6727">
            <v>226.9</v>
          </cell>
          <cell r="G6727">
            <v>0</v>
          </cell>
          <cell r="H6727">
            <v>62</v>
          </cell>
        </row>
        <row r="6728">
          <cell r="F6728">
            <v>35.61</v>
          </cell>
          <cell r="G6728">
            <v>0</v>
          </cell>
          <cell r="H6728">
            <v>62</v>
          </cell>
        </row>
        <row r="6729">
          <cell r="F6729">
            <v>19.329999999999998</v>
          </cell>
          <cell r="G6729">
            <v>0</v>
          </cell>
          <cell r="H6729">
            <v>62</v>
          </cell>
        </row>
        <row r="6730">
          <cell r="F6730">
            <v>26.85</v>
          </cell>
          <cell r="G6730">
            <v>0</v>
          </cell>
          <cell r="H6730">
            <v>62</v>
          </cell>
        </row>
        <row r="6731">
          <cell r="F6731">
            <v>10.66</v>
          </cell>
          <cell r="G6731">
            <v>0</v>
          </cell>
          <cell r="H6731">
            <v>62</v>
          </cell>
        </row>
        <row r="6732">
          <cell r="F6732">
            <v>0.68</v>
          </cell>
          <cell r="G6732">
            <v>0</v>
          </cell>
          <cell r="H6732">
            <v>62</v>
          </cell>
        </row>
        <row r="6733">
          <cell r="F6733">
            <v>0</v>
          </cell>
          <cell r="G6733">
            <v>0</v>
          </cell>
          <cell r="H6733">
            <v>62</v>
          </cell>
        </row>
        <row r="6734">
          <cell r="F6734">
            <v>21.79</v>
          </cell>
          <cell r="G6734">
            <v>0</v>
          </cell>
          <cell r="H6734">
            <v>62</v>
          </cell>
        </row>
        <row r="6735">
          <cell r="F6735">
            <v>59.31</v>
          </cell>
          <cell r="G6735">
            <v>0</v>
          </cell>
          <cell r="H6735">
            <v>62</v>
          </cell>
        </row>
        <row r="6736">
          <cell r="F6736">
            <v>74.75</v>
          </cell>
          <cell r="G6736">
            <v>0</v>
          </cell>
          <cell r="H6736">
            <v>62</v>
          </cell>
        </row>
        <row r="6737">
          <cell r="F6737">
            <v>159.46</v>
          </cell>
          <cell r="G6737">
            <v>0</v>
          </cell>
          <cell r="H6737">
            <v>62</v>
          </cell>
        </row>
        <row r="6738">
          <cell r="F6738">
            <v>6.27</v>
          </cell>
          <cell r="G6738">
            <v>0</v>
          </cell>
          <cell r="H6738">
            <v>62</v>
          </cell>
        </row>
        <row r="6739">
          <cell r="F6739">
            <v>56.74</v>
          </cell>
          <cell r="G6739">
            <v>0</v>
          </cell>
          <cell r="H6739">
            <v>62</v>
          </cell>
        </row>
        <row r="6740">
          <cell r="F6740">
            <v>7.07</v>
          </cell>
          <cell r="G6740">
            <v>0</v>
          </cell>
          <cell r="H6740">
            <v>62</v>
          </cell>
        </row>
        <row r="6741">
          <cell r="F6741">
            <v>28.58</v>
          </cell>
          <cell r="G6741">
            <v>0</v>
          </cell>
          <cell r="H6741">
            <v>62</v>
          </cell>
        </row>
        <row r="6742">
          <cell r="F6742">
            <v>28.58</v>
          </cell>
          <cell r="G6742">
            <v>0</v>
          </cell>
          <cell r="H6742">
            <v>62</v>
          </cell>
        </row>
        <row r="6743">
          <cell r="F6743">
            <v>21.63</v>
          </cell>
          <cell r="G6743">
            <v>0</v>
          </cell>
          <cell r="H6743">
            <v>62</v>
          </cell>
        </row>
        <row r="6744">
          <cell r="F6744">
            <v>18.940000000000001</v>
          </cell>
          <cell r="G6744">
            <v>0</v>
          </cell>
          <cell r="H6744">
            <v>62</v>
          </cell>
        </row>
        <row r="6745">
          <cell r="F6745">
            <v>405.27</v>
          </cell>
          <cell r="G6745">
            <v>0</v>
          </cell>
          <cell r="H6745">
            <v>62</v>
          </cell>
        </row>
        <row r="6746">
          <cell r="F6746">
            <v>29.85</v>
          </cell>
          <cell r="G6746">
            <v>0</v>
          </cell>
          <cell r="H6746">
            <v>62</v>
          </cell>
        </row>
        <row r="6747">
          <cell r="F6747">
            <v>0.23</v>
          </cell>
          <cell r="G6747">
            <v>0</v>
          </cell>
          <cell r="H6747">
            <v>62</v>
          </cell>
        </row>
        <row r="6748">
          <cell r="F6748">
            <v>22.24</v>
          </cell>
          <cell r="G6748">
            <v>0</v>
          </cell>
          <cell r="H6748">
            <v>62</v>
          </cell>
        </row>
        <row r="6749">
          <cell r="F6749">
            <v>29.76</v>
          </cell>
          <cell r="G6749">
            <v>0</v>
          </cell>
          <cell r="H6749">
            <v>62</v>
          </cell>
        </row>
        <row r="6750">
          <cell r="F6750">
            <v>100.06</v>
          </cell>
          <cell r="G6750">
            <v>0</v>
          </cell>
          <cell r="H6750">
            <v>62</v>
          </cell>
        </row>
        <row r="6751">
          <cell r="F6751">
            <v>180.37</v>
          </cell>
          <cell r="G6751">
            <v>0</v>
          </cell>
          <cell r="H6751">
            <v>62</v>
          </cell>
        </row>
        <row r="6752">
          <cell r="F6752">
            <v>22.75</v>
          </cell>
          <cell r="G6752">
            <v>0</v>
          </cell>
          <cell r="H6752">
            <v>62</v>
          </cell>
        </row>
        <row r="6753">
          <cell r="F6753">
            <v>249.89</v>
          </cell>
          <cell r="G6753">
            <v>0</v>
          </cell>
          <cell r="H6753">
            <v>62</v>
          </cell>
        </row>
        <row r="6754">
          <cell r="F6754">
            <v>50.16</v>
          </cell>
          <cell r="G6754">
            <v>0</v>
          </cell>
          <cell r="H6754">
            <v>62</v>
          </cell>
        </row>
        <row r="6755">
          <cell r="F6755">
            <v>266.92</v>
          </cell>
          <cell r="G6755">
            <v>0</v>
          </cell>
          <cell r="H6755">
            <v>62</v>
          </cell>
        </row>
        <row r="6756">
          <cell r="F6756">
            <v>0.42</v>
          </cell>
          <cell r="G6756">
            <v>0</v>
          </cell>
          <cell r="H6756">
            <v>62</v>
          </cell>
        </row>
        <row r="6757">
          <cell r="F6757">
            <v>62.88</v>
          </cell>
          <cell r="G6757">
            <v>0</v>
          </cell>
          <cell r="H6757">
            <v>62</v>
          </cell>
        </row>
        <row r="6758">
          <cell r="F6758">
            <v>36.82</v>
          </cell>
          <cell r="G6758">
            <v>0</v>
          </cell>
          <cell r="H6758">
            <v>62</v>
          </cell>
        </row>
        <row r="6759">
          <cell r="F6759">
            <v>29.96</v>
          </cell>
          <cell r="G6759">
            <v>0</v>
          </cell>
          <cell r="H6759">
            <v>62</v>
          </cell>
        </row>
        <row r="6760">
          <cell r="F6760">
            <v>8.8800000000000008</v>
          </cell>
          <cell r="G6760">
            <v>0</v>
          </cell>
          <cell r="H6760">
            <v>62</v>
          </cell>
        </row>
        <row r="6761">
          <cell r="F6761">
            <v>10.31</v>
          </cell>
          <cell r="G6761">
            <v>0</v>
          </cell>
          <cell r="H6761">
            <v>62</v>
          </cell>
        </row>
        <row r="6762">
          <cell r="F6762">
            <v>3.39</v>
          </cell>
          <cell r="G6762">
            <v>0</v>
          </cell>
          <cell r="H6762">
            <v>62</v>
          </cell>
        </row>
        <row r="6763">
          <cell r="F6763">
            <v>28.65</v>
          </cell>
          <cell r="G6763">
            <v>0</v>
          </cell>
          <cell r="H6763">
            <v>62</v>
          </cell>
        </row>
        <row r="6764">
          <cell r="F6764">
            <v>102.24</v>
          </cell>
          <cell r="G6764">
            <v>0</v>
          </cell>
          <cell r="H6764">
            <v>62</v>
          </cell>
        </row>
        <row r="6765">
          <cell r="F6765">
            <v>4.55</v>
          </cell>
          <cell r="G6765">
            <v>0</v>
          </cell>
          <cell r="H6765">
            <v>62</v>
          </cell>
        </row>
        <row r="6766">
          <cell r="F6766">
            <v>86.69</v>
          </cell>
          <cell r="G6766">
            <v>0</v>
          </cell>
          <cell r="H6766">
            <v>62</v>
          </cell>
        </row>
        <row r="6767">
          <cell r="F6767">
            <v>1.22</v>
          </cell>
          <cell r="G6767">
            <v>0</v>
          </cell>
          <cell r="H6767">
            <v>62</v>
          </cell>
        </row>
        <row r="6768">
          <cell r="F6768">
            <v>10.55</v>
          </cell>
          <cell r="G6768">
            <v>0</v>
          </cell>
          <cell r="H6768">
            <v>62</v>
          </cell>
        </row>
        <row r="6769">
          <cell r="F6769">
            <v>15.48</v>
          </cell>
          <cell r="G6769">
            <v>0</v>
          </cell>
          <cell r="H6769">
            <v>62</v>
          </cell>
        </row>
        <row r="6770">
          <cell r="F6770">
            <v>0.2</v>
          </cell>
          <cell r="G6770">
            <v>0</v>
          </cell>
          <cell r="H6770">
            <v>62</v>
          </cell>
        </row>
        <row r="6771">
          <cell r="F6771">
            <v>3.27</v>
          </cell>
          <cell r="G6771">
            <v>0</v>
          </cell>
          <cell r="H6771">
            <v>62</v>
          </cell>
        </row>
        <row r="6772">
          <cell r="F6772">
            <v>2.99</v>
          </cell>
          <cell r="G6772">
            <v>0</v>
          </cell>
          <cell r="H6772">
            <v>62</v>
          </cell>
        </row>
        <row r="6773">
          <cell r="F6773">
            <v>4.92</v>
          </cell>
          <cell r="G6773">
            <v>0</v>
          </cell>
          <cell r="H6773">
            <v>62</v>
          </cell>
        </row>
        <row r="6774">
          <cell r="F6774">
            <v>1.87</v>
          </cell>
          <cell r="G6774">
            <v>0</v>
          </cell>
          <cell r="H6774">
            <v>62</v>
          </cell>
        </row>
        <row r="6775">
          <cell r="F6775">
            <v>1.22</v>
          </cell>
          <cell r="G6775">
            <v>0</v>
          </cell>
          <cell r="H6775">
            <v>62</v>
          </cell>
        </row>
        <row r="6776">
          <cell r="F6776">
            <v>5.74</v>
          </cell>
          <cell r="G6776">
            <v>0</v>
          </cell>
          <cell r="H6776">
            <v>62</v>
          </cell>
        </row>
        <row r="6777">
          <cell r="F6777">
            <v>1.22</v>
          </cell>
          <cell r="G6777">
            <v>0</v>
          </cell>
          <cell r="H6777">
            <v>62</v>
          </cell>
        </row>
        <row r="6778">
          <cell r="F6778">
            <v>12.24</v>
          </cell>
          <cell r="G6778">
            <v>0</v>
          </cell>
          <cell r="H6778">
            <v>62</v>
          </cell>
        </row>
        <row r="6779">
          <cell r="F6779">
            <v>0.83</v>
          </cell>
          <cell r="G6779">
            <v>0</v>
          </cell>
          <cell r="H6779">
            <v>62</v>
          </cell>
        </row>
        <row r="6780">
          <cell r="F6780">
            <v>6.02</v>
          </cell>
          <cell r="G6780">
            <v>0</v>
          </cell>
          <cell r="H6780">
            <v>62</v>
          </cell>
        </row>
        <row r="6781">
          <cell r="F6781">
            <v>0.42</v>
          </cell>
          <cell r="G6781">
            <v>0</v>
          </cell>
          <cell r="H6781">
            <v>62</v>
          </cell>
        </row>
        <row r="6782">
          <cell r="F6782">
            <v>0.62</v>
          </cell>
          <cell r="G6782">
            <v>0</v>
          </cell>
          <cell r="H6782">
            <v>62</v>
          </cell>
        </row>
        <row r="6783">
          <cell r="F6783">
            <v>0</v>
          </cell>
          <cell r="G6783">
            <v>0</v>
          </cell>
          <cell r="H6783">
            <v>62</v>
          </cell>
        </row>
        <row r="6784">
          <cell r="F6784">
            <v>1.82</v>
          </cell>
          <cell r="G6784">
            <v>0</v>
          </cell>
          <cell r="H6784">
            <v>62</v>
          </cell>
        </row>
        <row r="6785">
          <cell r="F6785">
            <v>1.1200000000000001</v>
          </cell>
          <cell r="G6785">
            <v>0</v>
          </cell>
          <cell r="H6785">
            <v>62</v>
          </cell>
        </row>
        <row r="6786">
          <cell r="F6786">
            <v>4.8600000000000003</v>
          </cell>
          <cell r="G6786">
            <v>0</v>
          </cell>
          <cell r="H6786">
            <v>62</v>
          </cell>
        </row>
        <row r="6787">
          <cell r="F6787">
            <v>57.06</v>
          </cell>
          <cell r="G6787">
            <v>0</v>
          </cell>
          <cell r="H6787">
            <v>62</v>
          </cell>
        </row>
        <row r="6788">
          <cell r="F6788">
            <v>0.08</v>
          </cell>
          <cell r="G6788">
            <v>0</v>
          </cell>
          <cell r="H6788">
            <v>62</v>
          </cell>
        </row>
        <row r="6789">
          <cell r="F6789">
            <v>5.01</v>
          </cell>
          <cell r="G6789">
            <v>0</v>
          </cell>
          <cell r="H6789">
            <v>62</v>
          </cell>
        </row>
        <row r="6790">
          <cell r="F6790">
            <v>1.44</v>
          </cell>
          <cell r="G6790">
            <v>0</v>
          </cell>
          <cell r="H6790">
            <v>62</v>
          </cell>
        </row>
        <row r="6791">
          <cell r="F6791">
            <v>40.83</v>
          </cell>
          <cell r="G6791">
            <v>0</v>
          </cell>
          <cell r="H6791">
            <v>62</v>
          </cell>
        </row>
        <row r="6792">
          <cell r="F6792">
            <v>1.73</v>
          </cell>
          <cell r="G6792">
            <v>0</v>
          </cell>
          <cell r="H6792">
            <v>62</v>
          </cell>
        </row>
        <row r="6793">
          <cell r="F6793">
            <v>0.62</v>
          </cell>
          <cell r="G6793">
            <v>0</v>
          </cell>
          <cell r="H6793">
            <v>62</v>
          </cell>
        </row>
        <row r="6794">
          <cell r="F6794">
            <v>56.29</v>
          </cell>
          <cell r="G6794">
            <v>0</v>
          </cell>
          <cell r="H6794">
            <v>62</v>
          </cell>
        </row>
        <row r="6795">
          <cell r="F6795">
            <v>1.87</v>
          </cell>
          <cell r="G6795">
            <v>0</v>
          </cell>
          <cell r="H6795">
            <v>62</v>
          </cell>
        </row>
        <row r="6796">
          <cell r="F6796">
            <v>0.06</v>
          </cell>
          <cell r="G6796">
            <v>0</v>
          </cell>
          <cell r="H6796">
            <v>62</v>
          </cell>
        </row>
        <row r="6797">
          <cell r="F6797">
            <v>2.85</v>
          </cell>
          <cell r="G6797">
            <v>0</v>
          </cell>
          <cell r="H6797">
            <v>62</v>
          </cell>
        </row>
        <row r="6798">
          <cell r="F6798">
            <v>21614.940000000002</v>
          </cell>
          <cell r="G6798">
            <v>0</v>
          </cell>
          <cell r="H6798">
            <v>62</v>
          </cell>
        </row>
        <row r="6799">
          <cell r="F6799">
            <v>53</v>
          </cell>
          <cell r="G6799">
            <v>0</v>
          </cell>
          <cell r="H6799">
            <v>62</v>
          </cell>
        </row>
        <row r="6800">
          <cell r="F6800">
            <v>160</v>
          </cell>
          <cell r="G6800">
            <v>0</v>
          </cell>
          <cell r="H6800">
            <v>62</v>
          </cell>
        </row>
        <row r="6801">
          <cell r="F6801">
            <v>671.56</v>
          </cell>
          <cell r="G6801">
            <v>0</v>
          </cell>
          <cell r="H6801">
            <v>62</v>
          </cell>
        </row>
        <row r="6802">
          <cell r="F6802">
            <v>1993.98</v>
          </cell>
          <cell r="G6802">
            <v>0</v>
          </cell>
          <cell r="H6802">
            <v>62</v>
          </cell>
        </row>
        <row r="6803">
          <cell r="F6803">
            <v>1367.97</v>
          </cell>
          <cell r="G6803">
            <v>0</v>
          </cell>
          <cell r="H6803">
            <v>62</v>
          </cell>
        </row>
        <row r="6804">
          <cell r="F6804">
            <v>14437</v>
          </cell>
          <cell r="G6804">
            <v>0</v>
          </cell>
          <cell r="H6804">
            <v>62</v>
          </cell>
        </row>
        <row r="6805">
          <cell r="F6805">
            <v>0</v>
          </cell>
          <cell r="G6805">
            <v>0</v>
          </cell>
          <cell r="H6805">
            <v>62</v>
          </cell>
        </row>
        <row r="6806">
          <cell r="F6806">
            <v>0</v>
          </cell>
          <cell r="G6806">
            <v>0</v>
          </cell>
          <cell r="H6806">
            <v>62</v>
          </cell>
        </row>
        <row r="6807">
          <cell r="F6807">
            <v>0</v>
          </cell>
          <cell r="G6807">
            <v>0</v>
          </cell>
          <cell r="H6807">
            <v>62</v>
          </cell>
        </row>
        <row r="6808">
          <cell r="F6808">
            <v>0</v>
          </cell>
          <cell r="G6808">
            <v>0</v>
          </cell>
          <cell r="H6808">
            <v>62</v>
          </cell>
        </row>
        <row r="6809">
          <cell r="F6809">
            <v>0</v>
          </cell>
          <cell r="G6809">
            <v>0</v>
          </cell>
          <cell r="H6809">
            <v>62</v>
          </cell>
        </row>
        <row r="6810">
          <cell r="F6810">
            <v>2330.81</v>
          </cell>
          <cell r="G6810">
            <v>0</v>
          </cell>
          <cell r="H6810">
            <v>62</v>
          </cell>
        </row>
        <row r="6811">
          <cell r="F6811">
            <v>2870.96</v>
          </cell>
          <cell r="G6811">
            <v>0</v>
          </cell>
          <cell r="H6811">
            <v>62</v>
          </cell>
        </row>
        <row r="6812">
          <cell r="F6812">
            <v>4648.08</v>
          </cell>
          <cell r="G6812">
            <v>0</v>
          </cell>
          <cell r="H6812">
            <v>62</v>
          </cell>
        </row>
        <row r="6813">
          <cell r="F6813">
            <v>11985.160000000002</v>
          </cell>
          <cell r="G6813">
            <v>0</v>
          </cell>
          <cell r="H6813">
            <v>62</v>
          </cell>
        </row>
        <row r="6814">
          <cell r="F6814">
            <v>5859.67</v>
          </cell>
          <cell r="G6814">
            <v>0</v>
          </cell>
          <cell r="H6814">
            <v>62</v>
          </cell>
        </row>
        <row r="6815">
          <cell r="F6815">
            <v>13078.02</v>
          </cell>
          <cell r="G6815">
            <v>0</v>
          </cell>
          <cell r="H6815">
            <v>62</v>
          </cell>
        </row>
        <row r="6816">
          <cell r="F6816">
            <v>2579.89</v>
          </cell>
          <cell r="G6816">
            <v>0</v>
          </cell>
          <cell r="H6816">
            <v>62</v>
          </cell>
        </row>
        <row r="6817">
          <cell r="F6817">
            <v>32852.230000000003</v>
          </cell>
          <cell r="G6817">
            <v>0</v>
          </cell>
          <cell r="H6817">
            <v>62</v>
          </cell>
        </row>
        <row r="6818">
          <cell r="F6818">
            <v>1051.23</v>
          </cell>
          <cell r="G6818">
            <v>0</v>
          </cell>
          <cell r="H6818">
            <v>62</v>
          </cell>
        </row>
        <row r="6819">
          <cell r="F6819">
            <v>9652.7100000000009</v>
          </cell>
          <cell r="G6819">
            <v>0</v>
          </cell>
          <cell r="H6819">
            <v>62</v>
          </cell>
        </row>
        <row r="6820">
          <cell r="F6820">
            <v>18894.29</v>
          </cell>
          <cell r="G6820">
            <v>0</v>
          </cell>
          <cell r="H6820">
            <v>62</v>
          </cell>
        </row>
        <row r="6821">
          <cell r="F6821">
            <v>12359.08</v>
          </cell>
          <cell r="G6821">
            <v>0</v>
          </cell>
          <cell r="H6821">
            <v>62</v>
          </cell>
        </row>
        <row r="6822">
          <cell r="F6822">
            <v>18393.13</v>
          </cell>
          <cell r="G6822">
            <v>0</v>
          </cell>
          <cell r="H6822">
            <v>62</v>
          </cell>
        </row>
        <row r="6823">
          <cell r="F6823">
            <v>1462.74</v>
          </cell>
          <cell r="G6823">
            <v>0</v>
          </cell>
          <cell r="H6823">
            <v>62</v>
          </cell>
        </row>
        <row r="6824">
          <cell r="F6824">
            <v>16562.09</v>
          </cell>
          <cell r="G6824">
            <v>0</v>
          </cell>
          <cell r="H6824">
            <v>62</v>
          </cell>
        </row>
        <row r="6825">
          <cell r="F6825">
            <v>14299.63</v>
          </cell>
          <cell r="G6825">
            <v>0</v>
          </cell>
          <cell r="H6825">
            <v>62</v>
          </cell>
        </row>
        <row r="6826">
          <cell r="F6826">
            <v>20584.38</v>
          </cell>
          <cell r="G6826">
            <v>0</v>
          </cell>
          <cell r="H6826">
            <v>62</v>
          </cell>
        </row>
        <row r="6827">
          <cell r="F6827">
            <v>9133.69</v>
          </cell>
          <cell r="G6827">
            <v>0</v>
          </cell>
          <cell r="H6827">
            <v>62</v>
          </cell>
        </row>
        <row r="6828">
          <cell r="F6828">
            <v>16765.849999999999</v>
          </cell>
          <cell r="G6828">
            <v>0</v>
          </cell>
          <cell r="H6828">
            <v>62</v>
          </cell>
        </row>
        <row r="6829">
          <cell r="F6829">
            <v>0</v>
          </cell>
          <cell r="G6829">
            <v>0</v>
          </cell>
          <cell r="H6829">
            <v>62</v>
          </cell>
        </row>
        <row r="6830">
          <cell r="F6830">
            <v>12012.460000000001</v>
          </cell>
          <cell r="G6830">
            <v>0</v>
          </cell>
          <cell r="H6830">
            <v>62</v>
          </cell>
        </row>
        <row r="6831">
          <cell r="F6831">
            <v>5974.06</v>
          </cell>
          <cell r="G6831">
            <v>0</v>
          </cell>
          <cell r="H6831">
            <v>62</v>
          </cell>
        </row>
        <row r="6832">
          <cell r="F6832">
            <v>3431.19</v>
          </cell>
          <cell r="G6832">
            <v>0</v>
          </cell>
          <cell r="H6832">
            <v>62</v>
          </cell>
        </row>
        <row r="6833">
          <cell r="F6833">
            <v>3951.76</v>
          </cell>
          <cell r="G6833">
            <v>0</v>
          </cell>
          <cell r="H6833">
            <v>62</v>
          </cell>
        </row>
        <row r="6834">
          <cell r="F6834">
            <v>31726.770000000004</v>
          </cell>
          <cell r="G6834">
            <v>0</v>
          </cell>
          <cell r="H6834">
            <v>62</v>
          </cell>
        </row>
        <row r="6835">
          <cell r="F6835">
            <v>33838.399999999994</v>
          </cell>
          <cell r="G6835">
            <v>0</v>
          </cell>
          <cell r="H6835">
            <v>62</v>
          </cell>
        </row>
        <row r="6836">
          <cell r="F6836">
            <v>5279.36</v>
          </cell>
          <cell r="G6836">
            <v>0</v>
          </cell>
          <cell r="H6836">
            <v>62</v>
          </cell>
        </row>
        <row r="6837">
          <cell r="F6837">
            <v>27556.29</v>
          </cell>
          <cell r="G6837">
            <v>0</v>
          </cell>
          <cell r="H6837">
            <v>62</v>
          </cell>
        </row>
        <row r="6838">
          <cell r="F6838">
            <v>15395.31</v>
          </cell>
          <cell r="G6838">
            <v>0</v>
          </cell>
          <cell r="H6838">
            <v>62</v>
          </cell>
        </row>
        <row r="6839">
          <cell r="F6839">
            <v>3045.29</v>
          </cell>
          <cell r="G6839">
            <v>0</v>
          </cell>
          <cell r="H6839">
            <v>62</v>
          </cell>
        </row>
        <row r="6840">
          <cell r="F6840">
            <v>28807.38</v>
          </cell>
          <cell r="G6840">
            <v>0</v>
          </cell>
          <cell r="H6840">
            <v>62</v>
          </cell>
        </row>
        <row r="6841">
          <cell r="F6841">
            <v>14960.560000000001</v>
          </cell>
          <cell r="G6841">
            <v>0</v>
          </cell>
          <cell r="H6841">
            <v>62</v>
          </cell>
        </row>
        <row r="6842">
          <cell r="F6842">
            <v>8407.19</v>
          </cell>
          <cell r="G6842">
            <v>0</v>
          </cell>
          <cell r="H6842">
            <v>62</v>
          </cell>
        </row>
        <row r="6843">
          <cell r="F6843">
            <v>7320.05</v>
          </cell>
          <cell r="G6843">
            <v>0</v>
          </cell>
          <cell r="H6843">
            <v>62</v>
          </cell>
        </row>
        <row r="6844">
          <cell r="F6844">
            <v>7058.7</v>
          </cell>
          <cell r="G6844">
            <v>0</v>
          </cell>
          <cell r="H6844">
            <v>62</v>
          </cell>
        </row>
        <row r="6845">
          <cell r="F6845">
            <v>0</v>
          </cell>
          <cell r="G6845">
            <v>0</v>
          </cell>
          <cell r="H6845">
            <v>62</v>
          </cell>
        </row>
        <row r="6846">
          <cell r="F6846">
            <v>71754.83</v>
          </cell>
          <cell r="G6846">
            <v>0</v>
          </cell>
          <cell r="H6846">
            <v>62</v>
          </cell>
        </row>
        <row r="6847">
          <cell r="F6847">
            <v>3798.9500000000003</v>
          </cell>
          <cell r="G6847">
            <v>0</v>
          </cell>
          <cell r="H6847">
            <v>62</v>
          </cell>
        </row>
        <row r="6848">
          <cell r="F6848">
            <v>7206.04</v>
          </cell>
          <cell r="G6848">
            <v>0</v>
          </cell>
          <cell r="H6848">
            <v>62</v>
          </cell>
        </row>
        <row r="6849">
          <cell r="F6849">
            <v>367.11</v>
          </cell>
          <cell r="G6849">
            <v>0</v>
          </cell>
          <cell r="H6849">
            <v>62</v>
          </cell>
        </row>
        <row r="6850">
          <cell r="F6850">
            <v>321.70999999999998</v>
          </cell>
          <cell r="G6850">
            <v>0</v>
          </cell>
          <cell r="H6850">
            <v>62</v>
          </cell>
        </row>
        <row r="6851">
          <cell r="F6851">
            <v>6580.5</v>
          </cell>
          <cell r="G6851">
            <v>0</v>
          </cell>
          <cell r="H6851">
            <v>62</v>
          </cell>
        </row>
        <row r="6852">
          <cell r="F6852">
            <v>11894.28</v>
          </cell>
          <cell r="G6852">
            <v>0</v>
          </cell>
          <cell r="H6852">
            <v>62</v>
          </cell>
        </row>
        <row r="6853">
          <cell r="F6853">
            <v>13919.9</v>
          </cell>
          <cell r="G6853">
            <v>0</v>
          </cell>
          <cell r="H6853">
            <v>62</v>
          </cell>
        </row>
        <row r="6854">
          <cell r="F6854">
            <v>39199.800000000003</v>
          </cell>
          <cell r="G6854">
            <v>0</v>
          </cell>
          <cell r="H6854">
            <v>62</v>
          </cell>
        </row>
        <row r="6855">
          <cell r="F6855">
            <v>11557.33</v>
          </cell>
          <cell r="G6855">
            <v>0</v>
          </cell>
          <cell r="H6855">
            <v>62</v>
          </cell>
        </row>
        <row r="6856">
          <cell r="F6856">
            <v>13492.98</v>
          </cell>
          <cell r="G6856">
            <v>0</v>
          </cell>
          <cell r="H6856">
            <v>62</v>
          </cell>
        </row>
        <row r="6857">
          <cell r="F6857">
            <v>1667.45</v>
          </cell>
          <cell r="G6857">
            <v>0</v>
          </cell>
          <cell r="H6857">
            <v>62</v>
          </cell>
        </row>
        <row r="6858">
          <cell r="F6858">
            <v>47700.13</v>
          </cell>
          <cell r="G6858">
            <v>0</v>
          </cell>
          <cell r="H6858">
            <v>62</v>
          </cell>
        </row>
        <row r="6859">
          <cell r="F6859">
            <v>6867.46</v>
          </cell>
          <cell r="G6859">
            <v>0</v>
          </cell>
          <cell r="H6859">
            <v>62</v>
          </cell>
        </row>
        <row r="6860">
          <cell r="F6860">
            <v>27186</v>
          </cell>
          <cell r="G6860">
            <v>0</v>
          </cell>
          <cell r="H6860">
            <v>62</v>
          </cell>
        </row>
        <row r="6861">
          <cell r="F6861">
            <v>1945.94</v>
          </cell>
          <cell r="G6861">
            <v>0</v>
          </cell>
          <cell r="H6861">
            <v>62</v>
          </cell>
        </row>
        <row r="6862">
          <cell r="F6862">
            <v>22975.19</v>
          </cell>
          <cell r="G6862">
            <v>0</v>
          </cell>
          <cell r="H6862">
            <v>62</v>
          </cell>
        </row>
        <row r="6863">
          <cell r="F6863">
            <v>10030.539999999999</v>
          </cell>
          <cell r="G6863">
            <v>0</v>
          </cell>
          <cell r="H6863">
            <v>62</v>
          </cell>
        </row>
        <row r="6864">
          <cell r="F6864">
            <v>24296.710000000003</v>
          </cell>
          <cell r="G6864">
            <v>0</v>
          </cell>
          <cell r="H6864">
            <v>62</v>
          </cell>
        </row>
        <row r="6865">
          <cell r="F6865">
            <v>15350.41</v>
          </cell>
          <cell r="G6865">
            <v>0</v>
          </cell>
          <cell r="H6865">
            <v>62</v>
          </cell>
        </row>
        <row r="6866">
          <cell r="F6866">
            <v>19075.5</v>
          </cell>
          <cell r="G6866">
            <v>0</v>
          </cell>
          <cell r="H6866">
            <v>62</v>
          </cell>
        </row>
        <row r="6867">
          <cell r="F6867">
            <v>20286.190000000002</v>
          </cell>
          <cell r="G6867">
            <v>0</v>
          </cell>
          <cell r="H6867">
            <v>62</v>
          </cell>
        </row>
        <row r="6868">
          <cell r="F6868">
            <v>4813.09</v>
          </cell>
          <cell r="G6868">
            <v>0</v>
          </cell>
          <cell r="H6868">
            <v>62</v>
          </cell>
        </row>
        <row r="6869">
          <cell r="F6869">
            <v>35668.049999999996</v>
          </cell>
          <cell r="G6869">
            <v>0</v>
          </cell>
          <cell r="H6869">
            <v>62</v>
          </cell>
        </row>
        <row r="6870">
          <cell r="F6870">
            <v>4074.94</v>
          </cell>
          <cell r="G6870">
            <v>0</v>
          </cell>
          <cell r="H6870">
            <v>62</v>
          </cell>
        </row>
        <row r="6871">
          <cell r="F6871">
            <v>988.55000000000007</v>
          </cell>
          <cell r="G6871">
            <v>0</v>
          </cell>
          <cell r="H6871">
            <v>62</v>
          </cell>
        </row>
        <row r="6872">
          <cell r="F6872">
            <v>1609.01</v>
          </cell>
          <cell r="G6872">
            <v>0</v>
          </cell>
          <cell r="H6872">
            <v>62</v>
          </cell>
        </row>
        <row r="6873">
          <cell r="F6873">
            <v>1319.29</v>
          </cell>
          <cell r="G6873">
            <v>0</v>
          </cell>
          <cell r="H6873">
            <v>62</v>
          </cell>
        </row>
        <row r="6874">
          <cell r="F6874">
            <v>10669.57</v>
          </cell>
          <cell r="G6874">
            <v>0</v>
          </cell>
          <cell r="H6874">
            <v>62</v>
          </cell>
        </row>
        <row r="6875">
          <cell r="F6875">
            <v>4375.2299999999996</v>
          </cell>
          <cell r="G6875">
            <v>0</v>
          </cell>
          <cell r="H6875">
            <v>62</v>
          </cell>
        </row>
        <row r="6876">
          <cell r="F6876">
            <v>6568.5</v>
          </cell>
          <cell r="G6876">
            <v>0</v>
          </cell>
          <cell r="H6876">
            <v>62</v>
          </cell>
        </row>
        <row r="6877">
          <cell r="F6877">
            <v>6845.48</v>
          </cell>
          <cell r="G6877">
            <v>0</v>
          </cell>
          <cell r="H6877">
            <v>62</v>
          </cell>
        </row>
        <row r="6878">
          <cell r="F6878">
            <v>1219.4699999999998</v>
          </cell>
          <cell r="G6878">
            <v>0</v>
          </cell>
          <cell r="H6878">
            <v>62</v>
          </cell>
        </row>
        <row r="6879">
          <cell r="F6879">
            <v>0</v>
          </cell>
          <cell r="G6879">
            <v>0</v>
          </cell>
          <cell r="H6879">
            <v>62</v>
          </cell>
        </row>
        <row r="6880">
          <cell r="F6880">
            <v>2555.8200000000002</v>
          </cell>
          <cell r="G6880">
            <v>0</v>
          </cell>
          <cell r="H6880">
            <v>62</v>
          </cell>
        </row>
        <row r="6881">
          <cell r="F6881">
            <v>1786.38</v>
          </cell>
          <cell r="G6881">
            <v>0</v>
          </cell>
          <cell r="H6881">
            <v>62</v>
          </cell>
        </row>
        <row r="6882">
          <cell r="F6882">
            <v>11059.63</v>
          </cell>
          <cell r="G6882">
            <v>0</v>
          </cell>
          <cell r="H6882">
            <v>62</v>
          </cell>
        </row>
        <row r="6883">
          <cell r="F6883">
            <v>43389.43</v>
          </cell>
          <cell r="G6883">
            <v>0</v>
          </cell>
          <cell r="H6883">
            <v>62</v>
          </cell>
        </row>
        <row r="6884">
          <cell r="F6884">
            <v>987.96</v>
          </cell>
          <cell r="G6884">
            <v>0</v>
          </cell>
          <cell r="H6884">
            <v>62</v>
          </cell>
        </row>
        <row r="6885">
          <cell r="F6885">
            <v>0</v>
          </cell>
          <cell r="G6885">
            <v>0</v>
          </cell>
          <cell r="H6885">
            <v>62</v>
          </cell>
        </row>
        <row r="6886">
          <cell r="F6886">
            <v>13500.54</v>
          </cell>
          <cell r="G6886">
            <v>0</v>
          </cell>
          <cell r="H6886">
            <v>62</v>
          </cell>
        </row>
        <row r="6887">
          <cell r="F6887">
            <v>5074.84</v>
          </cell>
          <cell r="G6887">
            <v>0</v>
          </cell>
          <cell r="H6887">
            <v>62</v>
          </cell>
        </row>
        <row r="6888">
          <cell r="F6888">
            <v>30585.129999999997</v>
          </cell>
          <cell r="G6888">
            <v>0</v>
          </cell>
          <cell r="H6888">
            <v>62</v>
          </cell>
        </row>
        <row r="6889">
          <cell r="F6889">
            <v>3357.23</v>
          </cell>
          <cell r="G6889">
            <v>0</v>
          </cell>
          <cell r="H6889">
            <v>62</v>
          </cell>
        </row>
        <row r="6890">
          <cell r="F6890">
            <v>1068.3</v>
          </cell>
          <cell r="G6890">
            <v>0</v>
          </cell>
          <cell r="H6890">
            <v>62</v>
          </cell>
        </row>
        <row r="6891">
          <cell r="F6891">
            <v>1572.04</v>
          </cell>
          <cell r="G6891">
            <v>0</v>
          </cell>
          <cell r="H6891">
            <v>62</v>
          </cell>
        </row>
        <row r="6892">
          <cell r="F6892">
            <v>938.10000000000014</v>
          </cell>
          <cell r="G6892">
            <v>0</v>
          </cell>
          <cell r="H6892">
            <v>62</v>
          </cell>
        </row>
        <row r="6893">
          <cell r="F6893">
            <v>6639.4</v>
          </cell>
          <cell r="G6893">
            <v>0</v>
          </cell>
          <cell r="H6893">
            <v>62</v>
          </cell>
        </row>
        <row r="6894">
          <cell r="F6894">
            <v>16705.21</v>
          </cell>
          <cell r="G6894">
            <v>0</v>
          </cell>
          <cell r="H6894">
            <v>62</v>
          </cell>
        </row>
        <row r="6895">
          <cell r="F6895">
            <v>14840.49</v>
          </cell>
          <cell r="G6895">
            <v>0</v>
          </cell>
          <cell r="H6895">
            <v>62</v>
          </cell>
        </row>
        <row r="6896">
          <cell r="F6896">
            <v>9222.5499999999993</v>
          </cell>
          <cell r="G6896">
            <v>0</v>
          </cell>
          <cell r="H6896">
            <v>62</v>
          </cell>
        </row>
        <row r="6897">
          <cell r="F6897">
            <v>204.88999999999987</v>
          </cell>
          <cell r="G6897">
            <v>0</v>
          </cell>
          <cell r="H6897">
            <v>62</v>
          </cell>
        </row>
        <row r="6898">
          <cell r="F6898">
            <v>5675.1</v>
          </cell>
          <cell r="G6898">
            <v>0</v>
          </cell>
          <cell r="H6898">
            <v>62</v>
          </cell>
        </row>
        <row r="6899">
          <cell r="F6899">
            <v>6781.25</v>
          </cell>
          <cell r="G6899">
            <v>0</v>
          </cell>
          <cell r="H6899">
            <v>62</v>
          </cell>
        </row>
        <row r="6900">
          <cell r="F6900">
            <v>2920.57</v>
          </cell>
          <cell r="G6900">
            <v>0</v>
          </cell>
          <cell r="H6900">
            <v>62</v>
          </cell>
        </row>
        <row r="6901">
          <cell r="F6901">
            <v>1896.62</v>
          </cell>
          <cell r="G6901">
            <v>0</v>
          </cell>
          <cell r="H6901">
            <v>62</v>
          </cell>
        </row>
        <row r="6902">
          <cell r="F6902">
            <v>0</v>
          </cell>
          <cell r="G6902">
            <v>0</v>
          </cell>
          <cell r="H6902">
            <v>62</v>
          </cell>
        </row>
        <row r="6903">
          <cell r="F6903">
            <v>1966.64</v>
          </cell>
          <cell r="G6903">
            <v>0</v>
          </cell>
          <cell r="H6903">
            <v>62</v>
          </cell>
        </row>
        <row r="6904">
          <cell r="F6904">
            <v>3950.85</v>
          </cell>
          <cell r="G6904">
            <v>0</v>
          </cell>
          <cell r="H6904">
            <v>62</v>
          </cell>
        </row>
        <row r="6905">
          <cell r="F6905">
            <v>4927.62</v>
          </cell>
          <cell r="G6905">
            <v>0</v>
          </cell>
          <cell r="H6905">
            <v>62</v>
          </cell>
        </row>
        <row r="6906">
          <cell r="F6906">
            <v>1284.5900000000001</v>
          </cell>
          <cell r="G6906">
            <v>0</v>
          </cell>
          <cell r="H6906">
            <v>62</v>
          </cell>
        </row>
        <row r="6907">
          <cell r="F6907">
            <v>11695.650000000001</v>
          </cell>
          <cell r="G6907">
            <v>0</v>
          </cell>
          <cell r="H6907">
            <v>62</v>
          </cell>
        </row>
        <row r="6908">
          <cell r="F6908">
            <v>5993.18</v>
          </cell>
          <cell r="G6908">
            <v>0</v>
          </cell>
          <cell r="H6908">
            <v>62</v>
          </cell>
        </row>
        <row r="6909">
          <cell r="F6909">
            <v>1380.38</v>
          </cell>
          <cell r="G6909">
            <v>0</v>
          </cell>
          <cell r="H6909">
            <v>62</v>
          </cell>
        </row>
        <row r="6910">
          <cell r="F6910">
            <v>7993.9500000000007</v>
          </cell>
          <cell r="G6910">
            <v>0</v>
          </cell>
          <cell r="H6910">
            <v>62</v>
          </cell>
        </row>
        <row r="6911">
          <cell r="F6911">
            <v>0</v>
          </cell>
          <cell r="G6911">
            <v>0</v>
          </cell>
          <cell r="H6911">
            <v>62</v>
          </cell>
        </row>
        <row r="6912">
          <cell r="F6912">
            <v>456.07999999999993</v>
          </cell>
          <cell r="G6912">
            <v>0</v>
          </cell>
          <cell r="H6912">
            <v>62</v>
          </cell>
        </row>
        <row r="6913">
          <cell r="F6913">
            <v>4024.2700000000004</v>
          </cell>
          <cell r="G6913">
            <v>0</v>
          </cell>
          <cell r="H6913">
            <v>62</v>
          </cell>
        </row>
        <row r="6914">
          <cell r="F6914">
            <v>380.25000000000006</v>
          </cell>
          <cell r="G6914">
            <v>0</v>
          </cell>
          <cell r="H6914">
            <v>62</v>
          </cell>
        </row>
        <row r="6915">
          <cell r="F6915">
            <v>30575.94</v>
          </cell>
          <cell r="G6915">
            <v>0</v>
          </cell>
          <cell r="H6915">
            <v>62</v>
          </cell>
        </row>
        <row r="6916">
          <cell r="F6916">
            <v>49845.729999999996</v>
          </cell>
          <cell r="G6916">
            <v>0</v>
          </cell>
          <cell r="H6916">
            <v>62</v>
          </cell>
        </row>
        <row r="6917">
          <cell r="F6917">
            <v>15227.18</v>
          </cell>
          <cell r="G6917">
            <v>0</v>
          </cell>
          <cell r="H6917">
            <v>62</v>
          </cell>
        </row>
        <row r="6918">
          <cell r="F6918">
            <v>10407</v>
          </cell>
          <cell r="G6918">
            <v>0</v>
          </cell>
          <cell r="H6918">
            <v>62</v>
          </cell>
        </row>
        <row r="6919">
          <cell r="F6919">
            <v>13378.91</v>
          </cell>
          <cell r="G6919">
            <v>0</v>
          </cell>
          <cell r="H6919">
            <v>62</v>
          </cell>
        </row>
        <row r="6920">
          <cell r="F6920">
            <v>15630.01</v>
          </cell>
          <cell r="G6920">
            <v>0</v>
          </cell>
          <cell r="H6920">
            <v>62</v>
          </cell>
        </row>
        <row r="6921">
          <cell r="F6921">
            <v>1862.68</v>
          </cell>
          <cell r="G6921">
            <v>0</v>
          </cell>
          <cell r="H6921">
            <v>62</v>
          </cell>
        </row>
        <row r="6922">
          <cell r="F6922">
            <v>14208.27</v>
          </cell>
          <cell r="G6922">
            <v>0</v>
          </cell>
          <cell r="H6922">
            <v>62</v>
          </cell>
        </row>
        <row r="6923">
          <cell r="F6923">
            <v>516.25</v>
          </cell>
          <cell r="G6923">
            <v>0</v>
          </cell>
          <cell r="H6923">
            <v>62</v>
          </cell>
        </row>
        <row r="6924">
          <cell r="F6924">
            <v>11670.12</v>
          </cell>
          <cell r="G6924">
            <v>0</v>
          </cell>
          <cell r="H6924">
            <v>62</v>
          </cell>
        </row>
        <row r="6925">
          <cell r="F6925">
            <v>5039</v>
          </cell>
          <cell r="G6925">
            <v>0</v>
          </cell>
          <cell r="H6925">
            <v>62</v>
          </cell>
        </row>
        <row r="6926">
          <cell r="F6926">
            <v>14738.19</v>
          </cell>
          <cell r="G6926">
            <v>0</v>
          </cell>
          <cell r="H6926">
            <v>62</v>
          </cell>
        </row>
        <row r="6927">
          <cell r="F6927">
            <v>4651.8500000000004</v>
          </cell>
          <cell r="G6927">
            <v>0</v>
          </cell>
          <cell r="H6927">
            <v>62</v>
          </cell>
        </row>
        <row r="6928">
          <cell r="F6928">
            <v>27235.34</v>
          </cell>
          <cell r="G6928">
            <v>0</v>
          </cell>
          <cell r="H6928">
            <v>62</v>
          </cell>
        </row>
        <row r="6929">
          <cell r="F6929">
            <v>1485.08</v>
          </cell>
          <cell r="G6929">
            <v>0</v>
          </cell>
          <cell r="H6929">
            <v>62</v>
          </cell>
        </row>
        <row r="6930">
          <cell r="F6930">
            <v>42835.130000000005</v>
          </cell>
          <cell r="G6930">
            <v>0</v>
          </cell>
          <cell r="H6930">
            <v>62</v>
          </cell>
        </row>
        <row r="6931">
          <cell r="F6931">
            <v>5463.13</v>
          </cell>
          <cell r="G6931">
            <v>0</v>
          </cell>
          <cell r="H6931">
            <v>62</v>
          </cell>
        </row>
        <row r="6932">
          <cell r="F6932">
            <v>19599.509999999998</v>
          </cell>
          <cell r="G6932">
            <v>0</v>
          </cell>
          <cell r="H6932">
            <v>62</v>
          </cell>
        </row>
        <row r="6933">
          <cell r="F6933">
            <v>8047.76</v>
          </cell>
          <cell r="G6933">
            <v>0</v>
          </cell>
          <cell r="H6933">
            <v>62</v>
          </cell>
        </row>
        <row r="6934">
          <cell r="F6934">
            <v>574.49</v>
          </cell>
          <cell r="G6934">
            <v>0</v>
          </cell>
          <cell r="H6934">
            <v>62</v>
          </cell>
        </row>
        <row r="6935">
          <cell r="F6935">
            <v>1116</v>
          </cell>
          <cell r="G6935">
            <v>0</v>
          </cell>
          <cell r="H6935">
            <v>62</v>
          </cell>
        </row>
        <row r="6936">
          <cell r="F6936">
            <v>15007.82</v>
          </cell>
          <cell r="G6936">
            <v>0</v>
          </cell>
          <cell r="H6936">
            <v>62</v>
          </cell>
        </row>
        <row r="6937">
          <cell r="F6937">
            <v>54123.4</v>
          </cell>
          <cell r="G6937">
            <v>0</v>
          </cell>
          <cell r="H6937">
            <v>62</v>
          </cell>
        </row>
        <row r="6938">
          <cell r="F6938">
            <v>39020.560000000005</v>
          </cell>
          <cell r="G6938">
            <v>0</v>
          </cell>
          <cell r="H6938">
            <v>62</v>
          </cell>
        </row>
        <row r="6939">
          <cell r="F6939">
            <v>7990.2199999999993</v>
          </cell>
          <cell r="G6939">
            <v>0</v>
          </cell>
          <cell r="H6939">
            <v>62</v>
          </cell>
        </row>
        <row r="6940">
          <cell r="F6940">
            <v>15544.05</v>
          </cell>
          <cell r="G6940">
            <v>0</v>
          </cell>
          <cell r="H6940">
            <v>62</v>
          </cell>
        </row>
        <row r="6941">
          <cell r="F6941">
            <v>0</v>
          </cell>
          <cell r="G6941">
            <v>0</v>
          </cell>
          <cell r="H6941">
            <v>62</v>
          </cell>
        </row>
        <row r="6942">
          <cell r="F6942">
            <v>19868.919999999998</v>
          </cell>
          <cell r="G6942">
            <v>0</v>
          </cell>
          <cell r="H6942">
            <v>62</v>
          </cell>
        </row>
        <row r="6943">
          <cell r="F6943">
            <v>27518.13</v>
          </cell>
          <cell r="G6943">
            <v>0</v>
          </cell>
          <cell r="H6943">
            <v>62</v>
          </cell>
        </row>
        <row r="6944">
          <cell r="F6944">
            <v>15584.7</v>
          </cell>
          <cell r="G6944">
            <v>0</v>
          </cell>
          <cell r="H6944">
            <v>62</v>
          </cell>
        </row>
        <row r="6945">
          <cell r="F6945">
            <v>7664.4600000000009</v>
          </cell>
          <cell r="G6945">
            <v>0</v>
          </cell>
          <cell r="H6945">
            <v>62</v>
          </cell>
        </row>
        <row r="6946">
          <cell r="F6946">
            <v>1904.34</v>
          </cell>
          <cell r="G6946">
            <v>0</v>
          </cell>
          <cell r="H6946">
            <v>62</v>
          </cell>
        </row>
        <row r="6947">
          <cell r="F6947">
            <v>0</v>
          </cell>
          <cell r="G6947">
            <v>0</v>
          </cell>
          <cell r="H6947">
            <v>62</v>
          </cell>
        </row>
        <row r="6948">
          <cell r="F6948">
            <v>2253.33</v>
          </cell>
          <cell r="G6948">
            <v>0</v>
          </cell>
          <cell r="H6948">
            <v>62</v>
          </cell>
        </row>
        <row r="6949">
          <cell r="F6949">
            <v>1755.25</v>
          </cell>
          <cell r="G6949">
            <v>0</v>
          </cell>
          <cell r="H6949">
            <v>62</v>
          </cell>
        </row>
        <row r="6950">
          <cell r="F6950">
            <v>1782.9</v>
          </cell>
          <cell r="G6950">
            <v>0</v>
          </cell>
          <cell r="H6950">
            <v>62</v>
          </cell>
        </row>
        <row r="6951">
          <cell r="F6951">
            <v>2176.5300000000002</v>
          </cell>
          <cell r="G6951">
            <v>0</v>
          </cell>
          <cell r="H6951">
            <v>62</v>
          </cell>
        </row>
        <row r="6952">
          <cell r="F6952">
            <v>3306.97</v>
          </cell>
          <cell r="G6952">
            <v>0</v>
          </cell>
          <cell r="H6952">
            <v>62</v>
          </cell>
        </row>
        <row r="6953">
          <cell r="F6953">
            <v>25701.16</v>
          </cell>
          <cell r="G6953">
            <v>0</v>
          </cell>
          <cell r="H6953">
            <v>62</v>
          </cell>
        </row>
        <row r="6954">
          <cell r="F6954">
            <v>9646.9199999999983</v>
          </cell>
          <cell r="G6954">
            <v>0</v>
          </cell>
          <cell r="H6954">
            <v>62</v>
          </cell>
        </row>
        <row r="6955">
          <cell r="F6955">
            <v>1534.76</v>
          </cell>
          <cell r="G6955">
            <v>0</v>
          </cell>
          <cell r="H6955">
            <v>62</v>
          </cell>
        </row>
        <row r="6956">
          <cell r="F6956">
            <v>9811.2199999999993</v>
          </cell>
          <cell r="G6956">
            <v>0</v>
          </cell>
          <cell r="H6956">
            <v>62</v>
          </cell>
        </row>
        <row r="6957">
          <cell r="F6957">
            <v>2988.32</v>
          </cell>
          <cell r="G6957">
            <v>0</v>
          </cell>
          <cell r="H6957">
            <v>62</v>
          </cell>
        </row>
        <row r="6958">
          <cell r="F6958">
            <v>9894.8000000000011</v>
          </cell>
          <cell r="G6958">
            <v>0</v>
          </cell>
          <cell r="H6958">
            <v>62</v>
          </cell>
        </row>
        <row r="6959">
          <cell r="F6959">
            <v>2425.1200000000003</v>
          </cell>
          <cell r="G6959">
            <v>0</v>
          </cell>
          <cell r="H6959">
            <v>62</v>
          </cell>
        </row>
        <row r="6960">
          <cell r="F6960">
            <v>378.61</v>
          </cell>
          <cell r="G6960">
            <v>0</v>
          </cell>
          <cell r="H6960">
            <v>62</v>
          </cell>
        </row>
        <row r="6961">
          <cell r="F6961">
            <v>24091.53</v>
          </cell>
          <cell r="G6961">
            <v>0</v>
          </cell>
          <cell r="H6961">
            <v>62</v>
          </cell>
        </row>
        <row r="6962">
          <cell r="F6962">
            <v>687.83</v>
          </cell>
          <cell r="G6962">
            <v>0</v>
          </cell>
          <cell r="H6962">
            <v>62</v>
          </cell>
        </row>
        <row r="6963">
          <cell r="F6963">
            <v>5020</v>
          </cell>
          <cell r="G6963">
            <v>0</v>
          </cell>
          <cell r="H6963">
            <v>62</v>
          </cell>
        </row>
        <row r="6964">
          <cell r="F6964">
            <v>894.26</v>
          </cell>
          <cell r="G6964">
            <v>0</v>
          </cell>
          <cell r="H6964">
            <v>62</v>
          </cell>
        </row>
        <row r="6965">
          <cell r="F6965">
            <v>942.02</v>
          </cell>
          <cell r="G6965">
            <v>0</v>
          </cell>
          <cell r="H6965">
            <v>62</v>
          </cell>
        </row>
        <row r="6966">
          <cell r="F6966">
            <v>0</v>
          </cell>
          <cell r="G6966">
            <v>0</v>
          </cell>
          <cell r="H6966">
            <v>62</v>
          </cell>
        </row>
        <row r="6967">
          <cell r="F6967">
            <v>10486.51</v>
          </cell>
          <cell r="G6967">
            <v>0</v>
          </cell>
          <cell r="H6967">
            <v>62</v>
          </cell>
        </row>
        <row r="6968">
          <cell r="F6968">
            <v>15095.21</v>
          </cell>
          <cell r="G6968">
            <v>0</v>
          </cell>
          <cell r="H6968">
            <v>62</v>
          </cell>
        </row>
        <row r="6969">
          <cell r="F6969">
            <v>10971.13</v>
          </cell>
          <cell r="G6969">
            <v>0</v>
          </cell>
          <cell r="H6969">
            <v>62</v>
          </cell>
        </row>
        <row r="6970">
          <cell r="F6970">
            <v>1396.52</v>
          </cell>
          <cell r="G6970">
            <v>0</v>
          </cell>
          <cell r="H6970">
            <v>62</v>
          </cell>
        </row>
        <row r="6971">
          <cell r="F6971">
            <v>1390.85</v>
          </cell>
          <cell r="G6971">
            <v>0</v>
          </cell>
          <cell r="H6971">
            <v>62</v>
          </cell>
        </row>
        <row r="6972">
          <cell r="F6972">
            <v>278.85000000000002</v>
          </cell>
          <cell r="G6972">
            <v>0</v>
          </cell>
          <cell r="H6972">
            <v>62</v>
          </cell>
        </row>
        <row r="6973">
          <cell r="F6973">
            <v>235.91</v>
          </cell>
          <cell r="G6973">
            <v>0</v>
          </cell>
          <cell r="H6973">
            <v>62</v>
          </cell>
        </row>
        <row r="6974">
          <cell r="F6974">
            <v>52620.15</v>
          </cell>
          <cell r="G6974">
            <v>0</v>
          </cell>
          <cell r="H6974">
            <v>62</v>
          </cell>
        </row>
        <row r="6975">
          <cell r="F6975">
            <v>5368.07</v>
          </cell>
          <cell r="G6975">
            <v>0</v>
          </cell>
          <cell r="H6975">
            <v>62</v>
          </cell>
        </row>
        <row r="6976">
          <cell r="F6976">
            <v>1709.23</v>
          </cell>
          <cell r="G6976">
            <v>0</v>
          </cell>
          <cell r="H6976">
            <v>62</v>
          </cell>
        </row>
        <row r="6977">
          <cell r="F6977">
            <v>19972.489999999998</v>
          </cell>
          <cell r="G6977">
            <v>0</v>
          </cell>
          <cell r="H6977">
            <v>62</v>
          </cell>
        </row>
        <row r="6978">
          <cell r="F6978">
            <v>1652.4299999999998</v>
          </cell>
          <cell r="G6978">
            <v>0</v>
          </cell>
          <cell r="H6978">
            <v>62</v>
          </cell>
        </row>
        <row r="6979">
          <cell r="F6979">
            <v>8789.15</v>
          </cell>
          <cell r="G6979">
            <v>0</v>
          </cell>
          <cell r="H6979">
            <v>62</v>
          </cell>
        </row>
        <row r="6980">
          <cell r="F6980">
            <v>1072.6600000000001</v>
          </cell>
          <cell r="G6980">
            <v>0</v>
          </cell>
          <cell r="H6980">
            <v>62</v>
          </cell>
        </row>
        <row r="6981">
          <cell r="F6981">
            <v>10882.95</v>
          </cell>
          <cell r="G6981">
            <v>0</v>
          </cell>
          <cell r="H6981">
            <v>62</v>
          </cell>
        </row>
        <row r="6982">
          <cell r="F6982">
            <v>0</v>
          </cell>
          <cell r="G6982">
            <v>0</v>
          </cell>
          <cell r="H6982">
            <v>62</v>
          </cell>
        </row>
        <row r="6983">
          <cell r="F6983">
            <v>8576.85</v>
          </cell>
          <cell r="G6983">
            <v>0</v>
          </cell>
          <cell r="H6983">
            <v>62</v>
          </cell>
        </row>
        <row r="6984">
          <cell r="F6984">
            <v>19936.45</v>
          </cell>
          <cell r="G6984">
            <v>0</v>
          </cell>
          <cell r="H6984">
            <v>62</v>
          </cell>
        </row>
        <row r="6985">
          <cell r="F6985">
            <v>33711.550000000003</v>
          </cell>
          <cell r="G6985">
            <v>0</v>
          </cell>
          <cell r="H6985">
            <v>62</v>
          </cell>
        </row>
        <row r="6986">
          <cell r="F6986">
            <v>4972.96</v>
          </cell>
          <cell r="G6986">
            <v>0</v>
          </cell>
          <cell r="H6986">
            <v>62</v>
          </cell>
        </row>
        <row r="6987">
          <cell r="F6987">
            <v>31818.949999999997</v>
          </cell>
          <cell r="G6987">
            <v>0</v>
          </cell>
          <cell r="H6987">
            <v>62</v>
          </cell>
        </row>
        <row r="6988">
          <cell r="F6988">
            <v>2951.12</v>
          </cell>
          <cell r="G6988">
            <v>0</v>
          </cell>
          <cell r="H6988">
            <v>62</v>
          </cell>
        </row>
        <row r="6989">
          <cell r="F6989">
            <v>5176.32</v>
          </cell>
          <cell r="G6989">
            <v>0</v>
          </cell>
          <cell r="H6989">
            <v>62</v>
          </cell>
        </row>
        <row r="6990">
          <cell r="F6990">
            <v>0</v>
          </cell>
          <cell r="G6990">
            <v>0</v>
          </cell>
          <cell r="H6990">
            <v>62</v>
          </cell>
        </row>
        <row r="6991">
          <cell r="F6991">
            <v>2897.96</v>
          </cell>
          <cell r="G6991">
            <v>0</v>
          </cell>
          <cell r="H6991">
            <v>62</v>
          </cell>
        </row>
        <row r="6992">
          <cell r="F6992">
            <v>11256.97</v>
          </cell>
          <cell r="G6992">
            <v>0</v>
          </cell>
          <cell r="H6992">
            <v>62</v>
          </cell>
        </row>
        <row r="6993">
          <cell r="F6993">
            <v>4297.16</v>
          </cell>
          <cell r="G6993">
            <v>0</v>
          </cell>
          <cell r="H6993">
            <v>62</v>
          </cell>
        </row>
        <row r="6994">
          <cell r="F6994">
            <v>3871.5</v>
          </cell>
          <cell r="G6994">
            <v>0</v>
          </cell>
          <cell r="H6994">
            <v>62</v>
          </cell>
        </row>
        <row r="6995">
          <cell r="F6995">
            <v>9590.6500000000015</v>
          </cell>
          <cell r="G6995">
            <v>0</v>
          </cell>
          <cell r="H6995">
            <v>62</v>
          </cell>
        </row>
        <row r="6996">
          <cell r="F6996">
            <v>2233.2200000000003</v>
          </cell>
          <cell r="G6996">
            <v>0</v>
          </cell>
          <cell r="H6996">
            <v>62</v>
          </cell>
        </row>
        <row r="6997">
          <cell r="F6997">
            <v>421.26</v>
          </cell>
          <cell r="G6997">
            <v>0</v>
          </cell>
          <cell r="H6997">
            <v>62</v>
          </cell>
        </row>
        <row r="6998">
          <cell r="F6998">
            <v>7074.55</v>
          </cell>
          <cell r="G6998">
            <v>0</v>
          </cell>
          <cell r="H6998">
            <v>62</v>
          </cell>
        </row>
        <row r="6999">
          <cell r="F6999">
            <v>783.43</v>
          </cell>
          <cell r="G6999">
            <v>0</v>
          </cell>
          <cell r="H6999">
            <v>62</v>
          </cell>
        </row>
        <row r="7000">
          <cell r="F7000">
            <v>1125.53</v>
          </cell>
          <cell r="G7000">
            <v>0</v>
          </cell>
          <cell r="H7000">
            <v>62</v>
          </cell>
        </row>
        <row r="7001">
          <cell r="F7001">
            <v>1152.8200000000002</v>
          </cell>
          <cell r="G7001">
            <v>0</v>
          </cell>
          <cell r="H7001">
            <v>62</v>
          </cell>
        </row>
        <row r="7002">
          <cell r="F7002">
            <v>3208.54</v>
          </cell>
          <cell r="G7002">
            <v>0</v>
          </cell>
          <cell r="H7002">
            <v>62</v>
          </cell>
        </row>
        <row r="7003">
          <cell r="F7003">
            <v>7078.6299999999992</v>
          </cell>
          <cell r="G7003">
            <v>0</v>
          </cell>
          <cell r="H7003">
            <v>62</v>
          </cell>
        </row>
        <row r="7004">
          <cell r="F7004">
            <v>3613.65</v>
          </cell>
          <cell r="G7004">
            <v>0</v>
          </cell>
          <cell r="H7004">
            <v>62</v>
          </cell>
        </row>
        <row r="7005">
          <cell r="F7005">
            <v>5036.12</v>
          </cell>
          <cell r="G7005">
            <v>0</v>
          </cell>
          <cell r="H7005">
            <v>62</v>
          </cell>
        </row>
        <row r="7006">
          <cell r="F7006">
            <v>34980.019999999997</v>
          </cell>
          <cell r="G7006">
            <v>0</v>
          </cell>
          <cell r="H7006">
            <v>62</v>
          </cell>
        </row>
        <row r="7007">
          <cell r="F7007">
            <v>6698.07</v>
          </cell>
          <cell r="G7007">
            <v>0</v>
          </cell>
          <cell r="H7007">
            <v>62</v>
          </cell>
        </row>
        <row r="7008">
          <cell r="F7008">
            <v>4161.7</v>
          </cell>
          <cell r="G7008">
            <v>0</v>
          </cell>
          <cell r="H7008">
            <v>62</v>
          </cell>
        </row>
        <row r="7009">
          <cell r="F7009">
            <v>3411.32</v>
          </cell>
          <cell r="G7009">
            <v>0</v>
          </cell>
          <cell r="H7009">
            <v>62</v>
          </cell>
        </row>
        <row r="7010">
          <cell r="F7010">
            <v>8809.1</v>
          </cell>
          <cell r="G7010">
            <v>0</v>
          </cell>
          <cell r="H7010">
            <v>62</v>
          </cell>
        </row>
        <row r="7011">
          <cell r="F7011">
            <v>0</v>
          </cell>
          <cell r="G7011">
            <v>0</v>
          </cell>
          <cell r="H7011">
            <v>62</v>
          </cell>
        </row>
        <row r="7012">
          <cell r="F7012">
            <v>36553.710000000006</v>
          </cell>
          <cell r="G7012">
            <v>0</v>
          </cell>
          <cell r="H7012">
            <v>62</v>
          </cell>
        </row>
        <row r="7013">
          <cell r="F7013">
            <v>24814.71</v>
          </cell>
          <cell r="G7013">
            <v>0</v>
          </cell>
          <cell r="H7013">
            <v>62</v>
          </cell>
        </row>
        <row r="7014">
          <cell r="F7014">
            <v>3721.5899999999997</v>
          </cell>
          <cell r="G7014">
            <v>0</v>
          </cell>
          <cell r="H7014">
            <v>62</v>
          </cell>
        </row>
        <row r="7015">
          <cell r="F7015">
            <v>724.96</v>
          </cell>
          <cell r="G7015">
            <v>0</v>
          </cell>
          <cell r="H7015">
            <v>62</v>
          </cell>
        </row>
        <row r="7016">
          <cell r="F7016">
            <v>0</v>
          </cell>
          <cell r="G7016">
            <v>0</v>
          </cell>
          <cell r="H7016">
            <v>62</v>
          </cell>
        </row>
        <row r="7017">
          <cell r="F7017">
            <v>16848.45</v>
          </cell>
          <cell r="G7017">
            <v>0</v>
          </cell>
          <cell r="H7017">
            <v>62</v>
          </cell>
        </row>
        <row r="7018">
          <cell r="F7018">
            <v>8475.33</v>
          </cell>
          <cell r="G7018">
            <v>0</v>
          </cell>
          <cell r="H7018">
            <v>62</v>
          </cell>
        </row>
        <row r="7019">
          <cell r="F7019">
            <v>11166.57</v>
          </cell>
          <cell r="G7019">
            <v>0</v>
          </cell>
          <cell r="H7019">
            <v>62</v>
          </cell>
        </row>
        <row r="7020">
          <cell r="F7020">
            <v>14372.95</v>
          </cell>
          <cell r="G7020">
            <v>0</v>
          </cell>
          <cell r="H7020">
            <v>62</v>
          </cell>
        </row>
        <row r="7021">
          <cell r="F7021">
            <v>5901.72</v>
          </cell>
          <cell r="G7021">
            <v>0</v>
          </cell>
          <cell r="H7021">
            <v>62</v>
          </cell>
        </row>
        <row r="7022">
          <cell r="F7022">
            <v>20207.849999999999</v>
          </cell>
          <cell r="G7022">
            <v>0</v>
          </cell>
          <cell r="H7022">
            <v>62</v>
          </cell>
        </row>
        <row r="7023">
          <cell r="F7023">
            <v>7631.94</v>
          </cell>
          <cell r="G7023">
            <v>0</v>
          </cell>
          <cell r="H7023">
            <v>62</v>
          </cell>
        </row>
        <row r="7024">
          <cell r="F7024">
            <v>11461.96</v>
          </cell>
          <cell r="G7024">
            <v>0</v>
          </cell>
          <cell r="H7024">
            <v>62</v>
          </cell>
        </row>
        <row r="7025">
          <cell r="F7025">
            <v>11289.83</v>
          </cell>
          <cell r="G7025">
            <v>0</v>
          </cell>
          <cell r="H7025">
            <v>62</v>
          </cell>
        </row>
        <row r="7026">
          <cell r="F7026">
            <v>1222.74</v>
          </cell>
          <cell r="G7026">
            <v>0</v>
          </cell>
          <cell r="H7026">
            <v>62</v>
          </cell>
        </row>
        <row r="7027">
          <cell r="F7027">
            <v>2462</v>
          </cell>
          <cell r="G7027">
            <v>0</v>
          </cell>
          <cell r="H7027">
            <v>62</v>
          </cell>
        </row>
        <row r="7028">
          <cell r="F7028">
            <v>4868.8</v>
          </cell>
          <cell r="G7028">
            <v>0</v>
          </cell>
          <cell r="H7028">
            <v>62</v>
          </cell>
        </row>
        <row r="7029">
          <cell r="F7029">
            <v>21125.39</v>
          </cell>
          <cell r="G7029">
            <v>0</v>
          </cell>
          <cell r="H7029">
            <v>62</v>
          </cell>
        </row>
        <row r="7030">
          <cell r="F7030">
            <v>9900.4500000000007</v>
          </cell>
          <cell r="G7030">
            <v>0</v>
          </cell>
          <cell r="H7030">
            <v>62</v>
          </cell>
        </row>
        <row r="7031">
          <cell r="F7031">
            <v>4380.97</v>
          </cell>
          <cell r="G7031">
            <v>0</v>
          </cell>
          <cell r="H7031">
            <v>62</v>
          </cell>
        </row>
        <row r="7032">
          <cell r="F7032">
            <v>1307.5</v>
          </cell>
          <cell r="G7032">
            <v>0</v>
          </cell>
          <cell r="H7032">
            <v>62</v>
          </cell>
        </row>
        <row r="7033">
          <cell r="F7033">
            <v>1596.12</v>
          </cell>
          <cell r="G7033">
            <v>0</v>
          </cell>
          <cell r="H7033">
            <v>62</v>
          </cell>
        </row>
        <row r="7034">
          <cell r="F7034">
            <v>2785.9199999999996</v>
          </cell>
          <cell r="G7034">
            <v>0</v>
          </cell>
          <cell r="H7034">
            <v>62</v>
          </cell>
        </row>
        <row r="7035">
          <cell r="F7035">
            <v>8722.4599999999991</v>
          </cell>
          <cell r="G7035">
            <v>0</v>
          </cell>
          <cell r="H7035">
            <v>62</v>
          </cell>
        </row>
        <row r="7036">
          <cell r="F7036">
            <v>7355.6900000000005</v>
          </cell>
          <cell r="G7036">
            <v>0</v>
          </cell>
          <cell r="H7036">
            <v>62</v>
          </cell>
        </row>
        <row r="7037">
          <cell r="F7037">
            <v>23266.35</v>
          </cell>
          <cell r="G7037">
            <v>0</v>
          </cell>
          <cell r="H7037">
            <v>62</v>
          </cell>
        </row>
        <row r="7038">
          <cell r="F7038">
            <v>13988.69</v>
          </cell>
          <cell r="G7038">
            <v>0</v>
          </cell>
          <cell r="H7038">
            <v>62</v>
          </cell>
        </row>
        <row r="7039">
          <cell r="F7039">
            <v>10419.370000000001</v>
          </cell>
          <cell r="G7039">
            <v>0</v>
          </cell>
          <cell r="H7039">
            <v>62</v>
          </cell>
        </row>
        <row r="7040">
          <cell r="F7040">
            <v>3529.62</v>
          </cell>
          <cell r="G7040">
            <v>0</v>
          </cell>
          <cell r="H7040">
            <v>62</v>
          </cell>
        </row>
        <row r="7041">
          <cell r="F7041">
            <v>22429.05</v>
          </cell>
          <cell r="G7041">
            <v>0</v>
          </cell>
          <cell r="H7041">
            <v>62</v>
          </cell>
        </row>
        <row r="7042">
          <cell r="F7042">
            <v>1179.9499999999998</v>
          </cell>
          <cell r="G7042">
            <v>0</v>
          </cell>
          <cell r="H7042">
            <v>62</v>
          </cell>
        </row>
        <row r="7043">
          <cell r="F7043">
            <v>967.46</v>
          </cell>
          <cell r="G7043">
            <v>0</v>
          </cell>
          <cell r="H7043">
            <v>62</v>
          </cell>
        </row>
        <row r="7044">
          <cell r="F7044">
            <v>9063.3000000000011</v>
          </cell>
          <cell r="G7044">
            <v>0</v>
          </cell>
          <cell r="H7044">
            <v>62</v>
          </cell>
        </row>
        <row r="7045">
          <cell r="F7045">
            <v>39690.44</v>
          </cell>
          <cell r="G7045">
            <v>0</v>
          </cell>
          <cell r="H7045">
            <v>62</v>
          </cell>
        </row>
        <row r="7046">
          <cell r="F7046">
            <v>5859.45</v>
          </cell>
          <cell r="G7046">
            <v>0</v>
          </cell>
          <cell r="H7046">
            <v>62</v>
          </cell>
        </row>
        <row r="7047">
          <cell r="F7047">
            <v>12145.51</v>
          </cell>
          <cell r="G7047">
            <v>0</v>
          </cell>
          <cell r="H7047">
            <v>62</v>
          </cell>
        </row>
        <row r="7048">
          <cell r="F7048">
            <v>11428.87</v>
          </cell>
          <cell r="G7048">
            <v>0</v>
          </cell>
          <cell r="H7048">
            <v>62</v>
          </cell>
        </row>
        <row r="7049">
          <cell r="F7049">
            <v>150.24</v>
          </cell>
          <cell r="G7049">
            <v>0</v>
          </cell>
          <cell r="H7049">
            <v>62</v>
          </cell>
        </row>
        <row r="7050">
          <cell r="F7050">
            <v>8558.09</v>
          </cell>
          <cell r="G7050">
            <v>0</v>
          </cell>
          <cell r="H7050">
            <v>62</v>
          </cell>
        </row>
        <row r="7051">
          <cell r="F7051">
            <v>1012.2900000000001</v>
          </cell>
          <cell r="G7051">
            <v>0</v>
          </cell>
          <cell r="H7051">
            <v>62</v>
          </cell>
        </row>
        <row r="7052">
          <cell r="F7052">
            <v>5862.3</v>
          </cell>
          <cell r="G7052">
            <v>0</v>
          </cell>
          <cell r="H7052">
            <v>62</v>
          </cell>
        </row>
        <row r="7053">
          <cell r="F7053">
            <v>0</v>
          </cell>
          <cell r="G7053">
            <v>0</v>
          </cell>
          <cell r="H7053">
            <v>62</v>
          </cell>
        </row>
        <row r="7054">
          <cell r="F7054">
            <v>1089.02</v>
          </cell>
          <cell r="G7054">
            <v>0</v>
          </cell>
          <cell r="H7054">
            <v>62</v>
          </cell>
        </row>
        <row r="7055">
          <cell r="F7055">
            <v>22422.32</v>
          </cell>
          <cell r="G7055">
            <v>0</v>
          </cell>
          <cell r="H7055">
            <v>62</v>
          </cell>
        </row>
        <row r="7056">
          <cell r="F7056">
            <v>17817.63</v>
          </cell>
          <cell r="G7056">
            <v>0</v>
          </cell>
          <cell r="H7056">
            <v>62</v>
          </cell>
        </row>
        <row r="7057">
          <cell r="F7057">
            <v>18847.509999999998</v>
          </cell>
          <cell r="G7057">
            <v>0</v>
          </cell>
          <cell r="H7057">
            <v>62</v>
          </cell>
        </row>
        <row r="7058">
          <cell r="F7058">
            <v>818.39</v>
          </cell>
          <cell r="G7058">
            <v>0</v>
          </cell>
          <cell r="H7058">
            <v>62</v>
          </cell>
        </row>
        <row r="7059">
          <cell r="F7059">
            <v>7824.34</v>
          </cell>
          <cell r="G7059">
            <v>0</v>
          </cell>
          <cell r="H7059">
            <v>62</v>
          </cell>
        </row>
        <row r="7060">
          <cell r="F7060">
            <v>770.88</v>
          </cell>
          <cell r="G7060">
            <v>0</v>
          </cell>
          <cell r="H7060">
            <v>62</v>
          </cell>
        </row>
        <row r="7061">
          <cell r="F7061">
            <v>11398.89</v>
          </cell>
          <cell r="G7061">
            <v>0</v>
          </cell>
          <cell r="H7061">
            <v>62</v>
          </cell>
        </row>
        <row r="7062">
          <cell r="F7062">
            <v>1310.04</v>
          </cell>
          <cell r="G7062">
            <v>0</v>
          </cell>
          <cell r="H7062">
            <v>62</v>
          </cell>
        </row>
        <row r="7063">
          <cell r="F7063">
            <v>6763.170000000001</v>
          </cell>
          <cell r="G7063">
            <v>0</v>
          </cell>
          <cell r="H7063">
            <v>62</v>
          </cell>
        </row>
        <row r="7064">
          <cell r="F7064">
            <v>8110.329999999999</v>
          </cell>
          <cell r="G7064">
            <v>0</v>
          </cell>
          <cell r="H7064">
            <v>62</v>
          </cell>
        </row>
        <row r="7065">
          <cell r="F7065">
            <v>12294.9</v>
          </cell>
          <cell r="G7065">
            <v>0</v>
          </cell>
          <cell r="H7065">
            <v>62</v>
          </cell>
        </row>
        <row r="7066">
          <cell r="F7066">
            <v>3408.62</v>
          </cell>
          <cell r="G7066">
            <v>0</v>
          </cell>
          <cell r="H7066">
            <v>62</v>
          </cell>
        </row>
        <row r="7067">
          <cell r="F7067">
            <v>2141.77</v>
          </cell>
          <cell r="G7067">
            <v>0</v>
          </cell>
          <cell r="H7067">
            <v>62</v>
          </cell>
        </row>
        <row r="7068">
          <cell r="F7068">
            <v>4006.24</v>
          </cell>
          <cell r="G7068">
            <v>0</v>
          </cell>
          <cell r="H7068">
            <v>62</v>
          </cell>
        </row>
        <row r="7069">
          <cell r="F7069">
            <v>1891.93</v>
          </cell>
          <cell r="G7069">
            <v>0</v>
          </cell>
          <cell r="H7069">
            <v>62</v>
          </cell>
        </row>
        <row r="7070">
          <cell r="F7070">
            <v>13855.71</v>
          </cell>
          <cell r="G7070">
            <v>0</v>
          </cell>
          <cell r="H7070">
            <v>62</v>
          </cell>
        </row>
        <row r="7071">
          <cell r="F7071">
            <v>12250.51</v>
          </cell>
          <cell r="G7071">
            <v>0</v>
          </cell>
          <cell r="H7071">
            <v>62</v>
          </cell>
        </row>
        <row r="7072">
          <cell r="F7072">
            <v>4394.99</v>
          </cell>
          <cell r="G7072">
            <v>0</v>
          </cell>
          <cell r="H7072">
            <v>62</v>
          </cell>
        </row>
        <row r="7073">
          <cell r="F7073">
            <v>334.46999999999997</v>
          </cell>
          <cell r="G7073">
            <v>0</v>
          </cell>
          <cell r="H7073">
            <v>62</v>
          </cell>
        </row>
        <row r="7074">
          <cell r="F7074">
            <v>28746.639999999999</v>
          </cell>
          <cell r="G7074">
            <v>0</v>
          </cell>
          <cell r="H7074">
            <v>62</v>
          </cell>
        </row>
        <row r="7075">
          <cell r="F7075">
            <v>14876.539999999999</v>
          </cell>
          <cell r="G7075">
            <v>0</v>
          </cell>
          <cell r="H7075">
            <v>62</v>
          </cell>
        </row>
        <row r="7076">
          <cell r="F7076">
            <v>26156.560000000001</v>
          </cell>
          <cell r="G7076">
            <v>0</v>
          </cell>
          <cell r="H7076">
            <v>62</v>
          </cell>
        </row>
        <row r="7077">
          <cell r="F7077">
            <v>1442.19</v>
          </cell>
          <cell r="G7077">
            <v>0</v>
          </cell>
          <cell r="H7077">
            <v>62</v>
          </cell>
        </row>
        <row r="7078">
          <cell r="F7078">
            <v>2897.31</v>
          </cell>
          <cell r="G7078">
            <v>0</v>
          </cell>
          <cell r="H7078">
            <v>62</v>
          </cell>
        </row>
        <row r="7079">
          <cell r="F7079">
            <v>4816.9399999999996</v>
          </cell>
          <cell r="G7079">
            <v>0</v>
          </cell>
          <cell r="H7079">
            <v>62</v>
          </cell>
        </row>
        <row r="7080">
          <cell r="F7080">
            <v>13488.27</v>
          </cell>
          <cell r="G7080">
            <v>0</v>
          </cell>
          <cell r="H7080">
            <v>62</v>
          </cell>
        </row>
        <row r="7081">
          <cell r="F7081">
            <v>11005.699999999999</v>
          </cell>
          <cell r="G7081">
            <v>0</v>
          </cell>
          <cell r="H7081">
            <v>62</v>
          </cell>
        </row>
        <row r="7082">
          <cell r="F7082">
            <v>28615.059999999998</v>
          </cell>
          <cell r="G7082">
            <v>0</v>
          </cell>
          <cell r="H7082">
            <v>62</v>
          </cell>
        </row>
        <row r="7083">
          <cell r="F7083">
            <v>1874.3100000000002</v>
          </cell>
          <cell r="G7083">
            <v>0</v>
          </cell>
          <cell r="H7083">
            <v>62</v>
          </cell>
        </row>
        <row r="7084">
          <cell r="F7084">
            <v>14570.61</v>
          </cell>
          <cell r="G7084">
            <v>0</v>
          </cell>
          <cell r="H7084">
            <v>62</v>
          </cell>
        </row>
        <row r="7085">
          <cell r="F7085">
            <v>5620.57</v>
          </cell>
          <cell r="G7085">
            <v>0</v>
          </cell>
          <cell r="H7085">
            <v>62</v>
          </cell>
        </row>
        <row r="7086">
          <cell r="F7086">
            <v>3695.27</v>
          </cell>
          <cell r="G7086">
            <v>0</v>
          </cell>
          <cell r="H7086">
            <v>62</v>
          </cell>
        </row>
        <row r="7087">
          <cell r="F7087">
            <v>0</v>
          </cell>
          <cell r="G7087">
            <v>0</v>
          </cell>
          <cell r="H7087">
            <v>62</v>
          </cell>
        </row>
        <row r="7088">
          <cell r="F7088">
            <v>10807.93</v>
          </cell>
          <cell r="G7088">
            <v>0</v>
          </cell>
          <cell r="H7088">
            <v>62</v>
          </cell>
        </row>
        <row r="7089">
          <cell r="F7089">
            <v>4825.72</v>
          </cell>
          <cell r="G7089">
            <v>0</v>
          </cell>
          <cell r="H7089">
            <v>62</v>
          </cell>
        </row>
        <row r="7090">
          <cell r="F7090">
            <v>6165.2600000000011</v>
          </cell>
          <cell r="G7090">
            <v>0</v>
          </cell>
          <cell r="H7090">
            <v>62</v>
          </cell>
        </row>
        <row r="7091">
          <cell r="F7091">
            <v>2105.41</v>
          </cell>
          <cell r="G7091">
            <v>0</v>
          </cell>
          <cell r="H7091">
            <v>62</v>
          </cell>
        </row>
        <row r="7092">
          <cell r="F7092">
            <v>1287.21</v>
          </cell>
          <cell r="G7092">
            <v>0</v>
          </cell>
          <cell r="H7092">
            <v>62</v>
          </cell>
        </row>
        <row r="7093">
          <cell r="F7093">
            <v>5284.4299999999994</v>
          </cell>
          <cell r="G7093">
            <v>0</v>
          </cell>
          <cell r="H7093">
            <v>62</v>
          </cell>
        </row>
        <row r="7094">
          <cell r="F7094">
            <v>1365.97</v>
          </cell>
          <cell r="G7094">
            <v>0</v>
          </cell>
          <cell r="H7094">
            <v>62</v>
          </cell>
        </row>
        <row r="7095">
          <cell r="F7095">
            <v>31412.550000000003</v>
          </cell>
          <cell r="G7095">
            <v>0</v>
          </cell>
          <cell r="H7095">
            <v>62</v>
          </cell>
        </row>
        <row r="7096">
          <cell r="F7096">
            <v>10207.950000000001</v>
          </cell>
          <cell r="G7096">
            <v>0</v>
          </cell>
          <cell r="H7096">
            <v>62</v>
          </cell>
        </row>
        <row r="7097">
          <cell r="F7097">
            <v>269.20999999999998</v>
          </cell>
          <cell r="G7097">
            <v>0</v>
          </cell>
          <cell r="H7097">
            <v>62</v>
          </cell>
        </row>
        <row r="7098">
          <cell r="F7098">
            <v>2516.2200000000003</v>
          </cell>
          <cell r="G7098">
            <v>0</v>
          </cell>
          <cell r="H7098">
            <v>62</v>
          </cell>
        </row>
        <row r="7099">
          <cell r="F7099">
            <v>1427.05</v>
          </cell>
          <cell r="G7099">
            <v>0</v>
          </cell>
          <cell r="H7099">
            <v>62</v>
          </cell>
        </row>
        <row r="7100">
          <cell r="F7100">
            <v>0</v>
          </cell>
          <cell r="G7100">
            <v>0</v>
          </cell>
          <cell r="H7100">
            <v>62</v>
          </cell>
        </row>
        <row r="7101">
          <cell r="F7101">
            <v>724.5</v>
          </cell>
          <cell r="G7101">
            <v>0</v>
          </cell>
          <cell r="H7101">
            <v>62</v>
          </cell>
        </row>
        <row r="7102">
          <cell r="F7102">
            <v>-8822.31</v>
          </cell>
          <cell r="G7102">
            <v>0</v>
          </cell>
          <cell r="H7102">
            <v>62</v>
          </cell>
        </row>
        <row r="7103">
          <cell r="F7103">
            <v>-46422.54</v>
          </cell>
          <cell r="G7103">
            <v>0</v>
          </cell>
          <cell r="H7103">
            <v>62</v>
          </cell>
        </row>
        <row r="7104">
          <cell r="F7104">
            <v>-12385.97</v>
          </cell>
          <cell r="G7104">
            <v>0</v>
          </cell>
          <cell r="H7104">
            <v>62</v>
          </cell>
        </row>
        <row r="7105">
          <cell r="F7105">
            <v>-16427.16</v>
          </cell>
          <cell r="G7105">
            <v>0</v>
          </cell>
          <cell r="H7105">
            <v>62</v>
          </cell>
        </row>
        <row r="7106">
          <cell r="F7106">
            <v>-12603.73</v>
          </cell>
          <cell r="G7106">
            <v>0</v>
          </cell>
          <cell r="H7106">
            <v>62</v>
          </cell>
        </row>
        <row r="7107">
          <cell r="F7107">
            <v>-5287.25</v>
          </cell>
          <cell r="G7107">
            <v>0</v>
          </cell>
          <cell r="H7107">
            <v>62</v>
          </cell>
        </row>
        <row r="7108">
          <cell r="F7108">
            <v>-16377.26</v>
          </cell>
          <cell r="G7108">
            <v>0</v>
          </cell>
          <cell r="H7108">
            <v>62</v>
          </cell>
        </row>
        <row r="7109">
          <cell r="F7109">
            <v>-1423.76</v>
          </cell>
          <cell r="G7109">
            <v>0</v>
          </cell>
          <cell r="H7109">
            <v>62</v>
          </cell>
        </row>
        <row r="7110">
          <cell r="F7110">
            <v>0</v>
          </cell>
          <cell r="G7110">
            <v>0</v>
          </cell>
          <cell r="H7110">
            <v>62</v>
          </cell>
        </row>
        <row r="7111">
          <cell r="F7111">
            <v>-1553.85</v>
          </cell>
          <cell r="G7111">
            <v>0</v>
          </cell>
          <cell r="H7111">
            <v>62</v>
          </cell>
        </row>
        <row r="7112">
          <cell r="F7112">
            <v>-4031.32</v>
          </cell>
          <cell r="G7112">
            <v>0</v>
          </cell>
          <cell r="H7112">
            <v>62</v>
          </cell>
        </row>
        <row r="7113">
          <cell r="F7113">
            <v>-11096.96</v>
          </cell>
          <cell r="G7113">
            <v>0</v>
          </cell>
          <cell r="H7113">
            <v>62</v>
          </cell>
        </row>
        <row r="7114">
          <cell r="F7114">
            <v>-28845.39</v>
          </cell>
          <cell r="G7114">
            <v>0</v>
          </cell>
          <cell r="H7114">
            <v>62</v>
          </cell>
        </row>
        <row r="7115">
          <cell r="F7115">
            <v>-13168.2</v>
          </cell>
          <cell r="G7115">
            <v>0</v>
          </cell>
          <cell r="H7115">
            <v>62</v>
          </cell>
        </row>
        <row r="7116">
          <cell r="F7116">
            <v>-24407.71</v>
          </cell>
          <cell r="G7116">
            <v>0</v>
          </cell>
          <cell r="H7116">
            <v>62</v>
          </cell>
        </row>
        <row r="7117">
          <cell r="F7117">
            <v>-1871.72</v>
          </cell>
          <cell r="G7117">
            <v>0</v>
          </cell>
          <cell r="H7117">
            <v>62</v>
          </cell>
        </row>
        <row r="7118">
          <cell r="F7118">
            <v>-14110.51</v>
          </cell>
          <cell r="G7118">
            <v>0</v>
          </cell>
          <cell r="H7118">
            <v>62</v>
          </cell>
        </row>
        <row r="7119">
          <cell r="F7119">
            <v>-18057.88</v>
          </cell>
          <cell r="G7119">
            <v>0</v>
          </cell>
          <cell r="H7119">
            <v>62</v>
          </cell>
        </row>
        <row r="7120">
          <cell r="F7120">
            <v>-10440.91</v>
          </cell>
          <cell r="G7120">
            <v>0</v>
          </cell>
          <cell r="H7120">
            <v>62</v>
          </cell>
        </row>
        <row r="7121">
          <cell r="F7121">
            <v>-6859.53</v>
          </cell>
          <cell r="G7121">
            <v>0</v>
          </cell>
          <cell r="H7121">
            <v>62</v>
          </cell>
        </row>
        <row r="7122">
          <cell r="F7122">
            <v>-33827.480000000003</v>
          </cell>
          <cell r="G7122">
            <v>0</v>
          </cell>
          <cell r="H7122">
            <v>62</v>
          </cell>
        </row>
        <row r="7123">
          <cell r="F7123">
            <v>-13388.5</v>
          </cell>
          <cell r="G7123">
            <v>0</v>
          </cell>
          <cell r="H7123">
            <v>62</v>
          </cell>
        </row>
        <row r="7124">
          <cell r="F7124">
            <v>-6419.06</v>
          </cell>
          <cell r="G7124">
            <v>0</v>
          </cell>
          <cell r="H7124">
            <v>62</v>
          </cell>
        </row>
        <row r="7125">
          <cell r="F7125">
            <v>-54809.49</v>
          </cell>
          <cell r="G7125">
            <v>0</v>
          </cell>
          <cell r="H7125">
            <v>62</v>
          </cell>
        </row>
        <row r="7126">
          <cell r="F7126">
            <v>-5432.8</v>
          </cell>
          <cell r="G7126">
            <v>0</v>
          </cell>
          <cell r="H7126">
            <v>62</v>
          </cell>
        </row>
        <row r="7127">
          <cell r="F7127">
            <v>-7599.1</v>
          </cell>
          <cell r="G7127">
            <v>0</v>
          </cell>
          <cell r="H7127">
            <v>62</v>
          </cell>
        </row>
        <row r="7128">
          <cell r="F7128">
            <v>-5724.96</v>
          </cell>
          <cell r="G7128">
            <v>0</v>
          </cell>
          <cell r="H7128">
            <v>62</v>
          </cell>
        </row>
        <row r="7129">
          <cell r="F7129">
            <v>-4843.83</v>
          </cell>
          <cell r="G7129">
            <v>0</v>
          </cell>
          <cell r="H7129">
            <v>62</v>
          </cell>
        </row>
        <row r="7130">
          <cell r="F7130">
            <v>-3810.67</v>
          </cell>
          <cell r="G7130">
            <v>0</v>
          </cell>
          <cell r="H7130">
            <v>62</v>
          </cell>
        </row>
        <row r="7131">
          <cell r="F7131">
            <v>-949.49</v>
          </cell>
          <cell r="G7131">
            <v>0</v>
          </cell>
          <cell r="H7131">
            <v>62</v>
          </cell>
        </row>
        <row r="7132">
          <cell r="F7132">
            <v>-1956.12</v>
          </cell>
          <cell r="G7132">
            <v>0</v>
          </cell>
          <cell r="H7132">
            <v>62</v>
          </cell>
        </row>
        <row r="7133">
          <cell r="F7133">
            <v>-15883.37</v>
          </cell>
          <cell r="G7133">
            <v>0</v>
          </cell>
          <cell r="H7133">
            <v>62</v>
          </cell>
        </row>
        <row r="7134">
          <cell r="F7134">
            <v>-26981.94</v>
          </cell>
          <cell r="G7134">
            <v>0</v>
          </cell>
          <cell r="H7134">
            <v>62</v>
          </cell>
        </row>
        <row r="7135">
          <cell r="F7135">
            <v>-36342.35</v>
          </cell>
          <cell r="G7135">
            <v>0</v>
          </cell>
          <cell r="H7135">
            <v>62</v>
          </cell>
        </row>
        <row r="7136">
          <cell r="F7136">
            <v>-18808.330000000002</v>
          </cell>
          <cell r="G7136">
            <v>0</v>
          </cell>
          <cell r="H7136">
            <v>62</v>
          </cell>
        </row>
        <row r="7137">
          <cell r="F7137">
            <v>-9412.5</v>
          </cell>
          <cell r="G7137">
            <v>0</v>
          </cell>
          <cell r="H7137">
            <v>62</v>
          </cell>
        </row>
        <row r="7138">
          <cell r="F7138">
            <v>-3987.58</v>
          </cell>
          <cell r="G7138">
            <v>0</v>
          </cell>
          <cell r="H7138">
            <v>62</v>
          </cell>
        </row>
        <row r="7139">
          <cell r="F7139">
            <v>-11690.82</v>
          </cell>
          <cell r="G7139">
            <v>0</v>
          </cell>
          <cell r="H7139">
            <v>62</v>
          </cell>
        </row>
        <row r="7140">
          <cell r="F7140">
            <v>-523.57000000000005</v>
          </cell>
          <cell r="G7140">
            <v>0</v>
          </cell>
          <cell r="H7140">
            <v>62</v>
          </cell>
        </row>
        <row r="7141">
          <cell r="F7141">
            <v>-15587.94</v>
          </cell>
          <cell r="G7141">
            <v>0</v>
          </cell>
          <cell r="H7141">
            <v>62</v>
          </cell>
        </row>
        <row r="7142">
          <cell r="F7142">
            <v>-7917.72</v>
          </cell>
          <cell r="G7142">
            <v>0</v>
          </cell>
          <cell r="H7142">
            <v>62</v>
          </cell>
        </row>
        <row r="7143">
          <cell r="F7143">
            <v>-10496.56</v>
          </cell>
          <cell r="G7143">
            <v>0</v>
          </cell>
          <cell r="H7143">
            <v>62</v>
          </cell>
        </row>
        <row r="7144">
          <cell r="F7144">
            <v>-13115.09</v>
          </cell>
          <cell r="G7144">
            <v>0</v>
          </cell>
          <cell r="H7144">
            <v>62</v>
          </cell>
        </row>
        <row r="7145">
          <cell r="F7145">
            <v>-67082.289999999994</v>
          </cell>
          <cell r="G7145">
            <v>0</v>
          </cell>
          <cell r="H7145">
            <v>62</v>
          </cell>
        </row>
        <row r="7146">
          <cell r="F7146">
            <v>-3221.34</v>
          </cell>
          <cell r="G7146">
            <v>0</v>
          </cell>
          <cell r="H7146">
            <v>62</v>
          </cell>
        </row>
        <row r="7147">
          <cell r="F7147">
            <v>-1438.8</v>
          </cell>
          <cell r="G7147">
            <v>0</v>
          </cell>
          <cell r="H7147">
            <v>62</v>
          </cell>
        </row>
        <row r="7148">
          <cell r="F7148">
            <v>-7644.57</v>
          </cell>
          <cell r="G7148">
            <v>0</v>
          </cell>
          <cell r="H7148">
            <v>62</v>
          </cell>
        </row>
        <row r="7149">
          <cell r="F7149">
            <v>-40281.82</v>
          </cell>
          <cell r="G7149">
            <v>0</v>
          </cell>
          <cell r="H7149">
            <v>62</v>
          </cell>
        </row>
        <row r="7150">
          <cell r="F7150">
            <v>-39400.589999999997</v>
          </cell>
          <cell r="G7150">
            <v>0</v>
          </cell>
          <cell r="H7150">
            <v>62</v>
          </cell>
        </row>
        <row r="7151">
          <cell r="F7151">
            <v>-16656.259999999998</v>
          </cell>
          <cell r="G7151">
            <v>0</v>
          </cell>
          <cell r="H7151">
            <v>62</v>
          </cell>
        </row>
        <row r="7152">
          <cell r="F7152">
            <v>-28559.24</v>
          </cell>
          <cell r="G7152">
            <v>0</v>
          </cell>
          <cell r="H7152">
            <v>62</v>
          </cell>
        </row>
        <row r="7153">
          <cell r="F7153">
            <v>-2584.79</v>
          </cell>
          <cell r="G7153">
            <v>0</v>
          </cell>
          <cell r="H7153">
            <v>62</v>
          </cell>
        </row>
        <row r="7154">
          <cell r="F7154">
            <v>-812.11</v>
          </cell>
          <cell r="G7154">
            <v>0</v>
          </cell>
          <cell r="H7154">
            <v>62</v>
          </cell>
        </row>
        <row r="7155">
          <cell r="F7155">
            <v>-418.9</v>
          </cell>
          <cell r="G7155">
            <v>0</v>
          </cell>
          <cell r="H7155">
            <v>62</v>
          </cell>
        </row>
        <row r="7156">
          <cell r="F7156">
            <v>-12099.79</v>
          </cell>
          <cell r="G7156">
            <v>0</v>
          </cell>
          <cell r="H7156">
            <v>62</v>
          </cell>
        </row>
        <row r="7157">
          <cell r="F7157">
            <v>-10202.4</v>
          </cell>
          <cell r="G7157">
            <v>0</v>
          </cell>
          <cell r="H7157">
            <v>62</v>
          </cell>
        </row>
        <row r="7158">
          <cell r="F7158">
            <v>-18465.830000000002</v>
          </cell>
          <cell r="G7158">
            <v>0</v>
          </cell>
          <cell r="H7158">
            <v>62</v>
          </cell>
        </row>
        <row r="7159">
          <cell r="F7159">
            <v>-39632.559999999998</v>
          </cell>
          <cell r="G7159">
            <v>0</v>
          </cell>
          <cell r="H7159">
            <v>62</v>
          </cell>
        </row>
        <row r="7160">
          <cell r="F7160">
            <v>-868.24</v>
          </cell>
          <cell r="G7160">
            <v>0</v>
          </cell>
          <cell r="H7160">
            <v>62</v>
          </cell>
        </row>
        <row r="7161">
          <cell r="F7161">
            <v>-2732.52</v>
          </cell>
          <cell r="G7161">
            <v>0</v>
          </cell>
          <cell r="H7161">
            <v>62</v>
          </cell>
        </row>
        <row r="7162">
          <cell r="F7162">
            <v>-2093.42</v>
          </cell>
          <cell r="G7162">
            <v>0</v>
          </cell>
          <cell r="H7162">
            <v>62</v>
          </cell>
        </row>
        <row r="7163">
          <cell r="F7163">
            <v>-5172.88</v>
          </cell>
          <cell r="G7163">
            <v>0</v>
          </cell>
          <cell r="H7163">
            <v>62</v>
          </cell>
        </row>
        <row r="7164">
          <cell r="F7164">
            <v>-27677.29</v>
          </cell>
          <cell r="G7164">
            <v>0</v>
          </cell>
          <cell r="H7164">
            <v>62</v>
          </cell>
        </row>
        <row r="7165">
          <cell r="F7165">
            <v>-26468.37</v>
          </cell>
          <cell r="G7165">
            <v>0</v>
          </cell>
          <cell r="H7165">
            <v>62</v>
          </cell>
        </row>
        <row r="7166">
          <cell r="F7166">
            <v>-1725.61</v>
          </cell>
          <cell r="G7166">
            <v>0</v>
          </cell>
          <cell r="H7166">
            <v>62</v>
          </cell>
        </row>
        <row r="7167">
          <cell r="F7167">
            <v>-3130.23</v>
          </cell>
          <cell r="G7167">
            <v>0</v>
          </cell>
          <cell r="H7167">
            <v>62</v>
          </cell>
        </row>
        <row r="7168">
          <cell r="F7168">
            <v>-1802.9</v>
          </cell>
          <cell r="G7168">
            <v>0</v>
          </cell>
          <cell r="H7168">
            <v>62</v>
          </cell>
        </row>
        <row r="7169">
          <cell r="F7169">
            <v>-2548.34</v>
          </cell>
          <cell r="G7169">
            <v>0</v>
          </cell>
          <cell r="H7169">
            <v>62</v>
          </cell>
        </row>
        <row r="7170">
          <cell r="F7170">
            <v>-1442.22</v>
          </cell>
          <cell r="G7170">
            <v>0</v>
          </cell>
          <cell r="H7170">
            <v>62</v>
          </cell>
        </row>
        <row r="7171">
          <cell r="F7171">
            <v>-16787.14</v>
          </cell>
          <cell r="G7171">
            <v>0</v>
          </cell>
          <cell r="H7171">
            <v>62</v>
          </cell>
        </row>
        <row r="7172">
          <cell r="F7172">
            <v>-9105.23</v>
          </cell>
          <cell r="G7172">
            <v>0</v>
          </cell>
          <cell r="H7172">
            <v>62</v>
          </cell>
        </row>
        <row r="7173">
          <cell r="F7173">
            <v>-9399.17</v>
          </cell>
          <cell r="G7173">
            <v>0</v>
          </cell>
          <cell r="H7173">
            <v>62</v>
          </cell>
        </row>
        <row r="7174">
          <cell r="F7174">
            <v>-582.82000000000005</v>
          </cell>
          <cell r="G7174">
            <v>0</v>
          </cell>
          <cell r="H7174">
            <v>62</v>
          </cell>
        </row>
        <row r="7175">
          <cell r="F7175">
            <v>-3297.51</v>
          </cell>
          <cell r="G7175">
            <v>0</v>
          </cell>
          <cell r="H7175">
            <v>62</v>
          </cell>
        </row>
        <row r="7176">
          <cell r="F7176">
            <v>-21488.68</v>
          </cell>
          <cell r="G7176">
            <v>0</v>
          </cell>
          <cell r="H7176">
            <v>62</v>
          </cell>
        </row>
        <row r="7177">
          <cell r="F7177">
            <v>-3995.36</v>
          </cell>
          <cell r="G7177">
            <v>0</v>
          </cell>
          <cell r="H7177">
            <v>62</v>
          </cell>
        </row>
        <row r="7178">
          <cell r="F7178">
            <v>-11629.75</v>
          </cell>
          <cell r="G7178">
            <v>0</v>
          </cell>
          <cell r="H7178">
            <v>62</v>
          </cell>
        </row>
        <row r="7179">
          <cell r="F7179">
            <v>-10580.32</v>
          </cell>
          <cell r="G7179">
            <v>0</v>
          </cell>
          <cell r="H7179">
            <v>62</v>
          </cell>
        </row>
        <row r="7180">
          <cell r="F7180">
            <v>-3172.33</v>
          </cell>
          <cell r="G7180">
            <v>0</v>
          </cell>
          <cell r="H7180">
            <v>62</v>
          </cell>
        </row>
        <row r="7181">
          <cell r="F7181">
            <v>-2295.35</v>
          </cell>
          <cell r="G7181">
            <v>0</v>
          </cell>
          <cell r="H7181">
            <v>62</v>
          </cell>
        </row>
        <row r="7182">
          <cell r="F7182">
            <v>-8693.19</v>
          </cell>
          <cell r="G7182">
            <v>0</v>
          </cell>
          <cell r="H7182">
            <v>62</v>
          </cell>
        </row>
        <row r="7183">
          <cell r="F7183">
            <v>0</v>
          </cell>
          <cell r="G7183">
            <v>0</v>
          </cell>
          <cell r="H7183">
            <v>62</v>
          </cell>
        </row>
        <row r="7184">
          <cell r="F7184">
            <v>-1454.98</v>
          </cell>
          <cell r="G7184">
            <v>0</v>
          </cell>
          <cell r="H7184">
            <v>62</v>
          </cell>
        </row>
        <row r="7185">
          <cell r="F7185">
            <v>-7183.36</v>
          </cell>
          <cell r="G7185">
            <v>0</v>
          </cell>
          <cell r="H7185">
            <v>62</v>
          </cell>
        </row>
        <row r="7186">
          <cell r="F7186">
            <v>-4855.0200000000004</v>
          </cell>
          <cell r="G7186">
            <v>0</v>
          </cell>
          <cell r="H7186">
            <v>62</v>
          </cell>
        </row>
        <row r="7187">
          <cell r="F7187">
            <v>-36797.94</v>
          </cell>
          <cell r="G7187">
            <v>0</v>
          </cell>
          <cell r="H7187">
            <v>62</v>
          </cell>
        </row>
        <row r="7188">
          <cell r="F7188">
            <v>-34821.279999999999</v>
          </cell>
          <cell r="G7188">
            <v>0</v>
          </cell>
          <cell r="H7188">
            <v>62</v>
          </cell>
        </row>
        <row r="7189">
          <cell r="F7189">
            <v>-14795.2</v>
          </cell>
          <cell r="G7189">
            <v>0</v>
          </cell>
          <cell r="H7189">
            <v>62</v>
          </cell>
        </row>
        <row r="7190">
          <cell r="F7190">
            <v>-750.95</v>
          </cell>
          <cell r="G7190">
            <v>0</v>
          </cell>
          <cell r="H7190">
            <v>62</v>
          </cell>
        </row>
        <row r="7191">
          <cell r="F7191">
            <v>-1948.61</v>
          </cell>
          <cell r="G7191">
            <v>0</v>
          </cell>
          <cell r="H7191">
            <v>62</v>
          </cell>
        </row>
        <row r="7192">
          <cell r="F7192">
            <v>-12877.25</v>
          </cell>
          <cell r="G7192">
            <v>0</v>
          </cell>
          <cell r="H7192">
            <v>62</v>
          </cell>
        </row>
        <row r="7193">
          <cell r="F7193">
            <v>-4708.91</v>
          </cell>
          <cell r="G7193">
            <v>0</v>
          </cell>
          <cell r="H7193">
            <v>62</v>
          </cell>
        </row>
        <row r="7194">
          <cell r="F7194">
            <v>-3016.23</v>
          </cell>
          <cell r="G7194">
            <v>0</v>
          </cell>
          <cell r="H7194">
            <v>62</v>
          </cell>
        </row>
        <row r="7195">
          <cell r="F7195">
            <v>-31289.66</v>
          </cell>
          <cell r="G7195">
            <v>0</v>
          </cell>
          <cell r="H7195">
            <v>62</v>
          </cell>
        </row>
        <row r="7196">
          <cell r="F7196">
            <v>-11874.48</v>
          </cell>
          <cell r="G7196">
            <v>0</v>
          </cell>
          <cell r="H7196">
            <v>62</v>
          </cell>
        </row>
        <row r="7197">
          <cell r="F7197">
            <v>-74.16</v>
          </cell>
          <cell r="G7197">
            <v>0</v>
          </cell>
          <cell r="H7197">
            <v>62</v>
          </cell>
        </row>
        <row r="7198">
          <cell r="F7198">
            <v>-2369.61</v>
          </cell>
          <cell r="G7198">
            <v>0</v>
          </cell>
          <cell r="H7198">
            <v>62</v>
          </cell>
        </row>
        <row r="7199">
          <cell r="F7199">
            <v>-1447.51</v>
          </cell>
          <cell r="G7199">
            <v>0</v>
          </cell>
          <cell r="H7199">
            <v>62</v>
          </cell>
        </row>
        <row r="7200">
          <cell r="F7200">
            <v>-12981.64</v>
          </cell>
          <cell r="G7200">
            <v>0</v>
          </cell>
          <cell r="H7200">
            <v>62</v>
          </cell>
        </row>
        <row r="7201">
          <cell r="F7201">
            <v>-8357.92</v>
          </cell>
          <cell r="G7201">
            <v>0</v>
          </cell>
          <cell r="H7201">
            <v>62</v>
          </cell>
        </row>
        <row r="7202">
          <cell r="F7202">
            <v>-11472.66</v>
          </cell>
          <cell r="G7202">
            <v>0</v>
          </cell>
          <cell r="H7202">
            <v>62</v>
          </cell>
        </row>
        <row r="7203">
          <cell r="F7203">
            <v>-24174.57</v>
          </cell>
          <cell r="G7203">
            <v>0</v>
          </cell>
          <cell r="H7203">
            <v>62</v>
          </cell>
        </row>
        <row r="7204">
          <cell r="F7204">
            <v>-16564.61</v>
          </cell>
          <cell r="G7204">
            <v>0</v>
          </cell>
          <cell r="H7204">
            <v>62</v>
          </cell>
        </row>
        <row r="7205">
          <cell r="F7205">
            <v>-10273.58</v>
          </cell>
          <cell r="G7205">
            <v>0</v>
          </cell>
          <cell r="H7205">
            <v>62</v>
          </cell>
        </row>
        <row r="7206">
          <cell r="F7206">
            <v>-14901.74</v>
          </cell>
          <cell r="G7206">
            <v>0</v>
          </cell>
          <cell r="H7206">
            <v>62</v>
          </cell>
        </row>
        <row r="7207">
          <cell r="F7207">
            <v>-1859.21</v>
          </cell>
          <cell r="G7207">
            <v>0</v>
          </cell>
          <cell r="H7207">
            <v>62</v>
          </cell>
        </row>
        <row r="7208">
          <cell r="F7208">
            <v>-509.05</v>
          </cell>
          <cell r="G7208">
            <v>0</v>
          </cell>
          <cell r="H7208">
            <v>62</v>
          </cell>
        </row>
        <row r="7209">
          <cell r="F7209">
            <v>-6510.84</v>
          </cell>
          <cell r="G7209">
            <v>0</v>
          </cell>
          <cell r="H7209">
            <v>62</v>
          </cell>
        </row>
        <row r="7210">
          <cell r="F7210">
            <v>-413.47</v>
          </cell>
          <cell r="G7210">
            <v>0</v>
          </cell>
          <cell r="H7210">
            <v>62</v>
          </cell>
        </row>
        <row r="7211">
          <cell r="F7211">
            <v>-41457.75</v>
          </cell>
          <cell r="G7211">
            <v>0</v>
          </cell>
          <cell r="H7211">
            <v>62</v>
          </cell>
        </row>
        <row r="7212">
          <cell r="F7212">
            <v>-16047.58</v>
          </cell>
          <cell r="G7212">
            <v>0</v>
          </cell>
          <cell r="H7212">
            <v>62</v>
          </cell>
        </row>
        <row r="7213">
          <cell r="F7213">
            <v>-11358.83</v>
          </cell>
          <cell r="G7213">
            <v>0</v>
          </cell>
          <cell r="H7213">
            <v>62</v>
          </cell>
        </row>
        <row r="7214">
          <cell r="F7214">
            <v>-6884.02</v>
          </cell>
          <cell r="G7214">
            <v>0</v>
          </cell>
          <cell r="H7214">
            <v>62</v>
          </cell>
        </row>
        <row r="7215">
          <cell r="F7215">
            <v>0</v>
          </cell>
          <cell r="G7215">
            <v>0</v>
          </cell>
          <cell r="H7215">
            <v>62</v>
          </cell>
        </row>
        <row r="7216">
          <cell r="F7216">
            <v>-14880.95</v>
          </cell>
          <cell r="G7216">
            <v>0</v>
          </cell>
          <cell r="H7216">
            <v>62</v>
          </cell>
        </row>
        <row r="7217">
          <cell r="F7217">
            <v>-24825.26</v>
          </cell>
          <cell r="G7217">
            <v>0</v>
          </cell>
          <cell r="H7217">
            <v>62</v>
          </cell>
        </row>
        <row r="7218">
          <cell r="F7218">
            <v>-1050.18</v>
          </cell>
          <cell r="G7218">
            <v>0</v>
          </cell>
          <cell r="H7218">
            <v>62</v>
          </cell>
        </row>
        <row r="7219">
          <cell r="F7219">
            <v>-1035.1099999999999</v>
          </cell>
          <cell r="G7219">
            <v>0</v>
          </cell>
          <cell r="H7219">
            <v>62</v>
          </cell>
        </row>
        <row r="7220">
          <cell r="F7220">
            <v>-12904.16</v>
          </cell>
          <cell r="G7220">
            <v>0</v>
          </cell>
          <cell r="H7220">
            <v>62</v>
          </cell>
        </row>
        <row r="7221">
          <cell r="F7221">
            <v>-7935.15</v>
          </cell>
          <cell r="G7221">
            <v>0</v>
          </cell>
          <cell r="H7221">
            <v>62</v>
          </cell>
        </row>
        <row r="7222">
          <cell r="F7222">
            <v>-8347.36</v>
          </cell>
          <cell r="G7222">
            <v>0</v>
          </cell>
          <cell r="H7222">
            <v>62</v>
          </cell>
        </row>
        <row r="7223">
          <cell r="F7223">
            <v>-5050.12</v>
          </cell>
          <cell r="G7223">
            <v>0</v>
          </cell>
          <cell r="H7223">
            <v>62</v>
          </cell>
        </row>
        <row r="7224">
          <cell r="F7224">
            <v>-2170.2800000000002</v>
          </cell>
          <cell r="G7224">
            <v>0</v>
          </cell>
          <cell r="H7224">
            <v>62</v>
          </cell>
        </row>
        <row r="7225">
          <cell r="F7225">
            <v>-6109.44</v>
          </cell>
          <cell r="G7225">
            <v>0</v>
          </cell>
          <cell r="H7225">
            <v>62</v>
          </cell>
        </row>
        <row r="7226">
          <cell r="F7226">
            <v>-4415.4799999999996</v>
          </cell>
          <cell r="G7226">
            <v>0</v>
          </cell>
          <cell r="H7226">
            <v>62</v>
          </cell>
        </row>
        <row r="7227">
          <cell r="F7227">
            <v>-8231.6200000000008</v>
          </cell>
          <cell r="G7227">
            <v>0</v>
          </cell>
          <cell r="H7227">
            <v>62</v>
          </cell>
        </row>
        <row r="7228">
          <cell r="F7228">
            <v>-13242.45</v>
          </cell>
          <cell r="G7228">
            <v>0</v>
          </cell>
          <cell r="H7228">
            <v>62</v>
          </cell>
        </row>
        <row r="7229">
          <cell r="F7229">
            <v>-11647.82</v>
          </cell>
          <cell r="G7229">
            <v>0</v>
          </cell>
          <cell r="H7229">
            <v>62</v>
          </cell>
        </row>
        <row r="7230">
          <cell r="F7230">
            <v>-5030.32</v>
          </cell>
          <cell r="G7230">
            <v>0</v>
          </cell>
          <cell r="H7230">
            <v>62</v>
          </cell>
        </row>
        <row r="7231">
          <cell r="F7231">
            <v>-2924.23</v>
          </cell>
          <cell r="G7231">
            <v>0</v>
          </cell>
          <cell r="H7231">
            <v>62</v>
          </cell>
        </row>
        <row r="7232">
          <cell r="F7232">
            <v>-759.09</v>
          </cell>
          <cell r="G7232">
            <v>0</v>
          </cell>
          <cell r="H7232">
            <v>62</v>
          </cell>
        </row>
        <row r="7233">
          <cell r="F7233">
            <v>-34826.129999999997</v>
          </cell>
          <cell r="G7233">
            <v>0</v>
          </cell>
          <cell r="H7233">
            <v>62</v>
          </cell>
        </row>
        <row r="7234">
          <cell r="F7234">
            <v>-5048.2700000000004</v>
          </cell>
          <cell r="G7234">
            <v>0</v>
          </cell>
          <cell r="H7234">
            <v>62</v>
          </cell>
        </row>
        <row r="7235">
          <cell r="F7235">
            <v>-3453.2</v>
          </cell>
          <cell r="G7235">
            <v>0</v>
          </cell>
          <cell r="H7235">
            <v>62</v>
          </cell>
        </row>
        <row r="7236">
          <cell r="F7236">
            <v>-427.41</v>
          </cell>
          <cell r="G7236">
            <v>0</v>
          </cell>
          <cell r="H7236">
            <v>62</v>
          </cell>
        </row>
        <row r="7237">
          <cell r="F7237">
            <v>-9617.74</v>
          </cell>
          <cell r="G7237">
            <v>0</v>
          </cell>
          <cell r="H7237">
            <v>62</v>
          </cell>
        </row>
        <row r="7238">
          <cell r="F7238">
            <v>-12310.55</v>
          </cell>
          <cell r="G7238">
            <v>0</v>
          </cell>
          <cell r="H7238">
            <v>62</v>
          </cell>
        </row>
        <row r="7239">
          <cell r="F7239">
            <v>-1868.78</v>
          </cell>
          <cell r="G7239">
            <v>0</v>
          </cell>
          <cell r="H7239">
            <v>62</v>
          </cell>
        </row>
        <row r="7240">
          <cell r="F7240">
            <v>-1046.01</v>
          </cell>
          <cell r="G7240">
            <v>0</v>
          </cell>
          <cell r="H7240">
            <v>62</v>
          </cell>
        </row>
        <row r="7241">
          <cell r="F7241">
            <v>-9443.2900000000009</v>
          </cell>
          <cell r="G7241">
            <v>0</v>
          </cell>
          <cell r="H7241">
            <v>62</v>
          </cell>
        </row>
        <row r="7242">
          <cell r="F7242">
            <v>-4198.32</v>
          </cell>
          <cell r="G7242">
            <v>0</v>
          </cell>
          <cell r="H7242">
            <v>62</v>
          </cell>
        </row>
        <row r="7243">
          <cell r="F7243">
            <v>-7656.67</v>
          </cell>
          <cell r="G7243">
            <v>0</v>
          </cell>
          <cell r="H7243">
            <v>62</v>
          </cell>
        </row>
        <row r="7244">
          <cell r="F7244">
            <v>-2931.4199999999996</v>
          </cell>
          <cell r="G7244">
            <v>0</v>
          </cell>
          <cell r="H7244">
            <v>62</v>
          </cell>
        </row>
        <row r="7245">
          <cell r="F7245">
            <v>-19410.13</v>
          </cell>
          <cell r="G7245">
            <v>0</v>
          </cell>
          <cell r="H7245">
            <v>62</v>
          </cell>
        </row>
        <row r="7246">
          <cell r="F7246">
            <v>-29063.87</v>
          </cell>
          <cell r="G7246">
            <v>0</v>
          </cell>
          <cell r="H7246">
            <v>62</v>
          </cell>
        </row>
        <row r="7247">
          <cell r="F7247">
            <v>-1139.49</v>
          </cell>
          <cell r="G7247">
            <v>0</v>
          </cell>
          <cell r="H7247">
            <v>62</v>
          </cell>
        </row>
        <row r="7248">
          <cell r="F7248">
            <v>-1683.26</v>
          </cell>
          <cell r="G7248">
            <v>0</v>
          </cell>
          <cell r="H7248">
            <v>62</v>
          </cell>
        </row>
        <row r="7249">
          <cell r="F7249">
            <v>-4707.3</v>
          </cell>
          <cell r="G7249">
            <v>0</v>
          </cell>
          <cell r="H7249">
            <v>62</v>
          </cell>
        </row>
        <row r="7250">
          <cell r="F7250">
            <v>-696.3</v>
          </cell>
          <cell r="G7250">
            <v>0</v>
          </cell>
          <cell r="H7250">
            <v>62</v>
          </cell>
        </row>
        <row r="7251">
          <cell r="F7251">
            <v>-25535.63</v>
          </cell>
          <cell r="G7251">
            <v>0</v>
          </cell>
          <cell r="H7251">
            <v>62</v>
          </cell>
        </row>
        <row r="7252">
          <cell r="F7252">
            <v>-3984.06</v>
          </cell>
          <cell r="G7252">
            <v>0</v>
          </cell>
          <cell r="H7252">
            <v>62</v>
          </cell>
        </row>
        <row r="7253">
          <cell r="F7253">
            <v>-5806.34</v>
          </cell>
          <cell r="G7253">
            <v>0</v>
          </cell>
          <cell r="H7253">
            <v>62</v>
          </cell>
        </row>
        <row r="7254">
          <cell r="F7254">
            <v>-5819.11</v>
          </cell>
          <cell r="G7254">
            <v>0</v>
          </cell>
          <cell r="H7254">
            <v>62</v>
          </cell>
        </row>
        <row r="7255">
          <cell r="F7255">
            <v>-595.55999999999995</v>
          </cell>
          <cell r="G7255">
            <v>0</v>
          </cell>
          <cell r="H7255">
            <v>62</v>
          </cell>
        </row>
        <row r="7256">
          <cell r="F7256">
            <v>-10347.719999999999</v>
          </cell>
          <cell r="G7256">
            <v>0</v>
          </cell>
          <cell r="H7256">
            <v>62</v>
          </cell>
        </row>
        <row r="7257">
          <cell r="F7257">
            <v>-4993.37</v>
          </cell>
          <cell r="G7257">
            <v>0</v>
          </cell>
          <cell r="H7257">
            <v>62</v>
          </cell>
        </row>
        <row r="7258">
          <cell r="F7258">
            <v>-303.22000000000003</v>
          </cell>
          <cell r="G7258">
            <v>0</v>
          </cell>
          <cell r="H7258">
            <v>62</v>
          </cell>
        </row>
        <row r="7259">
          <cell r="F7259">
            <v>-15758.37</v>
          </cell>
          <cell r="G7259">
            <v>0</v>
          </cell>
          <cell r="H7259">
            <v>62</v>
          </cell>
        </row>
        <row r="7260">
          <cell r="F7260">
            <v>-40193.64</v>
          </cell>
          <cell r="G7260">
            <v>0</v>
          </cell>
          <cell r="H7260">
            <v>62</v>
          </cell>
        </row>
        <row r="7261">
          <cell r="F7261">
            <v>-6892.73</v>
          </cell>
          <cell r="G7261">
            <v>0</v>
          </cell>
          <cell r="H7261">
            <v>62</v>
          </cell>
        </row>
        <row r="7262">
          <cell r="F7262">
            <v>-22945.72</v>
          </cell>
          <cell r="G7262">
            <v>0</v>
          </cell>
          <cell r="H7262">
            <v>62</v>
          </cell>
        </row>
        <row r="7263">
          <cell r="F7263">
            <v>-20296.669999999998</v>
          </cell>
          <cell r="G7263">
            <v>0</v>
          </cell>
          <cell r="H7263">
            <v>62</v>
          </cell>
        </row>
        <row r="7264">
          <cell r="F7264">
            <v>-11431.17</v>
          </cell>
          <cell r="G7264">
            <v>0</v>
          </cell>
          <cell r="H7264">
            <v>62</v>
          </cell>
        </row>
        <row r="7265">
          <cell r="F7265">
            <v>-8137.77</v>
          </cell>
          <cell r="G7265">
            <v>0</v>
          </cell>
          <cell r="H7265">
            <v>62</v>
          </cell>
        </row>
        <row r="7266">
          <cell r="F7266">
            <v>-383.95</v>
          </cell>
          <cell r="G7266">
            <v>0</v>
          </cell>
          <cell r="H7266">
            <v>62</v>
          </cell>
        </row>
        <row r="7267">
          <cell r="F7267">
            <v>-54.39</v>
          </cell>
          <cell r="G7267">
            <v>0</v>
          </cell>
          <cell r="H7267">
            <v>62</v>
          </cell>
        </row>
        <row r="7268">
          <cell r="F7268">
            <v>-30402.35</v>
          </cell>
          <cell r="G7268">
            <v>0</v>
          </cell>
          <cell r="H7268">
            <v>62</v>
          </cell>
        </row>
        <row r="7269">
          <cell r="F7269">
            <v>-3552.14</v>
          </cell>
          <cell r="G7269">
            <v>0</v>
          </cell>
          <cell r="H7269">
            <v>62</v>
          </cell>
        </row>
        <row r="7270">
          <cell r="F7270">
            <v>-373.3</v>
          </cell>
          <cell r="G7270">
            <v>0</v>
          </cell>
          <cell r="H7270">
            <v>62</v>
          </cell>
        </row>
        <row r="7271">
          <cell r="F7271">
            <v>-8528.4699999999993</v>
          </cell>
          <cell r="G7271">
            <v>0</v>
          </cell>
          <cell r="H7271">
            <v>62</v>
          </cell>
        </row>
        <row r="7272">
          <cell r="F7272">
            <v>-2326.38</v>
          </cell>
          <cell r="G7272">
            <v>0</v>
          </cell>
          <cell r="H7272">
            <v>62</v>
          </cell>
        </row>
        <row r="7273">
          <cell r="F7273">
            <v>-8707.9500000000007</v>
          </cell>
          <cell r="G7273">
            <v>0</v>
          </cell>
          <cell r="H7273">
            <v>62</v>
          </cell>
        </row>
        <row r="7274">
          <cell r="F7274">
            <v>-12046.59</v>
          </cell>
          <cell r="G7274">
            <v>0</v>
          </cell>
          <cell r="H7274">
            <v>62</v>
          </cell>
        </row>
        <row r="7275">
          <cell r="F7275">
            <v>-9242.73</v>
          </cell>
          <cell r="G7275">
            <v>0</v>
          </cell>
          <cell r="H7275">
            <v>62</v>
          </cell>
        </row>
        <row r="7276">
          <cell r="F7276">
            <v>-1895.51</v>
          </cell>
          <cell r="G7276">
            <v>0</v>
          </cell>
          <cell r="H7276">
            <v>62</v>
          </cell>
        </row>
        <row r="7277">
          <cell r="F7277">
            <v>-5267.79</v>
          </cell>
          <cell r="G7277">
            <v>0</v>
          </cell>
          <cell r="H7277">
            <v>62</v>
          </cell>
        </row>
        <row r="7278">
          <cell r="F7278">
            <v>-3560.35</v>
          </cell>
          <cell r="G7278">
            <v>0</v>
          </cell>
          <cell r="H7278">
            <v>62</v>
          </cell>
        </row>
        <row r="7279">
          <cell r="F7279">
            <v>-2295.5</v>
          </cell>
          <cell r="G7279">
            <v>0</v>
          </cell>
          <cell r="H7279">
            <v>62</v>
          </cell>
        </row>
        <row r="7280">
          <cell r="F7280">
            <v>-6375.01</v>
          </cell>
          <cell r="G7280">
            <v>0</v>
          </cell>
          <cell r="H7280">
            <v>62</v>
          </cell>
        </row>
        <row r="7281">
          <cell r="F7281">
            <v>-1265.44</v>
          </cell>
          <cell r="G7281">
            <v>0</v>
          </cell>
          <cell r="H7281">
            <v>62</v>
          </cell>
        </row>
        <row r="7282">
          <cell r="F7282">
            <v>-8413.2900000000009</v>
          </cell>
          <cell r="G7282">
            <v>0</v>
          </cell>
          <cell r="H7282">
            <v>62</v>
          </cell>
        </row>
        <row r="7283">
          <cell r="F7283">
            <v>-1535.18</v>
          </cell>
          <cell r="G7283">
            <v>0</v>
          </cell>
          <cell r="H7283">
            <v>62</v>
          </cell>
        </row>
        <row r="7284">
          <cell r="F7284">
            <v>-2003.84</v>
          </cell>
          <cell r="G7284">
            <v>0</v>
          </cell>
          <cell r="H7284">
            <v>62</v>
          </cell>
        </row>
        <row r="7285">
          <cell r="F7285">
            <v>-6677.17</v>
          </cell>
          <cell r="G7285">
            <v>0</v>
          </cell>
          <cell r="H7285">
            <v>62</v>
          </cell>
        </row>
        <row r="7286">
          <cell r="F7286">
            <v>-21153.26</v>
          </cell>
          <cell r="G7286">
            <v>0</v>
          </cell>
          <cell r="H7286">
            <v>62</v>
          </cell>
        </row>
        <row r="7287">
          <cell r="F7287">
            <v>-20943.43</v>
          </cell>
          <cell r="G7287">
            <v>0</v>
          </cell>
          <cell r="H7287">
            <v>62</v>
          </cell>
        </row>
        <row r="7288">
          <cell r="F7288">
            <v>-550.67999999999995</v>
          </cell>
          <cell r="G7288">
            <v>0</v>
          </cell>
          <cell r="H7288">
            <v>62</v>
          </cell>
        </row>
        <row r="7289">
          <cell r="F7289">
            <v>-3877.31</v>
          </cell>
          <cell r="G7289">
            <v>0</v>
          </cell>
          <cell r="H7289">
            <v>62</v>
          </cell>
        </row>
        <row r="7290">
          <cell r="F7290">
            <v>-29540.01</v>
          </cell>
          <cell r="G7290">
            <v>0</v>
          </cell>
          <cell r="H7290">
            <v>62</v>
          </cell>
        </row>
        <row r="7291">
          <cell r="F7291">
            <v>-7758.9</v>
          </cell>
          <cell r="G7291">
            <v>0</v>
          </cell>
          <cell r="H7291">
            <v>62</v>
          </cell>
        </row>
        <row r="7292">
          <cell r="F7292">
            <v>-28893.78</v>
          </cell>
          <cell r="G7292">
            <v>0</v>
          </cell>
          <cell r="H7292">
            <v>62</v>
          </cell>
        </row>
        <row r="7293">
          <cell r="F7293">
            <v>-12009.98</v>
          </cell>
          <cell r="G7293">
            <v>0</v>
          </cell>
          <cell r="H7293">
            <v>62</v>
          </cell>
        </row>
        <row r="7294">
          <cell r="F7294">
            <v>-8573.2800000000007</v>
          </cell>
          <cell r="G7294">
            <v>0</v>
          </cell>
          <cell r="H7294">
            <v>62</v>
          </cell>
        </row>
        <row r="7295">
          <cell r="F7295">
            <v>-770.13</v>
          </cell>
          <cell r="G7295">
            <v>0</v>
          </cell>
          <cell r="H7295">
            <v>62</v>
          </cell>
        </row>
        <row r="7296">
          <cell r="F7296">
            <v>-3793.45</v>
          </cell>
          <cell r="G7296">
            <v>0</v>
          </cell>
          <cell r="H7296">
            <v>62</v>
          </cell>
        </row>
        <row r="7297">
          <cell r="F7297">
            <v>-6469.67</v>
          </cell>
          <cell r="G7297">
            <v>0</v>
          </cell>
          <cell r="H7297">
            <v>62</v>
          </cell>
        </row>
        <row r="7298">
          <cell r="F7298">
            <v>-2362.3200000000002</v>
          </cell>
          <cell r="G7298">
            <v>0</v>
          </cell>
          <cell r="H7298">
            <v>62</v>
          </cell>
        </row>
        <row r="7299">
          <cell r="F7299">
            <v>-18205.21</v>
          </cell>
          <cell r="G7299">
            <v>0</v>
          </cell>
          <cell r="H7299">
            <v>62</v>
          </cell>
        </row>
        <row r="7300">
          <cell r="F7300">
            <v>-7481.76</v>
          </cell>
          <cell r="G7300">
            <v>0</v>
          </cell>
          <cell r="H7300">
            <v>62</v>
          </cell>
        </row>
        <row r="7301">
          <cell r="F7301">
            <v>-49193.65</v>
          </cell>
          <cell r="G7301">
            <v>0</v>
          </cell>
          <cell r="H7301">
            <v>62</v>
          </cell>
        </row>
        <row r="7302">
          <cell r="F7302">
            <v>-8329.7900000000009</v>
          </cell>
          <cell r="G7302">
            <v>0</v>
          </cell>
          <cell r="H7302">
            <v>62</v>
          </cell>
        </row>
        <row r="7303">
          <cell r="F7303">
            <v>-17899.009999999998</v>
          </cell>
          <cell r="G7303">
            <v>0</v>
          </cell>
          <cell r="H7303">
            <v>62</v>
          </cell>
        </row>
        <row r="7304">
          <cell r="F7304">
            <v>-9083.0400000000009</v>
          </cell>
          <cell r="G7304">
            <v>0</v>
          </cell>
          <cell r="H7304">
            <v>62</v>
          </cell>
        </row>
        <row r="7305">
          <cell r="F7305">
            <v>-1322.12</v>
          </cell>
          <cell r="G7305">
            <v>0</v>
          </cell>
          <cell r="H7305">
            <v>62</v>
          </cell>
        </row>
        <row r="7306">
          <cell r="F7306">
            <v>-9463.0499999999993</v>
          </cell>
          <cell r="G7306">
            <v>0</v>
          </cell>
          <cell r="H7306">
            <v>62</v>
          </cell>
        </row>
        <row r="7307">
          <cell r="F7307">
            <v>-328.16</v>
          </cell>
          <cell r="G7307">
            <v>0</v>
          </cell>
          <cell r="H7307">
            <v>62</v>
          </cell>
        </row>
        <row r="7308">
          <cell r="F7308">
            <v>-3703.41</v>
          </cell>
          <cell r="G7308">
            <v>0</v>
          </cell>
          <cell r="H7308">
            <v>62</v>
          </cell>
        </row>
        <row r="7309">
          <cell r="F7309">
            <v>-1061.51</v>
          </cell>
          <cell r="G7309">
            <v>0</v>
          </cell>
          <cell r="H7309">
            <v>62</v>
          </cell>
        </row>
        <row r="7310">
          <cell r="F7310">
            <v>-1044.0899999999999</v>
          </cell>
          <cell r="G7310">
            <v>0</v>
          </cell>
          <cell r="H7310">
            <v>62</v>
          </cell>
        </row>
        <row r="7311">
          <cell r="F7311">
            <v>-1434.49</v>
          </cell>
          <cell r="G7311">
            <v>0</v>
          </cell>
          <cell r="H7311">
            <v>62</v>
          </cell>
        </row>
        <row r="7312">
          <cell r="F7312">
            <v>-2418.17</v>
          </cell>
          <cell r="G7312">
            <v>0</v>
          </cell>
          <cell r="H7312">
            <v>62</v>
          </cell>
        </row>
        <row r="7313">
          <cell r="F7313">
            <v>-5572.65</v>
          </cell>
          <cell r="G7313">
            <v>0</v>
          </cell>
          <cell r="H7313">
            <v>62</v>
          </cell>
        </row>
        <row r="7314">
          <cell r="F7314">
            <v>-19260.79</v>
          </cell>
          <cell r="G7314">
            <v>0</v>
          </cell>
          <cell r="H7314">
            <v>62</v>
          </cell>
        </row>
        <row r="7315">
          <cell r="F7315">
            <v>-6902.52</v>
          </cell>
          <cell r="G7315">
            <v>0</v>
          </cell>
          <cell r="H7315">
            <v>62</v>
          </cell>
        </row>
        <row r="7316">
          <cell r="F7316">
            <v>-6129.16</v>
          </cell>
          <cell r="G7316">
            <v>0</v>
          </cell>
          <cell r="H7316">
            <v>62</v>
          </cell>
        </row>
        <row r="7317">
          <cell r="F7317">
            <v>-26985.119999999999</v>
          </cell>
          <cell r="G7317">
            <v>0</v>
          </cell>
          <cell r="H7317">
            <v>62</v>
          </cell>
        </row>
        <row r="7318">
          <cell r="F7318">
            <v>-7533.92</v>
          </cell>
          <cell r="G7318">
            <v>0</v>
          </cell>
          <cell r="H7318">
            <v>62</v>
          </cell>
        </row>
        <row r="7319">
          <cell r="F7319">
            <v>-1428.98</v>
          </cell>
          <cell r="G7319">
            <v>0</v>
          </cell>
          <cell r="H7319">
            <v>62</v>
          </cell>
        </row>
        <row r="7320">
          <cell r="F7320">
            <v>-12214.61</v>
          </cell>
          <cell r="G7320">
            <v>0</v>
          </cell>
          <cell r="H7320">
            <v>62</v>
          </cell>
        </row>
        <row r="7321">
          <cell r="F7321">
            <v>-24806.76</v>
          </cell>
          <cell r="G7321">
            <v>0</v>
          </cell>
          <cell r="H7321">
            <v>62</v>
          </cell>
        </row>
        <row r="7322">
          <cell r="F7322">
            <v>-1737.71</v>
          </cell>
          <cell r="G7322">
            <v>0</v>
          </cell>
          <cell r="H7322">
            <v>62</v>
          </cell>
        </row>
        <row r="7323">
          <cell r="F7323">
            <v>-2929.92</v>
          </cell>
          <cell r="G7323">
            <v>0</v>
          </cell>
          <cell r="H7323">
            <v>62</v>
          </cell>
        </row>
        <row r="7324">
          <cell r="F7324">
            <v>-9519.86</v>
          </cell>
          <cell r="G7324">
            <v>0</v>
          </cell>
          <cell r="H7324">
            <v>62</v>
          </cell>
        </row>
        <row r="7325">
          <cell r="F7325">
            <v>-10849.8</v>
          </cell>
          <cell r="G7325">
            <v>0</v>
          </cell>
          <cell r="H7325">
            <v>62</v>
          </cell>
        </row>
        <row r="7326">
          <cell r="F7326">
            <v>-2671.61</v>
          </cell>
          <cell r="G7326">
            <v>0</v>
          </cell>
          <cell r="H7326">
            <v>62</v>
          </cell>
        </row>
        <row r="7327">
          <cell r="F7327">
            <v>-7697.48</v>
          </cell>
          <cell r="G7327">
            <v>0</v>
          </cell>
          <cell r="H7327">
            <v>62</v>
          </cell>
        </row>
        <row r="7328">
          <cell r="F7328">
            <v>-1057.6300000000001</v>
          </cell>
          <cell r="G7328">
            <v>0</v>
          </cell>
          <cell r="H7328">
            <v>62</v>
          </cell>
        </row>
        <row r="7329">
          <cell r="F7329">
            <v>0</v>
          </cell>
          <cell r="G7329">
            <v>0</v>
          </cell>
          <cell r="H7329">
            <v>62</v>
          </cell>
        </row>
        <row r="7330">
          <cell r="F7330">
            <v>-10927.96</v>
          </cell>
          <cell r="G7330">
            <v>0</v>
          </cell>
          <cell r="H7330">
            <v>62</v>
          </cell>
        </row>
        <row r="7331">
          <cell r="F7331">
            <v>-307.18</v>
          </cell>
          <cell r="G7331">
            <v>0</v>
          </cell>
          <cell r="H7331">
            <v>62</v>
          </cell>
        </row>
        <row r="7332">
          <cell r="F7332">
            <v>-34043.160000000003</v>
          </cell>
          <cell r="G7332">
            <v>0</v>
          </cell>
          <cell r="H7332">
            <v>62</v>
          </cell>
        </row>
        <row r="7333">
          <cell r="F7333">
            <v>-12147.38</v>
          </cell>
          <cell r="G7333">
            <v>0</v>
          </cell>
          <cell r="H7333">
            <v>62</v>
          </cell>
        </row>
        <row r="7334">
          <cell r="F7334">
            <v>-1363.42</v>
          </cell>
          <cell r="G7334">
            <v>0</v>
          </cell>
          <cell r="H7334">
            <v>62</v>
          </cell>
        </row>
        <row r="7335">
          <cell r="F7335">
            <v>-10912.71</v>
          </cell>
          <cell r="G7335">
            <v>0</v>
          </cell>
          <cell r="H7335">
            <v>62</v>
          </cell>
        </row>
        <row r="7336">
          <cell r="F7336">
            <v>-13541.58</v>
          </cell>
          <cell r="G7336">
            <v>0</v>
          </cell>
          <cell r="H7336">
            <v>62</v>
          </cell>
        </row>
        <row r="7337">
          <cell r="F7337">
            <v>-9818.24</v>
          </cell>
          <cell r="G7337">
            <v>0</v>
          </cell>
          <cell r="H7337">
            <v>62</v>
          </cell>
        </row>
        <row r="7338">
          <cell r="F7338">
            <v>-2956.28</v>
          </cell>
          <cell r="G7338">
            <v>0</v>
          </cell>
          <cell r="H7338">
            <v>62</v>
          </cell>
        </row>
        <row r="7339">
          <cell r="F7339">
            <v>-9656.69</v>
          </cell>
          <cell r="G7339">
            <v>0</v>
          </cell>
          <cell r="H7339">
            <v>62</v>
          </cell>
        </row>
        <row r="7340">
          <cell r="F7340">
            <v>-5606.03</v>
          </cell>
          <cell r="G7340">
            <v>0</v>
          </cell>
          <cell r="H7340">
            <v>62</v>
          </cell>
        </row>
        <row r="7341">
          <cell r="F7341">
            <v>-11768.22</v>
          </cell>
          <cell r="G7341">
            <v>0</v>
          </cell>
          <cell r="H7341">
            <v>62</v>
          </cell>
        </row>
        <row r="7342">
          <cell r="F7342">
            <v>-1055.1199999999999</v>
          </cell>
          <cell r="G7342">
            <v>0</v>
          </cell>
          <cell r="H7342">
            <v>62</v>
          </cell>
        </row>
        <row r="7343">
          <cell r="F7343">
            <v>-2211.91</v>
          </cell>
          <cell r="G7343">
            <v>0</v>
          </cell>
          <cell r="H7343">
            <v>62</v>
          </cell>
        </row>
        <row r="7344">
          <cell r="F7344">
            <v>-2794.5</v>
          </cell>
          <cell r="G7344">
            <v>0</v>
          </cell>
          <cell r="H7344">
            <v>62</v>
          </cell>
        </row>
        <row r="7345">
          <cell r="F7345">
            <v>-1372.6</v>
          </cell>
          <cell r="G7345">
            <v>0</v>
          </cell>
          <cell r="H7345">
            <v>62</v>
          </cell>
        </row>
        <row r="7346">
          <cell r="F7346">
            <v>-6036.55</v>
          </cell>
          <cell r="G7346">
            <v>0</v>
          </cell>
          <cell r="H7346">
            <v>62</v>
          </cell>
        </row>
        <row r="7347">
          <cell r="F7347">
            <v>-4480.26</v>
          </cell>
          <cell r="G7347">
            <v>0</v>
          </cell>
          <cell r="H7347">
            <v>62</v>
          </cell>
        </row>
        <row r="7348">
          <cell r="F7348">
            <v>-3238.01</v>
          </cell>
          <cell r="G7348">
            <v>0</v>
          </cell>
          <cell r="H7348">
            <v>62</v>
          </cell>
        </row>
        <row r="7349">
          <cell r="F7349">
            <v>-13792.78</v>
          </cell>
          <cell r="G7349">
            <v>0</v>
          </cell>
          <cell r="H7349">
            <v>62</v>
          </cell>
        </row>
        <row r="7350">
          <cell r="F7350">
            <v>-26651.06</v>
          </cell>
          <cell r="G7350">
            <v>0</v>
          </cell>
          <cell r="H7350">
            <v>62</v>
          </cell>
        </row>
        <row r="7351">
          <cell r="F7351">
            <v>-636.72</v>
          </cell>
          <cell r="G7351">
            <v>0</v>
          </cell>
          <cell r="H7351">
            <v>62</v>
          </cell>
        </row>
        <row r="7352">
          <cell r="F7352">
            <v>-9391.5499999999993</v>
          </cell>
          <cell r="G7352">
            <v>0</v>
          </cell>
          <cell r="H7352">
            <v>62</v>
          </cell>
        </row>
        <row r="7353">
          <cell r="F7353">
            <v>-1591.54</v>
          </cell>
          <cell r="G7353">
            <v>0</v>
          </cell>
          <cell r="H7353">
            <v>62</v>
          </cell>
        </row>
        <row r="7354">
          <cell r="F7354">
            <v>0</v>
          </cell>
          <cell r="G7354">
            <v>0</v>
          </cell>
          <cell r="H7354">
            <v>62</v>
          </cell>
        </row>
        <row r="7355">
          <cell r="F7355">
            <v>0</v>
          </cell>
          <cell r="G7355">
            <v>0</v>
          </cell>
          <cell r="H7355">
            <v>62</v>
          </cell>
        </row>
        <row r="7356">
          <cell r="F7356">
            <v>0</v>
          </cell>
          <cell r="G7356">
            <v>0</v>
          </cell>
          <cell r="H7356">
            <v>62</v>
          </cell>
        </row>
        <row r="7357">
          <cell r="F7357">
            <v>0</v>
          </cell>
          <cell r="G7357">
            <v>0</v>
          </cell>
          <cell r="H7357">
            <v>62</v>
          </cell>
        </row>
        <row r="7358">
          <cell r="F7358">
            <v>0</v>
          </cell>
          <cell r="G7358">
            <v>0</v>
          </cell>
          <cell r="H7358">
            <v>62</v>
          </cell>
        </row>
        <row r="7359">
          <cell r="F7359">
            <v>0</v>
          </cell>
          <cell r="G7359">
            <v>0</v>
          </cell>
          <cell r="H7359">
            <v>62</v>
          </cell>
        </row>
        <row r="7360">
          <cell r="F7360">
            <v>0</v>
          </cell>
          <cell r="G7360">
            <v>0</v>
          </cell>
          <cell r="H7360">
            <v>62</v>
          </cell>
        </row>
        <row r="7361">
          <cell r="F7361">
            <v>0</v>
          </cell>
          <cell r="G7361">
            <v>0</v>
          </cell>
          <cell r="H7361">
            <v>62</v>
          </cell>
        </row>
        <row r="7362">
          <cell r="F7362">
            <v>0</v>
          </cell>
          <cell r="G7362">
            <v>0</v>
          </cell>
          <cell r="H7362">
            <v>62</v>
          </cell>
        </row>
        <row r="7363">
          <cell r="F7363">
            <v>0</v>
          </cell>
          <cell r="G7363">
            <v>0</v>
          </cell>
          <cell r="H7363">
            <v>62</v>
          </cell>
        </row>
        <row r="7364">
          <cell r="F7364">
            <v>0</v>
          </cell>
          <cell r="G7364">
            <v>0</v>
          </cell>
          <cell r="H7364">
            <v>62</v>
          </cell>
        </row>
        <row r="7365">
          <cell r="F7365">
            <v>0</v>
          </cell>
          <cell r="G7365">
            <v>0</v>
          </cell>
          <cell r="H7365">
            <v>62</v>
          </cell>
        </row>
        <row r="7366">
          <cell r="F7366">
            <v>0</v>
          </cell>
          <cell r="G7366">
            <v>0</v>
          </cell>
          <cell r="H7366">
            <v>62</v>
          </cell>
        </row>
        <row r="7367">
          <cell r="F7367">
            <v>0</v>
          </cell>
          <cell r="G7367">
            <v>0</v>
          </cell>
          <cell r="H7367">
            <v>62</v>
          </cell>
        </row>
        <row r="7368">
          <cell r="F7368">
            <v>0</v>
          </cell>
          <cell r="G7368">
            <v>0</v>
          </cell>
          <cell r="H7368">
            <v>62</v>
          </cell>
        </row>
        <row r="7369">
          <cell r="F7369">
            <v>0</v>
          </cell>
          <cell r="G7369">
            <v>0</v>
          </cell>
          <cell r="H7369">
            <v>62</v>
          </cell>
        </row>
        <row r="7370">
          <cell r="F7370">
            <v>0</v>
          </cell>
          <cell r="G7370">
            <v>0</v>
          </cell>
          <cell r="H7370">
            <v>62</v>
          </cell>
        </row>
        <row r="7371">
          <cell r="F7371">
            <v>0</v>
          </cell>
          <cell r="G7371">
            <v>0</v>
          </cell>
          <cell r="H7371">
            <v>62</v>
          </cell>
        </row>
        <row r="7372">
          <cell r="F7372">
            <v>0</v>
          </cell>
          <cell r="G7372">
            <v>0</v>
          </cell>
          <cell r="H7372">
            <v>62</v>
          </cell>
        </row>
        <row r="7373">
          <cell r="F7373">
            <v>0</v>
          </cell>
          <cell r="G7373">
            <v>0</v>
          </cell>
          <cell r="H7373">
            <v>62</v>
          </cell>
        </row>
        <row r="7374">
          <cell r="F7374">
            <v>0</v>
          </cell>
          <cell r="G7374">
            <v>0</v>
          </cell>
          <cell r="H7374">
            <v>62</v>
          </cell>
        </row>
        <row r="7375">
          <cell r="F7375">
            <v>0</v>
          </cell>
          <cell r="G7375">
            <v>0</v>
          </cell>
          <cell r="H7375">
            <v>62</v>
          </cell>
        </row>
        <row r="7376">
          <cell r="F7376">
            <v>0</v>
          </cell>
          <cell r="G7376">
            <v>0</v>
          </cell>
          <cell r="H7376">
            <v>62</v>
          </cell>
        </row>
        <row r="7377">
          <cell r="F7377">
            <v>0</v>
          </cell>
          <cell r="G7377">
            <v>0</v>
          </cell>
          <cell r="H7377">
            <v>62</v>
          </cell>
        </row>
        <row r="7378">
          <cell r="F7378">
            <v>0</v>
          </cell>
          <cell r="G7378">
            <v>0</v>
          </cell>
          <cell r="H7378">
            <v>62</v>
          </cell>
        </row>
        <row r="7379">
          <cell r="F7379">
            <v>0</v>
          </cell>
          <cell r="G7379">
            <v>0</v>
          </cell>
          <cell r="H7379">
            <v>62</v>
          </cell>
        </row>
        <row r="7380">
          <cell r="F7380">
            <v>0</v>
          </cell>
          <cell r="G7380">
            <v>0</v>
          </cell>
          <cell r="H7380">
            <v>62</v>
          </cell>
        </row>
        <row r="7381">
          <cell r="F7381">
            <v>0</v>
          </cell>
          <cell r="G7381">
            <v>0</v>
          </cell>
          <cell r="H7381">
            <v>62</v>
          </cell>
        </row>
        <row r="7382">
          <cell r="F7382">
            <v>0</v>
          </cell>
          <cell r="G7382">
            <v>0</v>
          </cell>
          <cell r="H7382">
            <v>62</v>
          </cell>
        </row>
        <row r="7383">
          <cell r="F7383">
            <v>0</v>
          </cell>
          <cell r="G7383">
            <v>0</v>
          </cell>
          <cell r="H7383">
            <v>62</v>
          </cell>
        </row>
        <row r="7384">
          <cell r="F7384">
            <v>0</v>
          </cell>
          <cell r="G7384">
            <v>0</v>
          </cell>
          <cell r="H7384">
            <v>62</v>
          </cell>
        </row>
        <row r="7385">
          <cell r="F7385">
            <v>0</v>
          </cell>
          <cell r="G7385">
            <v>0</v>
          </cell>
          <cell r="H7385">
            <v>62</v>
          </cell>
        </row>
        <row r="7386">
          <cell r="F7386">
            <v>0</v>
          </cell>
          <cell r="G7386">
            <v>0</v>
          </cell>
          <cell r="H7386">
            <v>62</v>
          </cell>
        </row>
        <row r="7387">
          <cell r="F7387">
            <v>0</v>
          </cell>
          <cell r="G7387">
            <v>0</v>
          </cell>
          <cell r="H7387">
            <v>62</v>
          </cell>
        </row>
        <row r="7388">
          <cell r="F7388">
            <v>0</v>
          </cell>
          <cell r="G7388">
            <v>0</v>
          </cell>
          <cell r="H7388">
            <v>62</v>
          </cell>
        </row>
        <row r="7389">
          <cell r="F7389">
            <v>0</v>
          </cell>
          <cell r="G7389">
            <v>0</v>
          </cell>
          <cell r="H7389">
            <v>62</v>
          </cell>
        </row>
        <row r="7390">
          <cell r="F7390">
            <v>0</v>
          </cell>
          <cell r="G7390">
            <v>0</v>
          </cell>
          <cell r="H7390">
            <v>62</v>
          </cell>
        </row>
        <row r="7391">
          <cell r="F7391">
            <v>0</v>
          </cell>
          <cell r="G7391">
            <v>0</v>
          </cell>
          <cell r="H7391">
            <v>62</v>
          </cell>
        </row>
        <row r="7392">
          <cell r="F7392">
            <v>0</v>
          </cell>
          <cell r="G7392">
            <v>0</v>
          </cell>
          <cell r="H7392">
            <v>62</v>
          </cell>
        </row>
        <row r="7393">
          <cell r="F7393">
            <v>0</v>
          </cell>
          <cell r="G7393">
            <v>0</v>
          </cell>
          <cell r="H7393">
            <v>62</v>
          </cell>
        </row>
        <row r="7394">
          <cell r="F7394">
            <v>0</v>
          </cell>
          <cell r="G7394">
            <v>0</v>
          </cell>
          <cell r="H7394">
            <v>62</v>
          </cell>
        </row>
        <row r="7395">
          <cell r="F7395">
            <v>0</v>
          </cell>
          <cell r="G7395">
            <v>0</v>
          </cell>
          <cell r="H7395">
            <v>62</v>
          </cell>
        </row>
        <row r="7396">
          <cell r="F7396">
            <v>0</v>
          </cell>
          <cell r="G7396">
            <v>0</v>
          </cell>
          <cell r="H7396">
            <v>62</v>
          </cell>
        </row>
        <row r="7397">
          <cell r="F7397">
            <v>0</v>
          </cell>
          <cell r="G7397">
            <v>0</v>
          </cell>
          <cell r="H7397">
            <v>62</v>
          </cell>
        </row>
        <row r="7398">
          <cell r="F7398">
            <v>0</v>
          </cell>
          <cell r="G7398">
            <v>0</v>
          </cell>
          <cell r="H7398">
            <v>62</v>
          </cell>
        </row>
        <row r="7399">
          <cell r="F7399">
            <v>0</v>
          </cell>
          <cell r="G7399">
            <v>0</v>
          </cell>
          <cell r="H7399">
            <v>62</v>
          </cell>
        </row>
        <row r="7400">
          <cell r="F7400">
            <v>0</v>
          </cell>
          <cell r="G7400">
            <v>0</v>
          </cell>
          <cell r="H7400">
            <v>62</v>
          </cell>
        </row>
        <row r="7401">
          <cell r="F7401">
            <v>0</v>
          </cell>
          <cell r="G7401">
            <v>0</v>
          </cell>
          <cell r="H7401">
            <v>62</v>
          </cell>
        </row>
        <row r="7402">
          <cell r="F7402">
            <v>0</v>
          </cell>
          <cell r="G7402">
            <v>0</v>
          </cell>
          <cell r="H7402">
            <v>62</v>
          </cell>
        </row>
        <row r="7403">
          <cell r="F7403">
            <v>0</v>
          </cell>
          <cell r="G7403">
            <v>0</v>
          </cell>
          <cell r="H7403">
            <v>62</v>
          </cell>
        </row>
        <row r="7404">
          <cell r="F7404">
            <v>0</v>
          </cell>
          <cell r="G7404">
            <v>0</v>
          </cell>
          <cell r="H7404">
            <v>62</v>
          </cell>
        </row>
        <row r="7405">
          <cell r="F7405">
            <v>0</v>
          </cell>
          <cell r="G7405">
            <v>0</v>
          </cell>
          <cell r="H7405">
            <v>62</v>
          </cell>
        </row>
        <row r="7406">
          <cell r="F7406">
            <v>0</v>
          </cell>
          <cell r="G7406">
            <v>0</v>
          </cell>
          <cell r="H7406">
            <v>62</v>
          </cell>
        </row>
        <row r="7407">
          <cell r="F7407">
            <v>0</v>
          </cell>
          <cell r="G7407">
            <v>0</v>
          </cell>
          <cell r="H7407">
            <v>62</v>
          </cell>
        </row>
        <row r="7408">
          <cell r="F7408">
            <v>0</v>
          </cell>
          <cell r="G7408">
            <v>0</v>
          </cell>
          <cell r="H7408">
            <v>62</v>
          </cell>
        </row>
        <row r="7409">
          <cell r="F7409">
            <v>0</v>
          </cell>
          <cell r="G7409">
            <v>0</v>
          </cell>
          <cell r="H7409">
            <v>62</v>
          </cell>
        </row>
        <row r="7410">
          <cell r="F7410">
            <v>0</v>
          </cell>
          <cell r="G7410">
            <v>0</v>
          </cell>
          <cell r="H7410">
            <v>62</v>
          </cell>
        </row>
        <row r="7411">
          <cell r="F7411">
            <v>0</v>
          </cell>
          <cell r="G7411">
            <v>0</v>
          </cell>
          <cell r="H7411">
            <v>62</v>
          </cell>
        </row>
        <row r="7412">
          <cell r="F7412">
            <v>0</v>
          </cell>
          <cell r="G7412">
            <v>0</v>
          </cell>
          <cell r="H7412">
            <v>62</v>
          </cell>
        </row>
        <row r="7413">
          <cell r="F7413">
            <v>0</v>
          </cell>
          <cell r="G7413">
            <v>0</v>
          </cell>
          <cell r="H7413">
            <v>62</v>
          </cell>
        </row>
        <row r="7414">
          <cell r="F7414">
            <v>0</v>
          </cell>
          <cell r="G7414">
            <v>0</v>
          </cell>
          <cell r="H7414">
            <v>62</v>
          </cell>
        </row>
        <row r="7415">
          <cell r="F7415">
            <v>0</v>
          </cell>
          <cell r="G7415">
            <v>0</v>
          </cell>
          <cell r="H7415">
            <v>62</v>
          </cell>
        </row>
        <row r="7416">
          <cell r="F7416">
            <v>0</v>
          </cell>
          <cell r="G7416">
            <v>0</v>
          </cell>
          <cell r="H7416">
            <v>62</v>
          </cell>
        </row>
        <row r="7417">
          <cell r="F7417">
            <v>0</v>
          </cell>
          <cell r="G7417">
            <v>0</v>
          </cell>
          <cell r="H7417">
            <v>62</v>
          </cell>
        </row>
        <row r="7418">
          <cell r="F7418">
            <v>0</v>
          </cell>
          <cell r="G7418">
            <v>0</v>
          </cell>
          <cell r="H7418">
            <v>62</v>
          </cell>
        </row>
        <row r="7419">
          <cell r="F7419">
            <v>0</v>
          </cell>
          <cell r="G7419">
            <v>0</v>
          </cell>
          <cell r="H7419">
            <v>62</v>
          </cell>
        </row>
        <row r="7420">
          <cell r="F7420">
            <v>0</v>
          </cell>
          <cell r="G7420">
            <v>0</v>
          </cell>
          <cell r="H7420">
            <v>62</v>
          </cell>
        </row>
        <row r="7421">
          <cell r="F7421">
            <v>0</v>
          </cell>
          <cell r="G7421">
            <v>0</v>
          </cell>
          <cell r="H7421">
            <v>62</v>
          </cell>
        </row>
        <row r="7422">
          <cell r="F7422">
            <v>0</v>
          </cell>
          <cell r="G7422">
            <v>0</v>
          </cell>
          <cell r="H7422">
            <v>62</v>
          </cell>
        </row>
        <row r="7423">
          <cell r="F7423">
            <v>0</v>
          </cell>
          <cell r="G7423">
            <v>0</v>
          </cell>
          <cell r="H7423">
            <v>62</v>
          </cell>
        </row>
        <row r="7424">
          <cell r="F7424">
            <v>0</v>
          </cell>
          <cell r="G7424">
            <v>0</v>
          </cell>
          <cell r="H7424">
            <v>62</v>
          </cell>
        </row>
        <row r="7425">
          <cell r="F7425">
            <v>0</v>
          </cell>
          <cell r="G7425">
            <v>0</v>
          </cell>
          <cell r="H7425">
            <v>62</v>
          </cell>
        </row>
        <row r="7426">
          <cell r="F7426">
            <v>0</v>
          </cell>
          <cell r="G7426">
            <v>0</v>
          </cell>
          <cell r="H7426">
            <v>62</v>
          </cell>
        </row>
        <row r="7427">
          <cell r="F7427">
            <v>0</v>
          </cell>
          <cell r="G7427">
            <v>0</v>
          </cell>
          <cell r="H7427">
            <v>62</v>
          </cell>
        </row>
        <row r="7428">
          <cell r="F7428">
            <v>0</v>
          </cell>
          <cell r="G7428">
            <v>0</v>
          </cell>
          <cell r="H7428">
            <v>62</v>
          </cell>
        </row>
        <row r="7429">
          <cell r="F7429">
            <v>0</v>
          </cell>
          <cell r="G7429">
            <v>0</v>
          </cell>
          <cell r="H7429">
            <v>62</v>
          </cell>
        </row>
        <row r="7430">
          <cell r="F7430">
            <v>0</v>
          </cell>
          <cell r="G7430">
            <v>0</v>
          </cell>
          <cell r="H7430">
            <v>62</v>
          </cell>
        </row>
        <row r="7431">
          <cell r="F7431">
            <v>0</v>
          </cell>
          <cell r="G7431">
            <v>0</v>
          </cell>
          <cell r="H7431">
            <v>62</v>
          </cell>
        </row>
        <row r="7432">
          <cell r="F7432">
            <v>0</v>
          </cell>
          <cell r="G7432">
            <v>0</v>
          </cell>
          <cell r="H7432">
            <v>62</v>
          </cell>
        </row>
        <row r="7433">
          <cell r="F7433">
            <v>0</v>
          </cell>
          <cell r="G7433">
            <v>0</v>
          </cell>
          <cell r="H7433">
            <v>62</v>
          </cell>
        </row>
        <row r="7434">
          <cell r="F7434">
            <v>0</v>
          </cell>
          <cell r="G7434">
            <v>0</v>
          </cell>
          <cell r="H7434">
            <v>62</v>
          </cell>
        </row>
        <row r="7435">
          <cell r="F7435">
            <v>0</v>
          </cell>
          <cell r="G7435">
            <v>0</v>
          </cell>
          <cell r="H7435">
            <v>62</v>
          </cell>
        </row>
        <row r="7436">
          <cell r="F7436">
            <v>0</v>
          </cell>
          <cell r="G7436">
            <v>0</v>
          </cell>
          <cell r="H7436">
            <v>62</v>
          </cell>
        </row>
        <row r="7437">
          <cell r="F7437">
            <v>0</v>
          </cell>
          <cell r="G7437">
            <v>0</v>
          </cell>
          <cell r="H7437">
            <v>62</v>
          </cell>
        </row>
        <row r="7438">
          <cell r="F7438">
            <v>0</v>
          </cell>
          <cell r="G7438">
            <v>0</v>
          </cell>
          <cell r="H7438">
            <v>62</v>
          </cell>
        </row>
        <row r="7439">
          <cell r="F7439">
            <v>0</v>
          </cell>
          <cell r="G7439">
            <v>0</v>
          </cell>
          <cell r="H7439">
            <v>62</v>
          </cell>
        </row>
        <row r="7440">
          <cell r="F7440">
            <v>0</v>
          </cell>
          <cell r="G7440">
            <v>0</v>
          </cell>
          <cell r="H7440">
            <v>62</v>
          </cell>
        </row>
        <row r="7441">
          <cell r="F7441">
            <v>0</v>
          </cell>
          <cell r="G7441">
            <v>0</v>
          </cell>
          <cell r="H7441">
            <v>62</v>
          </cell>
        </row>
        <row r="7442">
          <cell r="F7442">
            <v>0</v>
          </cell>
          <cell r="G7442">
            <v>0</v>
          </cell>
          <cell r="H7442">
            <v>62</v>
          </cell>
        </row>
        <row r="7443">
          <cell r="F7443">
            <v>0</v>
          </cell>
          <cell r="G7443">
            <v>0</v>
          </cell>
          <cell r="H7443">
            <v>62</v>
          </cell>
        </row>
        <row r="7444">
          <cell r="F7444">
            <v>0</v>
          </cell>
          <cell r="G7444">
            <v>0</v>
          </cell>
          <cell r="H7444">
            <v>62</v>
          </cell>
        </row>
        <row r="7445">
          <cell r="F7445">
            <v>0</v>
          </cell>
          <cell r="G7445">
            <v>0</v>
          </cell>
          <cell r="H7445">
            <v>62</v>
          </cell>
        </row>
        <row r="7446">
          <cell r="F7446">
            <v>0</v>
          </cell>
          <cell r="G7446">
            <v>0</v>
          </cell>
          <cell r="H7446">
            <v>62</v>
          </cell>
        </row>
        <row r="7447">
          <cell r="F7447">
            <v>0</v>
          </cell>
          <cell r="G7447">
            <v>0</v>
          </cell>
          <cell r="H7447">
            <v>62</v>
          </cell>
        </row>
        <row r="7448">
          <cell r="F7448">
            <v>0</v>
          </cell>
          <cell r="G7448">
            <v>0</v>
          </cell>
          <cell r="H7448">
            <v>62</v>
          </cell>
        </row>
        <row r="7449">
          <cell r="F7449">
            <v>0</v>
          </cell>
          <cell r="G7449">
            <v>0</v>
          </cell>
          <cell r="H7449">
            <v>62</v>
          </cell>
        </row>
        <row r="7450">
          <cell r="F7450">
            <v>0</v>
          </cell>
          <cell r="G7450">
            <v>0</v>
          </cell>
          <cell r="H7450">
            <v>62</v>
          </cell>
        </row>
        <row r="7451">
          <cell r="F7451">
            <v>0</v>
          </cell>
          <cell r="G7451">
            <v>0</v>
          </cell>
          <cell r="H7451">
            <v>62</v>
          </cell>
        </row>
        <row r="7452">
          <cell r="F7452">
            <v>0</v>
          </cell>
          <cell r="G7452">
            <v>0</v>
          </cell>
          <cell r="H7452">
            <v>62</v>
          </cell>
        </row>
        <row r="7453">
          <cell r="F7453">
            <v>0</v>
          </cell>
          <cell r="G7453">
            <v>0</v>
          </cell>
          <cell r="H7453">
            <v>62</v>
          </cell>
        </row>
        <row r="7454">
          <cell r="F7454">
            <v>0</v>
          </cell>
          <cell r="G7454">
            <v>0</v>
          </cell>
          <cell r="H7454">
            <v>62</v>
          </cell>
        </row>
        <row r="7455">
          <cell r="F7455">
            <v>0</v>
          </cell>
          <cell r="G7455">
            <v>0</v>
          </cell>
          <cell r="H7455">
            <v>62</v>
          </cell>
        </row>
        <row r="7456">
          <cell r="F7456">
            <v>0</v>
          </cell>
          <cell r="G7456">
            <v>0</v>
          </cell>
          <cell r="H7456">
            <v>62</v>
          </cell>
        </row>
        <row r="7457">
          <cell r="F7457">
            <v>0</v>
          </cell>
          <cell r="G7457">
            <v>0</v>
          </cell>
          <cell r="H7457">
            <v>62</v>
          </cell>
        </row>
        <row r="7458">
          <cell r="F7458">
            <v>0</v>
          </cell>
          <cell r="G7458">
            <v>0</v>
          </cell>
          <cell r="H7458">
            <v>62</v>
          </cell>
        </row>
        <row r="7459">
          <cell r="F7459">
            <v>0</v>
          </cell>
          <cell r="G7459">
            <v>0</v>
          </cell>
          <cell r="H7459">
            <v>62</v>
          </cell>
        </row>
        <row r="7460">
          <cell r="F7460">
            <v>0</v>
          </cell>
          <cell r="G7460">
            <v>0</v>
          </cell>
          <cell r="H7460">
            <v>62</v>
          </cell>
        </row>
        <row r="7461">
          <cell r="F7461">
            <v>0</v>
          </cell>
          <cell r="G7461">
            <v>0</v>
          </cell>
          <cell r="H7461">
            <v>62</v>
          </cell>
        </row>
        <row r="7462">
          <cell r="F7462">
            <v>0</v>
          </cell>
          <cell r="G7462">
            <v>0</v>
          </cell>
          <cell r="H7462">
            <v>62</v>
          </cell>
        </row>
        <row r="7463">
          <cell r="F7463">
            <v>0</v>
          </cell>
          <cell r="G7463">
            <v>0</v>
          </cell>
          <cell r="H7463">
            <v>62</v>
          </cell>
        </row>
        <row r="7464">
          <cell r="F7464">
            <v>0</v>
          </cell>
          <cell r="G7464">
            <v>0</v>
          </cell>
          <cell r="H7464">
            <v>62</v>
          </cell>
        </row>
        <row r="7465">
          <cell r="F7465">
            <v>0</v>
          </cell>
          <cell r="G7465">
            <v>0</v>
          </cell>
          <cell r="H7465">
            <v>62</v>
          </cell>
        </row>
        <row r="7466">
          <cell r="F7466">
            <v>0</v>
          </cell>
          <cell r="G7466">
            <v>0</v>
          </cell>
          <cell r="H7466">
            <v>62</v>
          </cell>
        </row>
        <row r="7467">
          <cell r="F7467">
            <v>0</v>
          </cell>
          <cell r="G7467">
            <v>0</v>
          </cell>
          <cell r="H7467">
            <v>62</v>
          </cell>
        </row>
        <row r="7468">
          <cell r="F7468">
            <v>0</v>
          </cell>
          <cell r="G7468">
            <v>0</v>
          </cell>
          <cell r="H7468">
            <v>62</v>
          </cell>
        </row>
        <row r="7469">
          <cell r="F7469">
            <v>0</v>
          </cell>
          <cell r="G7469">
            <v>0</v>
          </cell>
          <cell r="H7469">
            <v>62</v>
          </cell>
        </row>
        <row r="7470">
          <cell r="F7470">
            <v>0</v>
          </cell>
          <cell r="G7470">
            <v>0</v>
          </cell>
          <cell r="H7470">
            <v>62</v>
          </cell>
        </row>
        <row r="7471">
          <cell r="F7471">
            <v>0</v>
          </cell>
          <cell r="G7471">
            <v>0</v>
          </cell>
          <cell r="H7471">
            <v>62</v>
          </cell>
        </row>
        <row r="7472">
          <cell r="F7472">
            <v>0</v>
          </cell>
          <cell r="G7472">
            <v>0</v>
          </cell>
          <cell r="H7472">
            <v>62</v>
          </cell>
        </row>
        <row r="7473">
          <cell r="F7473">
            <v>0</v>
          </cell>
          <cell r="G7473">
            <v>0</v>
          </cell>
          <cell r="H7473">
            <v>62</v>
          </cell>
        </row>
        <row r="7474">
          <cell r="F7474">
            <v>0</v>
          </cell>
          <cell r="G7474">
            <v>0</v>
          </cell>
          <cell r="H7474">
            <v>62</v>
          </cell>
        </row>
        <row r="7475">
          <cell r="F7475">
            <v>0</v>
          </cell>
          <cell r="G7475">
            <v>0</v>
          </cell>
          <cell r="H7475">
            <v>62</v>
          </cell>
        </row>
        <row r="7476">
          <cell r="F7476">
            <v>0</v>
          </cell>
          <cell r="G7476">
            <v>0</v>
          </cell>
          <cell r="H7476">
            <v>62</v>
          </cell>
        </row>
        <row r="7477">
          <cell r="F7477">
            <v>0</v>
          </cell>
          <cell r="G7477">
            <v>0</v>
          </cell>
          <cell r="H7477">
            <v>62</v>
          </cell>
        </row>
        <row r="7478">
          <cell r="F7478">
            <v>0</v>
          </cell>
          <cell r="G7478">
            <v>0</v>
          </cell>
          <cell r="H7478">
            <v>62</v>
          </cell>
        </row>
        <row r="7479">
          <cell r="F7479">
            <v>0</v>
          </cell>
          <cell r="G7479">
            <v>0</v>
          </cell>
          <cell r="H7479">
            <v>62</v>
          </cell>
        </row>
        <row r="7480">
          <cell r="F7480">
            <v>0</v>
          </cell>
          <cell r="G7480">
            <v>0</v>
          </cell>
          <cell r="H7480">
            <v>62</v>
          </cell>
        </row>
        <row r="7481">
          <cell r="F7481">
            <v>0</v>
          </cell>
          <cell r="G7481">
            <v>0</v>
          </cell>
          <cell r="H7481">
            <v>62</v>
          </cell>
        </row>
        <row r="7482">
          <cell r="F7482">
            <v>0</v>
          </cell>
          <cell r="G7482">
            <v>0</v>
          </cell>
          <cell r="H7482">
            <v>62</v>
          </cell>
        </row>
        <row r="7483">
          <cell r="F7483">
            <v>0</v>
          </cell>
          <cell r="G7483">
            <v>0</v>
          </cell>
          <cell r="H7483">
            <v>62</v>
          </cell>
        </row>
        <row r="7484">
          <cell r="F7484">
            <v>0</v>
          </cell>
          <cell r="G7484">
            <v>0</v>
          </cell>
          <cell r="H7484">
            <v>62</v>
          </cell>
        </row>
        <row r="7485">
          <cell r="F7485">
            <v>0</v>
          </cell>
          <cell r="G7485">
            <v>0</v>
          </cell>
          <cell r="H7485">
            <v>62</v>
          </cell>
        </row>
        <row r="7486">
          <cell r="F7486">
            <v>0</v>
          </cell>
          <cell r="G7486">
            <v>0</v>
          </cell>
          <cell r="H7486">
            <v>62</v>
          </cell>
        </row>
        <row r="7487">
          <cell r="F7487">
            <v>0</v>
          </cell>
          <cell r="G7487">
            <v>0</v>
          </cell>
          <cell r="H7487">
            <v>62</v>
          </cell>
        </row>
        <row r="7488">
          <cell r="F7488">
            <v>0</v>
          </cell>
          <cell r="G7488">
            <v>0</v>
          </cell>
          <cell r="H7488">
            <v>62</v>
          </cell>
        </row>
        <row r="7489">
          <cell r="F7489">
            <v>0</v>
          </cell>
          <cell r="G7489">
            <v>0</v>
          </cell>
          <cell r="H7489">
            <v>62</v>
          </cell>
        </row>
        <row r="7490">
          <cell r="F7490">
            <v>0</v>
          </cell>
          <cell r="G7490">
            <v>0</v>
          </cell>
          <cell r="H7490">
            <v>62</v>
          </cell>
        </row>
        <row r="7491">
          <cell r="F7491">
            <v>0</v>
          </cell>
          <cell r="G7491">
            <v>0</v>
          </cell>
          <cell r="H7491">
            <v>62</v>
          </cell>
        </row>
        <row r="7492">
          <cell r="F7492">
            <v>0</v>
          </cell>
          <cell r="G7492">
            <v>0</v>
          </cell>
          <cell r="H7492">
            <v>62</v>
          </cell>
        </row>
        <row r="7493">
          <cell r="F7493">
            <v>0</v>
          </cell>
          <cell r="G7493">
            <v>0</v>
          </cell>
          <cell r="H7493">
            <v>62</v>
          </cell>
        </row>
        <row r="7494">
          <cell r="F7494">
            <v>0</v>
          </cell>
          <cell r="G7494">
            <v>0</v>
          </cell>
          <cell r="H7494">
            <v>62</v>
          </cell>
        </row>
        <row r="7495">
          <cell r="F7495">
            <v>130.68</v>
          </cell>
          <cell r="G7495">
            <v>0</v>
          </cell>
          <cell r="H7495">
            <v>630</v>
          </cell>
        </row>
        <row r="7496">
          <cell r="F7496">
            <v>1009.23</v>
          </cell>
          <cell r="G7496">
            <v>0</v>
          </cell>
          <cell r="H7496">
            <v>630</v>
          </cell>
        </row>
        <row r="7497">
          <cell r="F7497">
            <v>12862.42</v>
          </cell>
          <cell r="G7497">
            <v>0</v>
          </cell>
          <cell r="H7497">
            <v>630</v>
          </cell>
        </row>
        <row r="7498">
          <cell r="F7498">
            <v>3760.69</v>
          </cell>
          <cell r="G7498">
            <v>0</v>
          </cell>
          <cell r="H7498">
            <v>630</v>
          </cell>
        </row>
        <row r="7499">
          <cell r="F7499">
            <v>4240.25</v>
          </cell>
          <cell r="G7499">
            <v>0</v>
          </cell>
          <cell r="H7499">
            <v>630</v>
          </cell>
        </row>
        <row r="7500">
          <cell r="F7500">
            <v>4865.22</v>
          </cell>
          <cell r="G7500">
            <v>0</v>
          </cell>
          <cell r="H7500">
            <v>630</v>
          </cell>
        </row>
        <row r="7501">
          <cell r="F7501">
            <v>1524.44</v>
          </cell>
          <cell r="G7501">
            <v>0</v>
          </cell>
          <cell r="H7501">
            <v>630</v>
          </cell>
        </row>
        <row r="7502">
          <cell r="F7502">
            <v>1720.44</v>
          </cell>
          <cell r="G7502">
            <v>0</v>
          </cell>
          <cell r="H7502">
            <v>630</v>
          </cell>
        </row>
        <row r="7503">
          <cell r="F7503">
            <v>29659.599999999999</v>
          </cell>
          <cell r="G7503">
            <v>0</v>
          </cell>
          <cell r="H7503">
            <v>630</v>
          </cell>
        </row>
        <row r="7504">
          <cell r="F7504">
            <v>73321.570000000007</v>
          </cell>
          <cell r="G7504">
            <v>0</v>
          </cell>
          <cell r="H7504">
            <v>630</v>
          </cell>
        </row>
        <row r="7505">
          <cell r="F7505">
            <v>1721.72</v>
          </cell>
          <cell r="G7505">
            <v>0</v>
          </cell>
          <cell r="H7505">
            <v>630</v>
          </cell>
        </row>
        <row r="7506">
          <cell r="F7506">
            <v>22515.16</v>
          </cell>
          <cell r="G7506">
            <v>0</v>
          </cell>
          <cell r="H7506">
            <v>630</v>
          </cell>
        </row>
        <row r="7507">
          <cell r="F7507">
            <v>5860.76</v>
          </cell>
          <cell r="G7507">
            <v>0</v>
          </cell>
          <cell r="H7507">
            <v>630</v>
          </cell>
        </row>
        <row r="7508">
          <cell r="F7508">
            <v>19376.48</v>
          </cell>
          <cell r="G7508">
            <v>0</v>
          </cell>
          <cell r="H7508">
            <v>630</v>
          </cell>
        </row>
        <row r="7509">
          <cell r="F7509">
            <v>3460.44</v>
          </cell>
          <cell r="G7509">
            <v>0</v>
          </cell>
          <cell r="H7509">
            <v>630</v>
          </cell>
        </row>
        <row r="7510">
          <cell r="F7510">
            <v>25196.6</v>
          </cell>
          <cell r="G7510">
            <v>0</v>
          </cell>
          <cell r="H7510">
            <v>630</v>
          </cell>
        </row>
        <row r="7511">
          <cell r="F7511">
            <v>16755.599999999999</v>
          </cell>
          <cell r="G7511">
            <v>0</v>
          </cell>
          <cell r="H7511">
            <v>630</v>
          </cell>
        </row>
        <row r="7512">
          <cell r="F7512">
            <v>17712.68</v>
          </cell>
          <cell r="G7512">
            <v>0</v>
          </cell>
          <cell r="H7512">
            <v>630</v>
          </cell>
        </row>
        <row r="7513">
          <cell r="F7513">
            <v>3433.94</v>
          </cell>
          <cell r="G7513">
            <v>0</v>
          </cell>
          <cell r="H7513">
            <v>630</v>
          </cell>
        </row>
        <row r="7514">
          <cell r="F7514">
            <v>7141.76</v>
          </cell>
          <cell r="G7514">
            <v>0</v>
          </cell>
          <cell r="H7514">
            <v>630</v>
          </cell>
        </row>
        <row r="7515">
          <cell r="F7515">
            <v>3433.94</v>
          </cell>
          <cell r="G7515">
            <v>0</v>
          </cell>
          <cell r="H7515">
            <v>630</v>
          </cell>
        </row>
        <row r="7516">
          <cell r="F7516">
            <v>3996</v>
          </cell>
          <cell r="G7516">
            <v>0</v>
          </cell>
          <cell r="H7516">
            <v>630</v>
          </cell>
        </row>
        <row r="7517">
          <cell r="F7517">
            <v>14197.039999999999</v>
          </cell>
          <cell r="G7517">
            <v>0</v>
          </cell>
          <cell r="H7517">
            <v>630</v>
          </cell>
        </row>
        <row r="7518">
          <cell r="F7518">
            <v>3977.68</v>
          </cell>
          <cell r="G7518">
            <v>0</v>
          </cell>
          <cell r="H7518">
            <v>630</v>
          </cell>
        </row>
        <row r="7519">
          <cell r="F7519">
            <v>33350.339999999997</v>
          </cell>
          <cell r="G7519">
            <v>0</v>
          </cell>
          <cell r="H7519">
            <v>630</v>
          </cell>
        </row>
        <row r="7520">
          <cell r="F7520">
            <v>58279</v>
          </cell>
          <cell r="G7520">
            <v>0</v>
          </cell>
          <cell r="H7520">
            <v>630</v>
          </cell>
        </row>
        <row r="7521">
          <cell r="F7521">
            <v>25339.960000000003</v>
          </cell>
          <cell r="G7521">
            <v>0</v>
          </cell>
          <cell r="H7521">
            <v>630</v>
          </cell>
        </row>
        <row r="7522">
          <cell r="F7522">
            <v>9862.74</v>
          </cell>
          <cell r="G7522">
            <v>0</v>
          </cell>
          <cell r="H7522">
            <v>630</v>
          </cell>
        </row>
        <row r="7523">
          <cell r="F7523">
            <v>2681.65</v>
          </cell>
          <cell r="G7523">
            <v>0</v>
          </cell>
          <cell r="H7523">
            <v>630</v>
          </cell>
        </row>
        <row r="7524">
          <cell r="F7524">
            <v>23059.08</v>
          </cell>
          <cell r="G7524">
            <v>0</v>
          </cell>
          <cell r="H7524">
            <v>630</v>
          </cell>
        </row>
        <row r="7525">
          <cell r="F7525">
            <v>9592.48</v>
          </cell>
          <cell r="G7525">
            <v>0</v>
          </cell>
          <cell r="H7525">
            <v>630</v>
          </cell>
        </row>
        <row r="7526">
          <cell r="F7526">
            <v>77744.160000000003</v>
          </cell>
          <cell r="G7526">
            <v>0</v>
          </cell>
          <cell r="H7526">
            <v>630</v>
          </cell>
        </row>
        <row r="7527">
          <cell r="F7527">
            <v>1136.58</v>
          </cell>
          <cell r="G7527">
            <v>0</v>
          </cell>
          <cell r="H7527">
            <v>630</v>
          </cell>
        </row>
        <row r="7528">
          <cell r="F7528">
            <v>264.37</v>
          </cell>
          <cell r="G7528">
            <v>0</v>
          </cell>
          <cell r="H7528">
            <v>630</v>
          </cell>
        </row>
        <row r="7529">
          <cell r="F7529">
            <v>745.2</v>
          </cell>
          <cell r="G7529">
            <v>0</v>
          </cell>
          <cell r="H7529">
            <v>630</v>
          </cell>
        </row>
        <row r="7530">
          <cell r="F7530">
            <v>837.54</v>
          </cell>
          <cell r="G7530">
            <v>0</v>
          </cell>
          <cell r="H7530">
            <v>630</v>
          </cell>
        </row>
        <row r="7531">
          <cell r="F7531">
            <v>157.09</v>
          </cell>
          <cell r="G7531">
            <v>0</v>
          </cell>
          <cell r="H7531">
            <v>630</v>
          </cell>
        </row>
        <row r="7532">
          <cell r="F7532">
            <v>189.6</v>
          </cell>
          <cell r="G7532">
            <v>0</v>
          </cell>
          <cell r="H7532">
            <v>630</v>
          </cell>
        </row>
        <row r="7533">
          <cell r="F7533">
            <v>222.52</v>
          </cell>
          <cell r="G7533">
            <v>0</v>
          </cell>
          <cell r="H7533">
            <v>630</v>
          </cell>
        </row>
        <row r="7534">
          <cell r="F7534">
            <v>623.32000000000016</v>
          </cell>
          <cell r="G7534">
            <v>0</v>
          </cell>
          <cell r="H7534">
            <v>630</v>
          </cell>
        </row>
        <row r="7535">
          <cell r="F7535">
            <v>190.04999999999998</v>
          </cell>
          <cell r="G7535">
            <v>0</v>
          </cell>
          <cell r="H7535">
            <v>630</v>
          </cell>
        </row>
        <row r="7536">
          <cell r="F7536">
            <v>189.6</v>
          </cell>
          <cell r="G7536">
            <v>0</v>
          </cell>
          <cell r="H7536">
            <v>630</v>
          </cell>
        </row>
        <row r="7537">
          <cell r="F7537">
            <v>2066.83</v>
          </cell>
          <cell r="G7537">
            <v>0</v>
          </cell>
          <cell r="H7537">
            <v>630</v>
          </cell>
        </row>
        <row r="7538">
          <cell r="F7538">
            <v>574.54999999999995</v>
          </cell>
          <cell r="G7538">
            <v>0</v>
          </cell>
          <cell r="H7538">
            <v>630</v>
          </cell>
        </row>
        <row r="7539">
          <cell r="F7539">
            <v>1091.55</v>
          </cell>
          <cell r="G7539">
            <v>0</v>
          </cell>
          <cell r="H7539">
            <v>630</v>
          </cell>
        </row>
        <row r="7540">
          <cell r="F7540">
            <v>743.69999999999993</v>
          </cell>
          <cell r="G7540">
            <v>0</v>
          </cell>
          <cell r="H7540">
            <v>630</v>
          </cell>
        </row>
        <row r="7541">
          <cell r="F7541">
            <v>947.71</v>
          </cell>
          <cell r="G7541">
            <v>0</v>
          </cell>
          <cell r="H7541">
            <v>630</v>
          </cell>
        </row>
        <row r="7542">
          <cell r="F7542">
            <v>184.4</v>
          </cell>
          <cell r="G7542">
            <v>0</v>
          </cell>
          <cell r="H7542">
            <v>630</v>
          </cell>
        </row>
        <row r="7543">
          <cell r="F7543">
            <v>2025.4699999999998</v>
          </cell>
          <cell r="G7543">
            <v>0</v>
          </cell>
          <cell r="H7543">
            <v>630</v>
          </cell>
        </row>
        <row r="7544">
          <cell r="F7544">
            <v>438.22</v>
          </cell>
          <cell r="G7544">
            <v>0</v>
          </cell>
          <cell r="H7544">
            <v>630</v>
          </cell>
        </row>
        <row r="7545">
          <cell r="F7545">
            <v>189.49</v>
          </cell>
          <cell r="G7545">
            <v>0</v>
          </cell>
          <cell r="H7545">
            <v>630</v>
          </cell>
        </row>
        <row r="7546">
          <cell r="F7546">
            <v>189.6</v>
          </cell>
          <cell r="G7546">
            <v>0</v>
          </cell>
          <cell r="H7546">
            <v>630</v>
          </cell>
        </row>
        <row r="7547">
          <cell r="F7547">
            <v>266.08999999999997</v>
          </cell>
          <cell r="G7547">
            <v>0</v>
          </cell>
          <cell r="H7547">
            <v>630</v>
          </cell>
        </row>
        <row r="7548">
          <cell r="F7548">
            <v>94.74</v>
          </cell>
          <cell r="G7548">
            <v>0</v>
          </cell>
          <cell r="H7548">
            <v>630</v>
          </cell>
        </row>
        <row r="7549">
          <cell r="F7549">
            <v>907.54</v>
          </cell>
          <cell r="G7549">
            <v>0</v>
          </cell>
          <cell r="H7549">
            <v>630</v>
          </cell>
        </row>
        <row r="7550">
          <cell r="F7550">
            <v>184.4</v>
          </cell>
          <cell r="G7550">
            <v>0</v>
          </cell>
          <cell r="H7550">
            <v>630</v>
          </cell>
        </row>
        <row r="7551">
          <cell r="F7551">
            <v>947.96</v>
          </cell>
          <cell r="G7551">
            <v>0</v>
          </cell>
          <cell r="H7551">
            <v>630</v>
          </cell>
        </row>
        <row r="7552">
          <cell r="F7552">
            <v>0.19</v>
          </cell>
          <cell r="G7552">
            <v>0</v>
          </cell>
          <cell r="H7552">
            <v>630</v>
          </cell>
        </row>
        <row r="7553">
          <cell r="F7553">
            <v>2782.98</v>
          </cell>
          <cell r="G7553">
            <v>0</v>
          </cell>
          <cell r="H7553">
            <v>630</v>
          </cell>
        </row>
        <row r="7554">
          <cell r="F7554">
            <v>501.84999999999997</v>
          </cell>
          <cell r="G7554">
            <v>0</v>
          </cell>
          <cell r="H7554">
            <v>630</v>
          </cell>
        </row>
        <row r="7555">
          <cell r="F7555">
            <v>308.91000000000003</v>
          </cell>
          <cell r="G7555">
            <v>0</v>
          </cell>
          <cell r="H7555">
            <v>630</v>
          </cell>
        </row>
        <row r="7556">
          <cell r="F7556">
            <v>735.92</v>
          </cell>
          <cell r="G7556">
            <v>0</v>
          </cell>
          <cell r="H7556">
            <v>630</v>
          </cell>
        </row>
        <row r="7557">
          <cell r="F7557">
            <v>379.92</v>
          </cell>
          <cell r="G7557">
            <v>0</v>
          </cell>
          <cell r="H7557">
            <v>630</v>
          </cell>
        </row>
        <row r="7558">
          <cell r="F7558">
            <v>23.479999999999905</v>
          </cell>
          <cell r="G7558">
            <v>0</v>
          </cell>
          <cell r="H7558">
            <v>630</v>
          </cell>
        </row>
        <row r="7559">
          <cell r="F7559">
            <v>11073.12</v>
          </cell>
          <cell r="G7559">
            <v>0</v>
          </cell>
          <cell r="H7559">
            <v>630</v>
          </cell>
        </row>
        <row r="7560">
          <cell r="F7560">
            <v>386.31</v>
          </cell>
          <cell r="G7560">
            <v>0</v>
          </cell>
          <cell r="H7560">
            <v>630</v>
          </cell>
        </row>
        <row r="7561">
          <cell r="F7561">
            <v>51.88</v>
          </cell>
          <cell r="G7561">
            <v>0</v>
          </cell>
          <cell r="H7561">
            <v>630</v>
          </cell>
        </row>
        <row r="7562">
          <cell r="F7562">
            <v>177.33</v>
          </cell>
          <cell r="G7562">
            <v>0</v>
          </cell>
          <cell r="H7562">
            <v>630</v>
          </cell>
        </row>
        <row r="7563">
          <cell r="F7563">
            <v>184.4</v>
          </cell>
          <cell r="G7563">
            <v>0</v>
          </cell>
          <cell r="H7563">
            <v>630</v>
          </cell>
        </row>
        <row r="7564">
          <cell r="F7564">
            <v>196.71</v>
          </cell>
          <cell r="G7564">
            <v>0</v>
          </cell>
          <cell r="H7564">
            <v>630</v>
          </cell>
        </row>
        <row r="7565">
          <cell r="F7565">
            <v>190.2</v>
          </cell>
          <cell r="G7565">
            <v>0</v>
          </cell>
          <cell r="H7565">
            <v>630</v>
          </cell>
        </row>
        <row r="7566">
          <cell r="F7566">
            <v>592.95000000000005</v>
          </cell>
          <cell r="G7566">
            <v>0</v>
          </cell>
          <cell r="H7566">
            <v>630</v>
          </cell>
        </row>
        <row r="7567">
          <cell r="F7567">
            <v>1776.64</v>
          </cell>
          <cell r="G7567">
            <v>0</v>
          </cell>
          <cell r="H7567">
            <v>630</v>
          </cell>
        </row>
        <row r="7568">
          <cell r="F7568">
            <v>181</v>
          </cell>
          <cell r="G7568">
            <v>0</v>
          </cell>
          <cell r="H7568">
            <v>630</v>
          </cell>
        </row>
        <row r="7569">
          <cell r="F7569">
            <v>3303.67</v>
          </cell>
          <cell r="G7569">
            <v>0</v>
          </cell>
          <cell r="H7569">
            <v>630</v>
          </cell>
        </row>
        <row r="7570">
          <cell r="F7570">
            <v>189.6</v>
          </cell>
          <cell r="G7570">
            <v>0</v>
          </cell>
          <cell r="H7570">
            <v>630</v>
          </cell>
        </row>
        <row r="7571">
          <cell r="F7571">
            <v>514.30999999999995</v>
          </cell>
          <cell r="G7571">
            <v>0</v>
          </cell>
          <cell r="H7571">
            <v>630</v>
          </cell>
        </row>
        <row r="7572">
          <cell r="F7572">
            <v>46.1</v>
          </cell>
          <cell r="G7572">
            <v>0</v>
          </cell>
          <cell r="H7572">
            <v>630</v>
          </cell>
        </row>
        <row r="7573">
          <cell r="F7573">
            <v>395.68</v>
          </cell>
          <cell r="G7573">
            <v>0</v>
          </cell>
          <cell r="H7573">
            <v>630</v>
          </cell>
        </row>
        <row r="7574">
          <cell r="F7574">
            <v>893.61</v>
          </cell>
          <cell r="G7574">
            <v>0</v>
          </cell>
          <cell r="H7574">
            <v>630</v>
          </cell>
        </row>
        <row r="7575">
          <cell r="F7575">
            <v>468.98</v>
          </cell>
          <cell r="G7575">
            <v>0</v>
          </cell>
          <cell r="H7575">
            <v>630</v>
          </cell>
        </row>
        <row r="7576">
          <cell r="F7576">
            <v>252.2</v>
          </cell>
          <cell r="G7576">
            <v>0</v>
          </cell>
          <cell r="H7576">
            <v>630</v>
          </cell>
        </row>
        <row r="7577">
          <cell r="F7577">
            <v>362</v>
          </cell>
          <cell r="G7577">
            <v>0</v>
          </cell>
          <cell r="H7577">
            <v>630</v>
          </cell>
        </row>
        <row r="7578">
          <cell r="F7578">
            <v>189.6</v>
          </cell>
          <cell r="G7578">
            <v>0</v>
          </cell>
          <cell r="H7578">
            <v>630</v>
          </cell>
        </row>
        <row r="7579">
          <cell r="F7579">
            <v>587.96</v>
          </cell>
          <cell r="G7579">
            <v>0</v>
          </cell>
          <cell r="H7579">
            <v>630</v>
          </cell>
        </row>
        <row r="7580">
          <cell r="F7580">
            <v>94.97999999999999</v>
          </cell>
          <cell r="G7580">
            <v>0</v>
          </cell>
          <cell r="H7580">
            <v>630</v>
          </cell>
        </row>
        <row r="7581">
          <cell r="F7581">
            <v>2281.23</v>
          </cell>
          <cell r="G7581">
            <v>0</v>
          </cell>
          <cell r="H7581">
            <v>630</v>
          </cell>
        </row>
        <row r="7582">
          <cell r="F7582">
            <v>944.54</v>
          </cell>
          <cell r="G7582">
            <v>0</v>
          </cell>
          <cell r="H7582">
            <v>630</v>
          </cell>
        </row>
        <row r="7583">
          <cell r="F7583">
            <v>405.12</v>
          </cell>
          <cell r="G7583">
            <v>0</v>
          </cell>
          <cell r="H7583">
            <v>630</v>
          </cell>
        </row>
        <row r="7584">
          <cell r="F7584">
            <v>201.27</v>
          </cell>
          <cell r="G7584">
            <v>0</v>
          </cell>
          <cell r="H7584">
            <v>630</v>
          </cell>
        </row>
        <row r="7585">
          <cell r="F7585">
            <v>189.6</v>
          </cell>
          <cell r="G7585">
            <v>0</v>
          </cell>
          <cell r="H7585">
            <v>630</v>
          </cell>
        </row>
        <row r="7586">
          <cell r="F7586">
            <v>50.970000000000027</v>
          </cell>
          <cell r="G7586">
            <v>0</v>
          </cell>
          <cell r="H7586">
            <v>630</v>
          </cell>
        </row>
        <row r="7587">
          <cell r="F7587">
            <v>15.489999999999981</v>
          </cell>
          <cell r="G7587">
            <v>0</v>
          </cell>
          <cell r="H7587">
            <v>630</v>
          </cell>
        </row>
        <row r="7588">
          <cell r="F7588">
            <v>-5.7100000000000364</v>
          </cell>
          <cell r="G7588">
            <v>0</v>
          </cell>
          <cell r="H7588">
            <v>630</v>
          </cell>
        </row>
        <row r="7589">
          <cell r="F7589">
            <v>1736.2900000000002</v>
          </cell>
          <cell r="G7589">
            <v>0</v>
          </cell>
          <cell r="H7589">
            <v>630</v>
          </cell>
        </row>
        <row r="7590">
          <cell r="F7590">
            <v>1260.0899999999999</v>
          </cell>
          <cell r="G7590">
            <v>0</v>
          </cell>
          <cell r="H7590">
            <v>630</v>
          </cell>
        </row>
        <row r="7591">
          <cell r="F7591">
            <v>2868.14</v>
          </cell>
          <cell r="G7591">
            <v>0</v>
          </cell>
          <cell r="H7591">
            <v>630</v>
          </cell>
        </row>
        <row r="7592">
          <cell r="F7592">
            <v>1038.8699999999999</v>
          </cell>
          <cell r="G7592">
            <v>0</v>
          </cell>
          <cell r="H7592">
            <v>630</v>
          </cell>
        </row>
        <row r="7593">
          <cell r="F7593">
            <v>189.51</v>
          </cell>
          <cell r="G7593">
            <v>0</v>
          </cell>
          <cell r="H7593">
            <v>630</v>
          </cell>
        </row>
        <row r="7594">
          <cell r="F7594">
            <v>677.58</v>
          </cell>
          <cell r="G7594">
            <v>0</v>
          </cell>
          <cell r="H7594">
            <v>630</v>
          </cell>
        </row>
        <row r="7595">
          <cell r="F7595">
            <v>730.6</v>
          </cell>
          <cell r="G7595">
            <v>0</v>
          </cell>
          <cell r="H7595">
            <v>630</v>
          </cell>
        </row>
        <row r="7596">
          <cell r="F7596">
            <v>298.57</v>
          </cell>
          <cell r="G7596">
            <v>0</v>
          </cell>
          <cell r="H7596">
            <v>630</v>
          </cell>
        </row>
        <row r="7597">
          <cell r="F7597">
            <v>189.5</v>
          </cell>
          <cell r="G7597">
            <v>0</v>
          </cell>
          <cell r="H7597">
            <v>630</v>
          </cell>
        </row>
        <row r="7598">
          <cell r="F7598">
            <v>510.81</v>
          </cell>
          <cell r="G7598">
            <v>0</v>
          </cell>
          <cell r="H7598">
            <v>630</v>
          </cell>
        </row>
        <row r="7599">
          <cell r="F7599">
            <v>779.63</v>
          </cell>
          <cell r="G7599">
            <v>0</v>
          </cell>
          <cell r="H7599">
            <v>630</v>
          </cell>
        </row>
        <row r="7600">
          <cell r="F7600">
            <v>92.2</v>
          </cell>
          <cell r="G7600">
            <v>0</v>
          </cell>
          <cell r="H7600">
            <v>630</v>
          </cell>
        </row>
        <row r="7601">
          <cell r="F7601">
            <v>189.96</v>
          </cell>
          <cell r="G7601">
            <v>0</v>
          </cell>
          <cell r="H7601">
            <v>630</v>
          </cell>
        </row>
        <row r="7602">
          <cell r="F7602">
            <v>612.6400000000001</v>
          </cell>
          <cell r="G7602">
            <v>0</v>
          </cell>
          <cell r="H7602">
            <v>630</v>
          </cell>
        </row>
        <row r="7603">
          <cell r="F7603">
            <v>2610.59</v>
          </cell>
          <cell r="G7603">
            <v>0</v>
          </cell>
          <cell r="H7603">
            <v>630</v>
          </cell>
        </row>
        <row r="7604">
          <cell r="F7604">
            <v>1425.18</v>
          </cell>
          <cell r="G7604">
            <v>0</v>
          </cell>
          <cell r="H7604">
            <v>630</v>
          </cell>
        </row>
        <row r="7605">
          <cell r="F7605">
            <v>622.32000000000005</v>
          </cell>
          <cell r="G7605">
            <v>0</v>
          </cell>
          <cell r="H7605">
            <v>630</v>
          </cell>
        </row>
        <row r="7606">
          <cell r="F7606">
            <v>370.51</v>
          </cell>
          <cell r="G7606">
            <v>0</v>
          </cell>
          <cell r="H7606">
            <v>630</v>
          </cell>
        </row>
        <row r="7607">
          <cell r="F7607">
            <v>181.16</v>
          </cell>
          <cell r="G7607">
            <v>0</v>
          </cell>
          <cell r="H7607">
            <v>630</v>
          </cell>
        </row>
        <row r="7608">
          <cell r="F7608">
            <v>385.97</v>
          </cell>
          <cell r="G7608">
            <v>0</v>
          </cell>
          <cell r="H7608">
            <v>630</v>
          </cell>
        </row>
        <row r="7609">
          <cell r="F7609">
            <v>1014.67</v>
          </cell>
          <cell r="G7609">
            <v>0</v>
          </cell>
          <cell r="H7609">
            <v>630</v>
          </cell>
        </row>
        <row r="7610">
          <cell r="F7610">
            <v>370.6</v>
          </cell>
          <cell r="G7610">
            <v>0</v>
          </cell>
          <cell r="H7610">
            <v>630</v>
          </cell>
        </row>
        <row r="7611">
          <cell r="F7611">
            <v>571.28</v>
          </cell>
          <cell r="G7611">
            <v>0</v>
          </cell>
          <cell r="H7611">
            <v>630</v>
          </cell>
        </row>
        <row r="7612">
          <cell r="F7612">
            <v>189.6</v>
          </cell>
          <cell r="G7612">
            <v>0</v>
          </cell>
          <cell r="H7612">
            <v>630</v>
          </cell>
        </row>
        <row r="7613">
          <cell r="F7613">
            <v>47.5</v>
          </cell>
          <cell r="G7613">
            <v>0</v>
          </cell>
          <cell r="H7613">
            <v>630</v>
          </cell>
        </row>
        <row r="7614">
          <cell r="F7614">
            <v>215.14999999999998</v>
          </cell>
          <cell r="G7614">
            <v>0</v>
          </cell>
          <cell r="H7614">
            <v>630</v>
          </cell>
        </row>
        <row r="7615">
          <cell r="F7615">
            <v>189.5</v>
          </cell>
          <cell r="G7615">
            <v>0</v>
          </cell>
          <cell r="H7615">
            <v>630</v>
          </cell>
        </row>
        <row r="7616">
          <cell r="F7616">
            <v>942.52</v>
          </cell>
          <cell r="G7616">
            <v>0</v>
          </cell>
          <cell r="H7616">
            <v>630</v>
          </cell>
        </row>
        <row r="7617">
          <cell r="F7617">
            <v>1976.34</v>
          </cell>
          <cell r="G7617">
            <v>0</v>
          </cell>
          <cell r="H7617">
            <v>630</v>
          </cell>
        </row>
        <row r="7618">
          <cell r="F7618">
            <v>854.01</v>
          </cell>
          <cell r="G7618">
            <v>0</v>
          </cell>
          <cell r="H7618">
            <v>630</v>
          </cell>
        </row>
        <row r="7619">
          <cell r="F7619">
            <v>508.83</v>
          </cell>
          <cell r="G7619">
            <v>0</v>
          </cell>
          <cell r="H7619">
            <v>630</v>
          </cell>
        </row>
        <row r="7620">
          <cell r="F7620">
            <v>58.96</v>
          </cell>
          <cell r="G7620">
            <v>0</v>
          </cell>
          <cell r="H7620">
            <v>630</v>
          </cell>
        </row>
        <row r="7621">
          <cell r="F7621">
            <v>542.99</v>
          </cell>
          <cell r="G7621">
            <v>0</v>
          </cell>
          <cell r="H7621">
            <v>630</v>
          </cell>
        </row>
        <row r="7622">
          <cell r="F7622">
            <v>27.409999999999968</v>
          </cell>
          <cell r="G7622">
            <v>0</v>
          </cell>
          <cell r="H7622">
            <v>630</v>
          </cell>
        </row>
        <row r="7623">
          <cell r="F7623">
            <v>31.080000000000041</v>
          </cell>
          <cell r="G7623">
            <v>0</v>
          </cell>
          <cell r="H7623">
            <v>630</v>
          </cell>
        </row>
        <row r="7624">
          <cell r="F7624">
            <v>368.45</v>
          </cell>
          <cell r="G7624">
            <v>0</v>
          </cell>
          <cell r="H7624">
            <v>630</v>
          </cell>
        </row>
        <row r="7625">
          <cell r="F7625">
            <v>1914.25</v>
          </cell>
          <cell r="G7625">
            <v>0</v>
          </cell>
          <cell r="H7625">
            <v>630</v>
          </cell>
        </row>
        <row r="7626">
          <cell r="F7626">
            <v>217.78</v>
          </cell>
          <cell r="G7626">
            <v>0</v>
          </cell>
          <cell r="H7626">
            <v>630</v>
          </cell>
        </row>
        <row r="7627">
          <cell r="F7627">
            <v>181</v>
          </cell>
          <cell r="G7627">
            <v>0</v>
          </cell>
          <cell r="H7627">
            <v>630</v>
          </cell>
        </row>
        <row r="7628">
          <cell r="F7628">
            <v>109.48</v>
          </cell>
          <cell r="G7628">
            <v>0</v>
          </cell>
          <cell r="H7628">
            <v>630</v>
          </cell>
        </row>
        <row r="7629">
          <cell r="F7629">
            <v>290.29000000000002</v>
          </cell>
          <cell r="G7629">
            <v>0</v>
          </cell>
          <cell r="H7629">
            <v>630</v>
          </cell>
        </row>
        <row r="7630">
          <cell r="F7630">
            <v>1166.54</v>
          </cell>
          <cell r="G7630">
            <v>0</v>
          </cell>
          <cell r="H7630">
            <v>630</v>
          </cell>
        </row>
        <row r="7631">
          <cell r="F7631">
            <v>758.82</v>
          </cell>
          <cell r="G7631">
            <v>0</v>
          </cell>
          <cell r="H7631">
            <v>630</v>
          </cell>
        </row>
        <row r="7632">
          <cell r="F7632">
            <v>1131.9299999999998</v>
          </cell>
          <cell r="G7632">
            <v>0</v>
          </cell>
          <cell r="H7632">
            <v>630</v>
          </cell>
        </row>
        <row r="7633">
          <cell r="F7633">
            <v>946.08</v>
          </cell>
          <cell r="G7633">
            <v>0</v>
          </cell>
          <cell r="H7633">
            <v>630</v>
          </cell>
        </row>
        <row r="7634">
          <cell r="F7634">
            <v>4744.0200000000004</v>
          </cell>
          <cell r="G7634">
            <v>0</v>
          </cell>
          <cell r="H7634">
            <v>630</v>
          </cell>
        </row>
        <row r="7635">
          <cell r="F7635">
            <v>497.72</v>
          </cell>
          <cell r="G7635">
            <v>0</v>
          </cell>
          <cell r="H7635">
            <v>630</v>
          </cell>
        </row>
        <row r="7636">
          <cell r="F7636">
            <v>184.4</v>
          </cell>
          <cell r="G7636">
            <v>0</v>
          </cell>
          <cell r="H7636">
            <v>630</v>
          </cell>
        </row>
        <row r="7637">
          <cell r="F7637">
            <v>592.38</v>
          </cell>
          <cell r="G7637">
            <v>0</v>
          </cell>
          <cell r="H7637">
            <v>630</v>
          </cell>
        </row>
        <row r="7638">
          <cell r="F7638">
            <v>189.96</v>
          </cell>
          <cell r="G7638">
            <v>0</v>
          </cell>
          <cell r="H7638">
            <v>630</v>
          </cell>
        </row>
        <row r="7639">
          <cell r="F7639">
            <v>308.2</v>
          </cell>
          <cell r="G7639">
            <v>0</v>
          </cell>
          <cell r="H7639">
            <v>630</v>
          </cell>
        </row>
        <row r="7640">
          <cell r="F7640">
            <v>2138.7999999999997</v>
          </cell>
          <cell r="G7640">
            <v>0</v>
          </cell>
          <cell r="H7640">
            <v>630</v>
          </cell>
        </row>
        <row r="7641">
          <cell r="F7641">
            <v>1635.19</v>
          </cell>
          <cell r="G7641">
            <v>0</v>
          </cell>
          <cell r="H7641">
            <v>630</v>
          </cell>
        </row>
        <row r="7642">
          <cell r="F7642">
            <v>1103.1600000000001</v>
          </cell>
          <cell r="G7642">
            <v>0</v>
          </cell>
          <cell r="H7642">
            <v>630</v>
          </cell>
        </row>
        <row r="7643">
          <cell r="F7643">
            <v>1089.07</v>
          </cell>
          <cell r="G7643">
            <v>0</v>
          </cell>
          <cell r="H7643">
            <v>630</v>
          </cell>
        </row>
        <row r="7644">
          <cell r="F7644">
            <v>184.14</v>
          </cell>
          <cell r="G7644">
            <v>0</v>
          </cell>
          <cell r="H7644">
            <v>630</v>
          </cell>
        </row>
        <row r="7645">
          <cell r="F7645">
            <v>514.42000000000007</v>
          </cell>
          <cell r="G7645">
            <v>0</v>
          </cell>
          <cell r="H7645">
            <v>630</v>
          </cell>
        </row>
        <row r="7646">
          <cell r="F7646">
            <v>573.75</v>
          </cell>
          <cell r="G7646">
            <v>0</v>
          </cell>
          <cell r="H7646">
            <v>630</v>
          </cell>
        </row>
        <row r="7647">
          <cell r="F7647">
            <v>71.64</v>
          </cell>
          <cell r="G7647">
            <v>0</v>
          </cell>
          <cell r="H7647">
            <v>630</v>
          </cell>
        </row>
        <row r="7648">
          <cell r="F7648">
            <v>597.16</v>
          </cell>
          <cell r="G7648">
            <v>0</v>
          </cell>
          <cell r="H7648">
            <v>630</v>
          </cell>
        </row>
        <row r="7649">
          <cell r="F7649">
            <v>832.33</v>
          </cell>
          <cell r="G7649">
            <v>0</v>
          </cell>
          <cell r="H7649">
            <v>630</v>
          </cell>
        </row>
        <row r="7650">
          <cell r="F7650">
            <v>197.83</v>
          </cell>
          <cell r="G7650">
            <v>0</v>
          </cell>
          <cell r="H7650">
            <v>630</v>
          </cell>
        </row>
        <row r="7651">
          <cell r="F7651">
            <v>741.9</v>
          </cell>
          <cell r="G7651">
            <v>0</v>
          </cell>
          <cell r="H7651">
            <v>630</v>
          </cell>
        </row>
        <row r="7652">
          <cell r="F7652">
            <v>71.88</v>
          </cell>
          <cell r="G7652">
            <v>0</v>
          </cell>
          <cell r="H7652">
            <v>630</v>
          </cell>
        </row>
        <row r="7653">
          <cell r="F7653">
            <v>118.58</v>
          </cell>
          <cell r="G7653">
            <v>0</v>
          </cell>
          <cell r="H7653">
            <v>630</v>
          </cell>
        </row>
        <row r="7654">
          <cell r="F7654">
            <v>120.63999999999999</v>
          </cell>
          <cell r="G7654">
            <v>0</v>
          </cell>
          <cell r="H7654">
            <v>630</v>
          </cell>
        </row>
        <row r="7655">
          <cell r="F7655">
            <v>337.54</v>
          </cell>
          <cell r="G7655">
            <v>0</v>
          </cell>
          <cell r="H7655">
            <v>630</v>
          </cell>
        </row>
        <row r="7656">
          <cell r="F7656">
            <v>741.89</v>
          </cell>
          <cell r="G7656">
            <v>0</v>
          </cell>
          <cell r="H7656">
            <v>630</v>
          </cell>
        </row>
        <row r="7657">
          <cell r="F7657">
            <v>337.55</v>
          </cell>
          <cell r="G7657">
            <v>0</v>
          </cell>
          <cell r="H7657">
            <v>630</v>
          </cell>
        </row>
        <row r="7658">
          <cell r="F7658">
            <v>71.88</v>
          </cell>
          <cell r="G7658">
            <v>0</v>
          </cell>
          <cell r="H7658">
            <v>630</v>
          </cell>
        </row>
        <row r="7659">
          <cell r="F7659">
            <v>337.55</v>
          </cell>
          <cell r="G7659">
            <v>0</v>
          </cell>
          <cell r="H7659">
            <v>630</v>
          </cell>
        </row>
        <row r="7660">
          <cell r="F7660">
            <v>197.8</v>
          </cell>
          <cell r="G7660">
            <v>0</v>
          </cell>
          <cell r="H7660">
            <v>630</v>
          </cell>
        </row>
        <row r="7661">
          <cell r="F7661">
            <v>741.89</v>
          </cell>
          <cell r="G7661">
            <v>0</v>
          </cell>
          <cell r="H7661">
            <v>630</v>
          </cell>
        </row>
        <row r="7662">
          <cell r="F7662">
            <v>259.68</v>
          </cell>
          <cell r="G7662">
            <v>0</v>
          </cell>
          <cell r="H7662">
            <v>630</v>
          </cell>
        </row>
        <row r="7663">
          <cell r="F7663">
            <v>35.75</v>
          </cell>
          <cell r="G7663">
            <v>0</v>
          </cell>
          <cell r="H7663">
            <v>630</v>
          </cell>
        </row>
        <row r="7664">
          <cell r="F7664">
            <v>127.96</v>
          </cell>
          <cell r="G7664">
            <v>0</v>
          </cell>
          <cell r="H7664">
            <v>630</v>
          </cell>
        </row>
        <row r="7665">
          <cell r="F7665">
            <v>428.6</v>
          </cell>
          <cell r="G7665">
            <v>0</v>
          </cell>
          <cell r="H7665">
            <v>630</v>
          </cell>
        </row>
        <row r="7666">
          <cell r="F7666">
            <v>677.28</v>
          </cell>
          <cell r="G7666">
            <v>0</v>
          </cell>
          <cell r="H7666">
            <v>630</v>
          </cell>
        </row>
        <row r="7667">
          <cell r="F7667">
            <v>820.4</v>
          </cell>
          <cell r="G7667">
            <v>0</v>
          </cell>
          <cell r="H7667">
            <v>630</v>
          </cell>
        </row>
        <row r="7668">
          <cell r="F7668">
            <v>53</v>
          </cell>
          <cell r="G7668">
            <v>0</v>
          </cell>
          <cell r="H7668">
            <v>630</v>
          </cell>
        </row>
        <row r="7669">
          <cell r="F7669">
            <v>389.84</v>
          </cell>
          <cell r="G7669">
            <v>0</v>
          </cell>
          <cell r="H7669">
            <v>630</v>
          </cell>
        </row>
        <row r="7670">
          <cell r="F7670">
            <v>149.1</v>
          </cell>
          <cell r="G7670">
            <v>0</v>
          </cell>
          <cell r="H7670">
            <v>630</v>
          </cell>
        </row>
        <row r="7671">
          <cell r="F7671">
            <v>1236.73</v>
          </cell>
          <cell r="G7671">
            <v>0</v>
          </cell>
          <cell r="H7671">
            <v>630</v>
          </cell>
        </row>
        <row r="7672">
          <cell r="F7672">
            <v>385.49</v>
          </cell>
          <cell r="G7672">
            <v>0</v>
          </cell>
          <cell r="H7672">
            <v>630</v>
          </cell>
        </row>
        <row r="7673">
          <cell r="F7673">
            <v>3870.13</v>
          </cell>
          <cell r="G7673">
            <v>0</v>
          </cell>
          <cell r="H7673">
            <v>630</v>
          </cell>
        </row>
        <row r="7674">
          <cell r="F7674">
            <v>19.89</v>
          </cell>
          <cell r="G7674">
            <v>0</v>
          </cell>
          <cell r="H7674">
            <v>630</v>
          </cell>
        </row>
        <row r="7675">
          <cell r="F7675">
            <v>41.03</v>
          </cell>
          <cell r="G7675">
            <v>0</v>
          </cell>
          <cell r="H7675">
            <v>630</v>
          </cell>
        </row>
        <row r="7676">
          <cell r="F7676">
            <v>1114.21</v>
          </cell>
          <cell r="G7676">
            <v>0</v>
          </cell>
          <cell r="H7676">
            <v>630</v>
          </cell>
        </row>
        <row r="7677">
          <cell r="F7677">
            <v>356.64</v>
          </cell>
          <cell r="G7677">
            <v>0</v>
          </cell>
          <cell r="H7677">
            <v>630</v>
          </cell>
        </row>
        <row r="7678">
          <cell r="F7678">
            <v>1988.04</v>
          </cell>
          <cell r="G7678">
            <v>0</v>
          </cell>
          <cell r="H7678">
            <v>630</v>
          </cell>
        </row>
        <row r="7679">
          <cell r="F7679">
            <v>22.96</v>
          </cell>
          <cell r="G7679">
            <v>0</v>
          </cell>
          <cell r="H7679">
            <v>630</v>
          </cell>
        </row>
        <row r="7680">
          <cell r="F7680">
            <v>69.569999999999993</v>
          </cell>
          <cell r="G7680">
            <v>0</v>
          </cell>
          <cell r="H7680">
            <v>630</v>
          </cell>
        </row>
        <row r="7681">
          <cell r="F7681">
            <v>978.48</v>
          </cell>
          <cell r="G7681">
            <v>0</v>
          </cell>
          <cell r="H7681">
            <v>630</v>
          </cell>
        </row>
        <row r="7682">
          <cell r="F7682">
            <v>20.72</v>
          </cell>
          <cell r="G7682">
            <v>0</v>
          </cell>
          <cell r="H7682">
            <v>630</v>
          </cell>
        </row>
        <row r="7683">
          <cell r="F7683">
            <v>242</v>
          </cell>
          <cell r="G7683">
            <v>0</v>
          </cell>
          <cell r="H7683">
            <v>630</v>
          </cell>
        </row>
        <row r="7684">
          <cell r="F7684">
            <v>531.04999999999995</v>
          </cell>
          <cell r="G7684">
            <v>0</v>
          </cell>
          <cell r="H7684">
            <v>630</v>
          </cell>
        </row>
        <row r="7685">
          <cell r="F7685">
            <v>352.39</v>
          </cell>
          <cell r="G7685">
            <v>0</v>
          </cell>
          <cell r="H7685">
            <v>630</v>
          </cell>
        </row>
        <row r="7686">
          <cell r="F7686">
            <v>481.84</v>
          </cell>
          <cell r="G7686">
            <v>0</v>
          </cell>
          <cell r="H7686">
            <v>630</v>
          </cell>
        </row>
        <row r="7687">
          <cell r="F7687">
            <v>172.27</v>
          </cell>
          <cell r="G7687">
            <v>0</v>
          </cell>
          <cell r="H7687">
            <v>630</v>
          </cell>
        </row>
        <row r="7688">
          <cell r="F7688">
            <v>1298.82</v>
          </cell>
          <cell r="G7688">
            <v>0</v>
          </cell>
          <cell r="H7688">
            <v>630</v>
          </cell>
        </row>
        <row r="7689">
          <cell r="F7689">
            <v>54.28</v>
          </cell>
          <cell r="G7689">
            <v>0</v>
          </cell>
          <cell r="H7689">
            <v>630</v>
          </cell>
        </row>
        <row r="7690">
          <cell r="F7690">
            <v>0</v>
          </cell>
          <cell r="G7690">
            <v>0</v>
          </cell>
          <cell r="H7690">
            <v>630</v>
          </cell>
        </row>
        <row r="7691">
          <cell r="F7691">
            <v>393.34</v>
          </cell>
          <cell r="G7691">
            <v>0</v>
          </cell>
          <cell r="H7691">
            <v>630</v>
          </cell>
        </row>
        <row r="7692">
          <cell r="F7692">
            <v>78.16</v>
          </cell>
          <cell r="G7692">
            <v>0</v>
          </cell>
          <cell r="H7692">
            <v>630</v>
          </cell>
        </row>
        <row r="7693">
          <cell r="F7693">
            <v>785.76</v>
          </cell>
          <cell r="G7693">
            <v>0</v>
          </cell>
          <cell r="H7693">
            <v>630</v>
          </cell>
        </row>
        <row r="7694">
          <cell r="F7694">
            <v>0</v>
          </cell>
          <cell r="G7694">
            <v>0</v>
          </cell>
          <cell r="H7694">
            <v>630</v>
          </cell>
        </row>
        <row r="7695">
          <cell r="F7695">
            <v>19.89</v>
          </cell>
          <cell r="G7695">
            <v>0</v>
          </cell>
          <cell r="H7695">
            <v>630</v>
          </cell>
        </row>
        <row r="7696">
          <cell r="F7696">
            <v>1121.5899999999999</v>
          </cell>
          <cell r="G7696">
            <v>0</v>
          </cell>
          <cell r="H7696">
            <v>630</v>
          </cell>
        </row>
        <row r="7697">
          <cell r="F7697">
            <v>252.04</v>
          </cell>
          <cell r="G7697">
            <v>0</v>
          </cell>
          <cell r="H7697">
            <v>630</v>
          </cell>
        </row>
        <row r="7698">
          <cell r="F7698">
            <v>99.5</v>
          </cell>
          <cell r="G7698">
            <v>0</v>
          </cell>
          <cell r="H7698">
            <v>630</v>
          </cell>
        </row>
        <row r="7699">
          <cell r="F7699">
            <v>4777.08</v>
          </cell>
          <cell r="G7699">
            <v>0</v>
          </cell>
          <cell r="H7699">
            <v>630</v>
          </cell>
        </row>
        <row r="7700">
          <cell r="F7700">
            <v>617.91999999999996</v>
          </cell>
          <cell r="G7700">
            <v>0</v>
          </cell>
          <cell r="H7700">
            <v>630</v>
          </cell>
        </row>
        <row r="7701">
          <cell r="F7701">
            <v>312.57</v>
          </cell>
          <cell r="G7701">
            <v>0</v>
          </cell>
          <cell r="H7701">
            <v>630</v>
          </cell>
        </row>
        <row r="7702">
          <cell r="F7702">
            <v>314.04000000000002</v>
          </cell>
          <cell r="G7702">
            <v>0</v>
          </cell>
          <cell r="H7702">
            <v>630</v>
          </cell>
        </row>
        <row r="7703">
          <cell r="F7703">
            <v>1246.74</v>
          </cell>
          <cell r="G7703">
            <v>0</v>
          </cell>
          <cell r="H7703">
            <v>630</v>
          </cell>
        </row>
        <row r="7704">
          <cell r="F7704">
            <v>524.44000000000005</v>
          </cell>
          <cell r="G7704">
            <v>0</v>
          </cell>
          <cell r="H7704">
            <v>630</v>
          </cell>
        </row>
        <row r="7705">
          <cell r="F7705">
            <v>346.36</v>
          </cell>
          <cell r="G7705">
            <v>0</v>
          </cell>
          <cell r="H7705">
            <v>630</v>
          </cell>
        </row>
        <row r="7706">
          <cell r="F7706">
            <v>88.41</v>
          </cell>
          <cell r="G7706">
            <v>0</v>
          </cell>
          <cell r="H7706">
            <v>630</v>
          </cell>
        </row>
        <row r="7707">
          <cell r="F7707">
            <v>546.64</v>
          </cell>
          <cell r="G7707">
            <v>0</v>
          </cell>
          <cell r="H7707">
            <v>630</v>
          </cell>
        </row>
        <row r="7708">
          <cell r="F7708">
            <v>2939.2999999999997</v>
          </cell>
          <cell r="G7708">
            <v>0</v>
          </cell>
          <cell r="H7708">
            <v>630</v>
          </cell>
        </row>
        <row r="7709">
          <cell r="F7709">
            <v>555.20000000000005</v>
          </cell>
          <cell r="G7709">
            <v>0</v>
          </cell>
          <cell r="H7709">
            <v>630</v>
          </cell>
        </row>
        <row r="7710">
          <cell r="F7710">
            <v>2833.65</v>
          </cell>
          <cell r="G7710">
            <v>0</v>
          </cell>
          <cell r="H7710">
            <v>630</v>
          </cell>
        </row>
        <row r="7711">
          <cell r="F7711">
            <v>1156.8800000000001</v>
          </cell>
          <cell r="G7711">
            <v>0</v>
          </cell>
          <cell r="H7711">
            <v>630</v>
          </cell>
        </row>
        <row r="7712">
          <cell r="F7712">
            <v>55.76</v>
          </cell>
          <cell r="G7712">
            <v>0</v>
          </cell>
          <cell r="H7712">
            <v>630</v>
          </cell>
        </row>
        <row r="7713">
          <cell r="F7713">
            <v>116.46</v>
          </cell>
          <cell r="G7713">
            <v>0</v>
          </cell>
          <cell r="H7713">
            <v>630</v>
          </cell>
        </row>
        <row r="7714">
          <cell r="F7714">
            <v>1928.98</v>
          </cell>
          <cell r="G7714">
            <v>0</v>
          </cell>
          <cell r="H7714">
            <v>630</v>
          </cell>
        </row>
        <row r="7715">
          <cell r="F7715">
            <v>2109.7800000000002</v>
          </cell>
          <cell r="G7715">
            <v>0</v>
          </cell>
          <cell r="H7715">
            <v>630</v>
          </cell>
        </row>
        <row r="7716">
          <cell r="F7716">
            <v>1008.28</v>
          </cell>
          <cell r="G7716">
            <v>0</v>
          </cell>
          <cell r="H7716">
            <v>630</v>
          </cell>
        </row>
        <row r="7717">
          <cell r="F7717">
            <v>1223.5999999999999</v>
          </cell>
          <cell r="G7717">
            <v>0</v>
          </cell>
          <cell r="H7717">
            <v>630</v>
          </cell>
        </row>
        <row r="7718">
          <cell r="F7718">
            <v>263.95999999999998</v>
          </cell>
          <cell r="G7718">
            <v>0</v>
          </cell>
          <cell r="H7718">
            <v>630</v>
          </cell>
        </row>
        <row r="7719">
          <cell r="F7719">
            <v>1313.13</v>
          </cell>
          <cell r="G7719">
            <v>0</v>
          </cell>
          <cell r="H7719">
            <v>630</v>
          </cell>
        </row>
        <row r="7720">
          <cell r="F7720">
            <v>14.04</v>
          </cell>
          <cell r="G7720">
            <v>0</v>
          </cell>
          <cell r="H7720">
            <v>630</v>
          </cell>
        </row>
        <row r="7721">
          <cell r="F7721">
            <v>76.239999999999995</v>
          </cell>
          <cell r="G7721">
            <v>0</v>
          </cell>
          <cell r="H7721">
            <v>630</v>
          </cell>
        </row>
        <row r="7722">
          <cell r="F7722">
            <v>498.92</v>
          </cell>
          <cell r="G7722">
            <v>0</v>
          </cell>
          <cell r="H7722">
            <v>630</v>
          </cell>
        </row>
        <row r="7723">
          <cell r="F7723">
            <v>59.32</v>
          </cell>
          <cell r="G7723">
            <v>0</v>
          </cell>
          <cell r="H7723">
            <v>630</v>
          </cell>
        </row>
        <row r="7724">
          <cell r="F7724">
            <v>327.33999999999997</v>
          </cell>
          <cell r="G7724">
            <v>0</v>
          </cell>
          <cell r="H7724">
            <v>630</v>
          </cell>
        </row>
        <row r="7725">
          <cell r="F7725">
            <v>44.01</v>
          </cell>
          <cell r="G7725">
            <v>0</v>
          </cell>
          <cell r="H7725">
            <v>630</v>
          </cell>
        </row>
        <row r="7726">
          <cell r="F7726">
            <v>7333.99</v>
          </cell>
          <cell r="G7726">
            <v>0</v>
          </cell>
          <cell r="H7726">
            <v>630</v>
          </cell>
        </row>
        <row r="7727">
          <cell r="F7727">
            <v>2235.91</v>
          </cell>
          <cell r="G7727">
            <v>0</v>
          </cell>
          <cell r="H7727">
            <v>630</v>
          </cell>
        </row>
        <row r="7728">
          <cell r="F7728">
            <v>4453.41</v>
          </cell>
          <cell r="G7728">
            <v>0</v>
          </cell>
          <cell r="H7728">
            <v>630</v>
          </cell>
        </row>
        <row r="7729">
          <cell r="F7729">
            <v>304.88</v>
          </cell>
          <cell r="G7729">
            <v>0</v>
          </cell>
          <cell r="H7729">
            <v>630</v>
          </cell>
        </row>
        <row r="7730">
          <cell r="F7730">
            <v>59.32</v>
          </cell>
          <cell r="G7730">
            <v>0</v>
          </cell>
          <cell r="H7730">
            <v>630</v>
          </cell>
        </row>
        <row r="7731">
          <cell r="F7731">
            <v>279.8</v>
          </cell>
          <cell r="G7731">
            <v>0</v>
          </cell>
          <cell r="H7731">
            <v>630</v>
          </cell>
        </row>
        <row r="7732">
          <cell r="F7732">
            <v>40.68</v>
          </cell>
          <cell r="G7732">
            <v>0</v>
          </cell>
          <cell r="H7732">
            <v>630</v>
          </cell>
        </row>
        <row r="7733">
          <cell r="F7733">
            <v>9.36</v>
          </cell>
          <cell r="G7733">
            <v>0</v>
          </cell>
          <cell r="H7733">
            <v>630</v>
          </cell>
        </row>
        <row r="7734">
          <cell r="F7734">
            <v>6202.8</v>
          </cell>
          <cell r="G7734">
            <v>0</v>
          </cell>
          <cell r="H7734">
            <v>630</v>
          </cell>
        </row>
        <row r="7735">
          <cell r="F7735">
            <v>326.44</v>
          </cell>
          <cell r="G7735">
            <v>0</v>
          </cell>
          <cell r="H7735">
            <v>630</v>
          </cell>
        </row>
        <row r="7736">
          <cell r="F7736">
            <v>141.47</v>
          </cell>
          <cell r="G7736">
            <v>0</v>
          </cell>
          <cell r="H7736">
            <v>630</v>
          </cell>
        </row>
        <row r="7737">
          <cell r="F7737">
            <v>594.22</v>
          </cell>
          <cell r="G7737">
            <v>0</v>
          </cell>
          <cell r="H7737">
            <v>630</v>
          </cell>
        </row>
        <row r="7738">
          <cell r="F7738">
            <v>8.08</v>
          </cell>
          <cell r="G7738">
            <v>0</v>
          </cell>
          <cell r="H7738">
            <v>630</v>
          </cell>
        </row>
        <row r="7739">
          <cell r="F7739">
            <v>59.32</v>
          </cell>
          <cell r="G7739">
            <v>0</v>
          </cell>
          <cell r="H7739">
            <v>630</v>
          </cell>
        </row>
        <row r="7740">
          <cell r="F7740">
            <v>237.24</v>
          </cell>
          <cell r="G7740">
            <v>0</v>
          </cell>
          <cell r="H7740">
            <v>630</v>
          </cell>
        </row>
        <row r="7741">
          <cell r="F7741">
            <v>58.94</v>
          </cell>
          <cell r="G7741">
            <v>0</v>
          </cell>
          <cell r="H7741">
            <v>630</v>
          </cell>
        </row>
        <row r="7742">
          <cell r="F7742">
            <v>1482.08</v>
          </cell>
          <cell r="G7742">
            <v>0</v>
          </cell>
          <cell r="H7742">
            <v>630</v>
          </cell>
        </row>
        <row r="7743">
          <cell r="F7743">
            <v>145.69999999999999</v>
          </cell>
          <cell r="G7743">
            <v>0</v>
          </cell>
          <cell r="H7743">
            <v>630</v>
          </cell>
        </row>
        <row r="7744">
          <cell r="F7744">
            <v>72.52</v>
          </cell>
          <cell r="G7744">
            <v>0</v>
          </cell>
          <cell r="H7744">
            <v>630</v>
          </cell>
        </row>
        <row r="7745">
          <cell r="F7745">
            <v>9498.4000000000015</v>
          </cell>
          <cell r="G7745">
            <v>0</v>
          </cell>
          <cell r="H7745">
            <v>630</v>
          </cell>
        </row>
        <row r="7746">
          <cell r="F7746">
            <v>306.95</v>
          </cell>
          <cell r="G7746">
            <v>0</v>
          </cell>
          <cell r="H7746">
            <v>630</v>
          </cell>
        </row>
        <row r="7747">
          <cell r="F7747">
            <v>1085.96</v>
          </cell>
          <cell r="G7747">
            <v>0</v>
          </cell>
          <cell r="H7747">
            <v>630</v>
          </cell>
        </row>
        <row r="7748">
          <cell r="F7748">
            <v>8795.2800000000007</v>
          </cell>
          <cell r="G7748">
            <v>0</v>
          </cell>
          <cell r="H7748">
            <v>630</v>
          </cell>
        </row>
        <row r="7749">
          <cell r="F7749">
            <v>1257.8399999999999</v>
          </cell>
          <cell r="G7749">
            <v>0</v>
          </cell>
          <cell r="H7749">
            <v>630</v>
          </cell>
        </row>
        <row r="7750">
          <cell r="F7750">
            <v>76.239999999999995</v>
          </cell>
          <cell r="G7750">
            <v>0</v>
          </cell>
          <cell r="H7750">
            <v>630</v>
          </cell>
        </row>
        <row r="7751">
          <cell r="F7751">
            <v>1416.07</v>
          </cell>
          <cell r="G7751">
            <v>0</v>
          </cell>
          <cell r="H7751">
            <v>630</v>
          </cell>
        </row>
        <row r="7752">
          <cell r="F7752">
            <v>46.16</v>
          </cell>
          <cell r="G7752">
            <v>0</v>
          </cell>
          <cell r="H7752">
            <v>630</v>
          </cell>
        </row>
        <row r="7753">
          <cell r="F7753">
            <v>190.56</v>
          </cell>
          <cell r="G7753">
            <v>0</v>
          </cell>
          <cell r="H7753">
            <v>630</v>
          </cell>
        </row>
        <row r="7754">
          <cell r="F7754">
            <v>283.02999999999997</v>
          </cell>
          <cell r="G7754">
            <v>0</v>
          </cell>
          <cell r="H7754">
            <v>630</v>
          </cell>
        </row>
        <row r="7755">
          <cell r="F7755">
            <v>584.83000000000004</v>
          </cell>
          <cell r="G7755">
            <v>0</v>
          </cell>
          <cell r="H7755">
            <v>630</v>
          </cell>
        </row>
        <row r="7756">
          <cell r="F7756">
            <v>421.56</v>
          </cell>
          <cell r="G7756">
            <v>0</v>
          </cell>
          <cell r="H7756">
            <v>630</v>
          </cell>
        </row>
        <row r="7757">
          <cell r="F7757">
            <v>76.239999999999995</v>
          </cell>
          <cell r="G7757">
            <v>0</v>
          </cell>
          <cell r="H7757">
            <v>630</v>
          </cell>
        </row>
        <row r="7758">
          <cell r="F7758">
            <v>5107.6400000000003</v>
          </cell>
          <cell r="G7758">
            <v>0</v>
          </cell>
          <cell r="H7758">
            <v>630</v>
          </cell>
        </row>
        <row r="7759">
          <cell r="F7759">
            <v>1905.58</v>
          </cell>
          <cell r="G7759">
            <v>0</v>
          </cell>
          <cell r="H7759">
            <v>630</v>
          </cell>
        </row>
        <row r="7760">
          <cell r="F7760">
            <v>633.72</v>
          </cell>
          <cell r="G7760">
            <v>0</v>
          </cell>
          <cell r="H7760">
            <v>630</v>
          </cell>
        </row>
        <row r="7761">
          <cell r="F7761">
            <v>224.96</v>
          </cell>
          <cell r="G7761">
            <v>0</v>
          </cell>
          <cell r="H7761">
            <v>630</v>
          </cell>
        </row>
        <row r="7762">
          <cell r="F7762">
            <v>449</v>
          </cell>
          <cell r="G7762">
            <v>0</v>
          </cell>
          <cell r="H7762">
            <v>630</v>
          </cell>
        </row>
        <row r="7763">
          <cell r="F7763">
            <v>820.4</v>
          </cell>
          <cell r="G7763">
            <v>0</v>
          </cell>
          <cell r="H7763">
            <v>630</v>
          </cell>
        </row>
        <row r="7764">
          <cell r="F7764">
            <v>78.08</v>
          </cell>
          <cell r="G7764">
            <v>0</v>
          </cell>
          <cell r="H7764">
            <v>630</v>
          </cell>
        </row>
        <row r="7765">
          <cell r="F7765">
            <v>114.6</v>
          </cell>
          <cell r="G7765">
            <v>0</v>
          </cell>
          <cell r="H7765">
            <v>630</v>
          </cell>
        </row>
        <row r="7766">
          <cell r="F7766">
            <v>357.84</v>
          </cell>
          <cell r="G7766">
            <v>0</v>
          </cell>
          <cell r="H7766">
            <v>630</v>
          </cell>
        </row>
        <row r="7767">
          <cell r="F7767">
            <v>3007.43</v>
          </cell>
          <cell r="G7767">
            <v>0</v>
          </cell>
          <cell r="H7767">
            <v>630</v>
          </cell>
        </row>
        <row r="7768">
          <cell r="F7768">
            <v>405.36</v>
          </cell>
          <cell r="G7768">
            <v>0</v>
          </cell>
          <cell r="H7768">
            <v>630</v>
          </cell>
        </row>
        <row r="7769">
          <cell r="F7769">
            <v>2266.7199999999998</v>
          </cell>
          <cell r="G7769">
            <v>0</v>
          </cell>
          <cell r="H7769">
            <v>630</v>
          </cell>
        </row>
        <row r="7770">
          <cell r="F7770">
            <v>76.239999999999995</v>
          </cell>
          <cell r="G7770">
            <v>0</v>
          </cell>
          <cell r="H7770">
            <v>630</v>
          </cell>
        </row>
        <row r="7771">
          <cell r="F7771">
            <v>620.08000000000004</v>
          </cell>
          <cell r="G7771">
            <v>0</v>
          </cell>
          <cell r="H7771">
            <v>630</v>
          </cell>
        </row>
        <row r="7772">
          <cell r="F7772">
            <v>44.44</v>
          </cell>
          <cell r="G7772">
            <v>0</v>
          </cell>
          <cell r="H7772">
            <v>630</v>
          </cell>
        </row>
        <row r="7773">
          <cell r="F7773">
            <v>37.159999999999997</v>
          </cell>
          <cell r="G7773">
            <v>0</v>
          </cell>
          <cell r="H7773">
            <v>630</v>
          </cell>
        </row>
        <row r="7774">
          <cell r="F7774">
            <v>0.06</v>
          </cell>
          <cell r="G7774">
            <v>0</v>
          </cell>
          <cell r="H7774">
            <v>630</v>
          </cell>
        </row>
        <row r="7775">
          <cell r="F7775">
            <v>4194.8</v>
          </cell>
          <cell r="G7775">
            <v>0</v>
          </cell>
          <cell r="H7775">
            <v>630</v>
          </cell>
        </row>
        <row r="7776">
          <cell r="F7776">
            <v>490.96000000000004</v>
          </cell>
          <cell r="G7776">
            <v>0</v>
          </cell>
          <cell r="H7776">
            <v>630</v>
          </cell>
        </row>
        <row r="7777">
          <cell r="F7777">
            <v>904.34999999999991</v>
          </cell>
          <cell r="G7777">
            <v>0</v>
          </cell>
          <cell r="H7777">
            <v>630</v>
          </cell>
        </row>
        <row r="7778">
          <cell r="F7778">
            <v>2585.16</v>
          </cell>
          <cell r="G7778">
            <v>0</v>
          </cell>
          <cell r="H7778">
            <v>630</v>
          </cell>
        </row>
        <row r="7779">
          <cell r="F7779">
            <v>1969.76</v>
          </cell>
          <cell r="G7779">
            <v>0</v>
          </cell>
          <cell r="H7779">
            <v>630</v>
          </cell>
        </row>
        <row r="7780">
          <cell r="F7780">
            <v>4783.74</v>
          </cell>
          <cell r="G7780">
            <v>0</v>
          </cell>
          <cell r="H7780">
            <v>630</v>
          </cell>
        </row>
        <row r="7781">
          <cell r="F7781">
            <v>59.32</v>
          </cell>
          <cell r="G7781">
            <v>0</v>
          </cell>
          <cell r="H7781">
            <v>630</v>
          </cell>
        </row>
        <row r="7782">
          <cell r="F7782">
            <v>413.62</v>
          </cell>
          <cell r="G7782">
            <v>0</v>
          </cell>
          <cell r="H7782">
            <v>630</v>
          </cell>
        </row>
        <row r="7783">
          <cell r="F7783">
            <v>937.52</v>
          </cell>
          <cell r="G7783">
            <v>0</v>
          </cell>
          <cell r="H7783">
            <v>630</v>
          </cell>
        </row>
        <row r="7784">
          <cell r="F7784">
            <v>38.120000000000005</v>
          </cell>
          <cell r="G7784">
            <v>0</v>
          </cell>
          <cell r="H7784">
            <v>630</v>
          </cell>
        </row>
        <row r="7785">
          <cell r="F7785">
            <v>118.6</v>
          </cell>
          <cell r="G7785">
            <v>0</v>
          </cell>
          <cell r="H7785">
            <v>630</v>
          </cell>
        </row>
        <row r="7786">
          <cell r="F7786">
            <v>985.28</v>
          </cell>
          <cell r="G7786">
            <v>0</v>
          </cell>
          <cell r="H7786">
            <v>630</v>
          </cell>
        </row>
        <row r="7787">
          <cell r="F7787">
            <v>78.08</v>
          </cell>
          <cell r="G7787">
            <v>0</v>
          </cell>
          <cell r="H7787">
            <v>630</v>
          </cell>
        </row>
        <row r="7788">
          <cell r="F7788">
            <v>7981.44</v>
          </cell>
          <cell r="G7788">
            <v>0</v>
          </cell>
          <cell r="H7788">
            <v>630</v>
          </cell>
        </row>
        <row r="7789">
          <cell r="F7789">
            <v>592.28</v>
          </cell>
          <cell r="G7789">
            <v>0</v>
          </cell>
          <cell r="H7789">
            <v>630</v>
          </cell>
        </row>
        <row r="7790">
          <cell r="F7790">
            <v>733.16</v>
          </cell>
          <cell r="G7790">
            <v>0</v>
          </cell>
          <cell r="H7790">
            <v>630</v>
          </cell>
        </row>
        <row r="7791">
          <cell r="F7791">
            <v>633.27</v>
          </cell>
          <cell r="G7791">
            <v>0</v>
          </cell>
          <cell r="H7791">
            <v>630</v>
          </cell>
        </row>
        <row r="7792">
          <cell r="F7792">
            <v>78.08</v>
          </cell>
          <cell r="G7792">
            <v>0</v>
          </cell>
          <cell r="H7792">
            <v>630</v>
          </cell>
        </row>
        <row r="7793">
          <cell r="F7793">
            <v>218.20000000000002</v>
          </cell>
          <cell r="G7793">
            <v>0</v>
          </cell>
          <cell r="H7793">
            <v>630</v>
          </cell>
        </row>
        <row r="7794">
          <cell r="F7794">
            <v>138.88</v>
          </cell>
          <cell r="G7794">
            <v>0</v>
          </cell>
          <cell r="H7794">
            <v>630</v>
          </cell>
        </row>
        <row r="7795">
          <cell r="F7795">
            <v>4154</v>
          </cell>
          <cell r="G7795">
            <v>0</v>
          </cell>
          <cell r="H7795">
            <v>630</v>
          </cell>
        </row>
        <row r="7796">
          <cell r="F7796">
            <v>6892.81</v>
          </cell>
          <cell r="G7796">
            <v>0</v>
          </cell>
          <cell r="H7796">
            <v>630</v>
          </cell>
        </row>
        <row r="7797">
          <cell r="F7797">
            <v>2033.09</v>
          </cell>
          <cell r="G7797">
            <v>0</v>
          </cell>
          <cell r="H7797">
            <v>630</v>
          </cell>
        </row>
        <row r="7798">
          <cell r="F7798">
            <v>302.41000000000003</v>
          </cell>
          <cell r="G7798">
            <v>0</v>
          </cell>
          <cell r="H7798">
            <v>630</v>
          </cell>
        </row>
        <row r="7799">
          <cell r="F7799">
            <v>217.52</v>
          </cell>
          <cell r="G7799">
            <v>0</v>
          </cell>
          <cell r="H7799">
            <v>630</v>
          </cell>
        </row>
        <row r="7800">
          <cell r="F7800">
            <v>1575.04</v>
          </cell>
          <cell r="G7800">
            <v>0</v>
          </cell>
          <cell r="H7800">
            <v>630</v>
          </cell>
        </row>
        <row r="7801">
          <cell r="F7801">
            <v>607</v>
          </cell>
          <cell r="G7801">
            <v>0</v>
          </cell>
          <cell r="H7801">
            <v>630</v>
          </cell>
        </row>
        <row r="7802">
          <cell r="F7802">
            <v>283.68</v>
          </cell>
          <cell r="G7802">
            <v>0</v>
          </cell>
          <cell r="H7802">
            <v>630</v>
          </cell>
        </row>
        <row r="7803">
          <cell r="F7803">
            <v>213.68</v>
          </cell>
          <cell r="G7803">
            <v>0</v>
          </cell>
          <cell r="H7803">
            <v>630</v>
          </cell>
        </row>
        <row r="7804">
          <cell r="F7804">
            <v>1049.68</v>
          </cell>
          <cell r="G7804">
            <v>0</v>
          </cell>
          <cell r="H7804">
            <v>630</v>
          </cell>
        </row>
        <row r="7805">
          <cell r="F7805">
            <v>0</v>
          </cell>
          <cell r="G7805">
            <v>0</v>
          </cell>
          <cell r="H7805">
            <v>630</v>
          </cell>
        </row>
        <row r="7806">
          <cell r="F7806">
            <v>3861.8</v>
          </cell>
          <cell r="G7806">
            <v>0</v>
          </cell>
          <cell r="H7806">
            <v>630</v>
          </cell>
        </row>
        <row r="7807">
          <cell r="F7807">
            <v>7851.54</v>
          </cell>
          <cell r="G7807">
            <v>0</v>
          </cell>
          <cell r="H7807">
            <v>630</v>
          </cell>
        </row>
        <row r="7808">
          <cell r="F7808">
            <v>6181.34</v>
          </cell>
          <cell r="G7808">
            <v>0</v>
          </cell>
          <cell r="H7808">
            <v>630</v>
          </cell>
        </row>
        <row r="7809">
          <cell r="F7809">
            <v>1418.43</v>
          </cell>
          <cell r="G7809">
            <v>0</v>
          </cell>
          <cell r="H7809">
            <v>630</v>
          </cell>
        </row>
        <row r="7810">
          <cell r="F7810">
            <v>2012.04</v>
          </cell>
          <cell r="G7810">
            <v>0</v>
          </cell>
          <cell r="H7810">
            <v>630</v>
          </cell>
        </row>
        <row r="7811">
          <cell r="F7811">
            <v>6142</v>
          </cell>
          <cell r="G7811">
            <v>0</v>
          </cell>
          <cell r="H7811">
            <v>630</v>
          </cell>
        </row>
        <row r="7812">
          <cell r="F7812">
            <v>-10.079999999999984</v>
          </cell>
          <cell r="G7812">
            <v>0</v>
          </cell>
          <cell r="H7812">
            <v>630</v>
          </cell>
        </row>
        <row r="7813">
          <cell r="F7813">
            <v>2027.92</v>
          </cell>
          <cell r="G7813">
            <v>0</v>
          </cell>
          <cell r="H7813">
            <v>630</v>
          </cell>
        </row>
        <row r="7814">
          <cell r="F7814">
            <v>98.44</v>
          </cell>
          <cell r="G7814">
            <v>0</v>
          </cell>
          <cell r="H7814">
            <v>630</v>
          </cell>
        </row>
        <row r="7815">
          <cell r="F7815">
            <v>357.64</v>
          </cell>
          <cell r="G7815">
            <v>0</v>
          </cell>
          <cell r="H7815">
            <v>630</v>
          </cell>
        </row>
        <row r="7816">
          <cell r="F7816">
            <v>429.16</v>
          </cell>
          <cell r="G7816">
            <v>0</v>
          </cell>
          <cell r="H7816">
            <v>630</v>
          </cell>
        </row>
        <row r="7817">
          <cell r="F7817">
            <v>125.56</v>
          </cell>
          <cell r="G7817">
            <v>0</v>
          </cell>
          <cell r="H7817">
            <v>630</v>
          </cell>
        </row>
        <row r="7818">
          <cell r="F7818">
            <v>43.76</v>
          </cell>
          <cell r="G7818">
            <v>0</v>
          </cell>
          <cell r="H7818">
            <v>630</v>
          </cell>
        </row>
        <row r="7819">
          <cell r="F7819">
            <v>59.41</v>
          </cell>
          <cell r="G7819">
            <v>0</v>
          </cell>
          <cell r="H7819">
            <v>630</v>
          </cell>
        </row>
        <row r="7820">
          <cell r="F7820">
            <v>312.83999999999997</v>
          </cell>
          <cell r="G7820">
            <v>0</v>
          </cell>
          <cell r="H7820">
            <v>630</v>
          </cell>
        </row>
        <row r="7821">
          <cell r="F7821">
            <v>319.36</v>
          </cell>
          <cell r="G7821">
            <v>0</v>
          </cell>
          <cell r="H7821">
            <v>630</v>
          </cell>
        </row>
        <row r="7822">
          <cell r="F7822">
            <v>420.56</v>
          </cell>
          <cell r="G7822">
            <v>0</v>
          </cell>
          <cell r="H7822">
            <v>630</v>
          </cell>
        </row>
        <row r="7823">
          <cell r="F7823">
            <v>16010.64</v>
          </cell>
          <cell r="G7823">
            <v>0</v>
          </cell>
          <cell r="H7823">
            <v>630</v>
          </cell>
        </row>
        <row r="7824">
          <cell r="F7824">
            <v>42.08</v>
          </cell>
          <cell r="G7824">
            <v>0</v>
          </cell>
          <cell r="H7824">
            <v>630</v>
          </cell>
        </row>
        <row r="7825">
          <cell r="F7825">
            <v>9505.06</v>
          </cell>
          <cell r="G7825">
            <v>0</v>
          </cell>
          <cell r="H7825">
            <v>630</v>
          </cell>
        </row>
        <row r="7826">
          <cell r="F7826">
            <v>896.56</v>
          </cell>
          <cell r="G7826">
            <v>0</v>
          </cell>
          <cell r="H7826">
            <v>630</v>
          </cell>
        </row>
        <row r="7827">
          <cell r="F7827">
            <v>680.68</v>
          </cell>
          <cell r="G7827">
            <v>0</v>
          </cell>
          <cell r="H7827">
            <v>630</v>
          </cell>
        </row>
        <row r="7828">
          <cell r="F7828">
            <v>1110.8399999999999</v>
          </cell>
          <cell r="G7828">
            <v>0</v>
          </cell>
          <cell r="H7828">
            <v>630</v>
          </cell>
        </row>
        <row r="7829">
          <cell r="F7829">
            <v>423.08</v>
          </cell>
          <cell r="G7829">
            <v>0</v>
          </cell>
          <cell r="H7829">
            <v>630</v>
          </cell>
        </row>
        <row r="7830">
          <cell r="F7830">
            <v>922.92000000000007</v>
          </cell>
          <cell r="G7830">
            <v>0</v>
          </cell>
          <cell r="H7830">
            <v>630</v>
          </cell>
        </row>
        <row r="7831">
          <cell r="F7831">
            <v>766</v>
          </cell>
          <cell r="G7831">
            <v>0</v>
          </cell>
          <cell r="H7831">
            <v>630</v>
          </cell>
        </row>
        <row r="7832">
          <cell r="F7832">
            <v>182</v>
          </cell>
          <cell r="G7832">
            <v>0</v>
          </cell>
          <cell r="H7832">
            <v>630</v>
          </cell>
        </row>
        <row r="7833">
          <cell r="F7833">
            <v>1072.97</v>
          </cell>
          <cell r="G7833">
            <v>0</v>
          </cell>
          <cell r="H7833">
            <v>630</v>
          </cell>
        </row>
        <row r="7834">
          <cell r="F7834">
            <v>50.52</v>
          </cell>
          <cell r="G7834">
            <v>0</v>
          </cell>
          <cell r="H7834">
            <v>630</v>
          </cell>
        </row>
        <row r="7835">
          <cell r="F7835">
            <v>234.29</v>
          </cell>
          <cell r="G7835">
            <v>0</v>
          </cell>
          <cell r="H7835">
            <v>630</v>
          </cell>
        </row>
        <row r="7836">
          <cell r="F7836">
            <v>2201.33</v>
          </cell>
          <cell r="G7836">
            <v>0</v>
          </cell>
          <cell r="H7836">
            <v>630</v>
          </cell>
        </row>
        <row r="7837">
          <cell r="F7837">
            <v>1463.88</v>
          </cell>
          <cell r="G7837">
            <v>0</v>
          </cell>
          <cell r="H7837">
            <v>630</v>
          </cell>
        </row>
        <row r="7838">
          <cell r="F7838">
            <v>90.68</v>
          </cell>
          <cell r="G7838">
            <v>0</v>
          </cell>
          <cell r="H7838">
            <v>630</v>
          </cell>
        </row>
        <row r="7839">
          <cell r="F7839">
            <v>648.67999999999995</v>
          </cell>
          <cell r="G7839">
            <v>0</v>
          </cell>
          <cell r="H7839">
            <v>630</v>
          </cell>
        </row>
        <row r="7840">
          <cell r="F7840">
            <v>217.37</v>
          </cell>
          <cell r="G7840">
            <v>0</v>
          </cell>
          <cell r="H7840">
            <v>630</v>
          </cell>
        </row>
        <row r="7841">
          <cell r="F7841">
            <v>433.92</v>
          </cell>
          <cell r="G7841">
            <v>0</v>
          </cell>
          <cell r="H7841">
            <v>630</v>
          </cell>
        </row>
        <row r="7842">
          <cell r="F7842">
            <v>1701.52</v>
          </cell>
          <cell r="G7842">
            <v>0</v>
          </cell>
          <cell r="H7842">
            <v>630</v>
          </cell>
        </row>
        <row r="7843">
          <cell r="F7843">
            <v>1471.88</v>
          </cell>
          <cell r="G7843">
            <v>0</v>
          </cell>
          <cell r="H7843">
            <v>630</v>
          </cell>
        </row>
        <row r="7844">
          <cell r="F7844">
            <v>749.84</v>
          </cell>
          <cell r="G7844">
            <v>0</v>
          </cell>
          <cell r="H7844">
            <v>630</v>
          </cell>
        </row>
        <row r="7845">
          <cell r="F7845">
            <v>384.99</v>
          </cell>
          <cell r="G7845">
            <v>0</v>
          </cell>
          <cell r="H7845">
            <v>630</v>
          </cell>
        </row>
        <row r="7846">
          <cell r="F7846">
            <v>231.24</v>
          </cell>
          <cell r="G7846">
            <v>0</v>
          </cell>
          <cell r="H7846">
            <v>630</v>
          </cell>
        </row>
        <row r="7847">
          <cell r="F7847">
            <v>1665.19</v>
          </cell>
          <cell r="G7847">
            <v>0</v>
          </cell>
          <cell r="H7847">
            <v>630</v>
          </cell>
        </row>
        <row r="7848">
          <cell r="F7848">
            <v>1707.83</v>
          </cell>
          <cell r="G7848">
            <v>0</v>
          </cell>
          <cell r="H7848">
            <v>630</v>
          </cell>
        </row>
        <row r="7849">
          <cell r="F7849">
            <v>484.16</v>
          </cell>
          <cell r="G7849">
            <v>0</v>
          </cell>
          <cell r="H7849">
            <v>630</v>
          </cell>
        </row>
        <row r="7850">
          <cell r="F7850">
            <v>4.92</v>
          </cell>
          <cell r="G7850">
            <v>0</v>
          </cell>
          <cell r="H7850">
            <v>630</v>
          </cell>
        </row>
        <row r="7851">
          <cell r="F7851">
            <v>8.6</v>
          </cell>
          <cell r="G7851">
            <v>0</v>
          </cell>
          <cell r="H7851">
            <v>630</v>
          </cell>
        </row>
        <row r="7852">
          <cell r="F7852">
            <v>348.64</v>
          </cell>
          <cell r="G7852">
            <v>0</v>
          </cell>
          <cell r="H7852">
            <v>630</v>
          </cell>
        </row>
        <row r="7853">
          <cell r="F7853">
            <v>39.99</v>
          </cell>
          <cell r="G7853">
            <v>0</v>
          </cell>
          <cell r="H7853">
            <v>630</v>
          </cell>
        </row>
        <row r="7854">
          <cell r="F7854">
            <v>0</v>
          </cell>
          <cell r="G7854">
            <v>0</v>
          </cell>
          <cell r="H7854">
            <v>630</v>
          </cell>
        </row>
        <row r="7855">
          <cell r="F7855">
            <v>265.81</v>
          </cell>
          <cell r="G7855">
            <v>0</v>
          </cell>
          <cell r="H7855">
            <v>630</v>
          </cell>
        </row>
        <row r="7856">
          <cell r="F7856">
            <v>2990.16</v>
          </cell>
          <cell r="G7856">
            <v>0</v>
          </cell>
          <cell r="H7856">
            <v>630</v>
          </cell>
        </row>
        <row r="7857">
          <cell r="F7857">
            <v>711.15</v>
          </cell>
          <cell r="G7857">
            <v>0</v>
          </cell>
          <cell r="H7857">
            <v>630</v>
          </cell>
        </row>
        <row r="7858">
          <cell r="F7858">
            <v>9.9999999999980105E-3</v>
          </cell>
          <cell r="G7858">
            <v>0</v>
          </cell>
          <cell r="H7858">
            <v>630</v>
          </cell>
        </row>
        <row r="7859">
          <cell r="F7859">
            <v>684.36</v>
          </cell>
          <cell r="G7859">
            <v>0</v>
          </cell>
          <cell r="H7859">
            <v>630</v>
          </cell>
        </row>
        <row r="7860">
          <cell r="F7860">
            <v>183.28</v>
          </cell>
          <cell r="G7860">
            <v>0</v>
          </cell>
          <cell r="H7860">
            <v>630</v>
          </cell>
        </row>
        <row r="7861">
          <cell r="F7861">
            <v>535.20000000000005</v>
          </cell>
          <cell r="G7861">
            <v>0</v>
          </cell>
          <cell r="H7861">
            <v>630</v>
          </cell>
        </row>
        <row r="7862">
          <cell r="F7862">
            <v>6587.13</v>
          </cell>
          <cell r="G7862">
            <v>0</v>
          </cell>
          <cell r="H7862">
            <v>630</v>
          </cell>
        </row>
        <row r="7863">
          <cell r="F7863">
            <v>3652.1600000000003</v>
          </cell>
          <cell r="G7863">
            <v>0</v>
          </cell>
          <cell r="H7863">
            <v>630</v>
          </cell>
        </row>
        <row r="7864">
          <cell r="F7864">
            <v>9905.4699999999993</v>
          </cell>
          <cell r="G7864">
            <v>0</v>
          </cell>
          <cell r="H7864">
            <v>630</v>
          </cell>
        </row>
        <row r="7865">
          <cell r="F7865">
            <v>16.36</v>
          </cell>
          <cell r="G7865">
            <v>0</v>
          </cell>
          <cell r="H7865">
            <v>630</v>
          </cell>
        </row>
        <row r="7866">
          <cell r="F7866">
            <v>171.96</v>
          </cell>
          <cell r="G7866">
            <v>0</v>
          </cell>
          <cell r="H7866">
            <v>630</v>
          </cell>
        </row>
        <row r="7867">
          <cell r="F7867">
            <v>582.55999999999995</v>
          </cell>
          <cell r="G7867">
            <v>0</v>
          </cell>
          <cell r="H7867">
            <v>630</v>
          </cell>
        </row>
        <row r="7868">
          <cell r="F7868">
            <v>564.67999999999995</v>
          </cell>
          <cell r="G7868">
            <v>0</v>
          </cell>
          <cell r="H7868">
            <v>630</v>
          </cell>
        </row>
        <row r="7869">
          <cell r="F7869">
            <v>735.80000000000007</v>
          </cell>
          <cell r="G7869">
            <v>0</v>
          </cell>
          <cell r="H7869">
            <v>630</v>
          </cell>
        </row>
        <row r="7870">
          <cell r="F7870">
            <v>10662.52</v>
          </cell>
          <cell r="G7870">
            <v>0</v>
          </cell>
          <cell r="H7870">
            <v>630</v>
          </cell>
        </row>
        <row r="7871">
          <cell r="F7871">
            <v>75.489999999999995</v>
          </cell>
          <cell r="G7871">
            <v>0</v>
          </cell>
          <cell r="H7871">
            <v>630</v>
          </cell>
        </row>
        <row r="7872">
          <cell r="F7872">
            <v>53.41</v>
          </cell>
          <cell r="G7872">
            <v>0</v>
          </cell>
          <cell r="H7872">
            <v>630</v>
          </cell>
        </row>
        <row r="7873">
          <cell r="F7873">
            <v>16.84</v>
          </cell>
          <cell r="G7873">
            <v>0</v>
          </cell>
          <cell r="H7873">
            <v>630</v>
          </cell>
        </row>
        <row r="7874">
          <cell r="F7874">
            <v>12.48</v>
          </cell>
          <cell r="G7874">
            <v>0</v>
          </cell>
          <cell r="H7874">
            <v>630</v>
          </cell>
        </row>
        <row r="7875">
          <cell r="F7875">
            <v>25.45</v>
          </cell>
          <cell r="G7875">
            <v>0</v>
          </cell>
          <cell r="H7875">
            <v>630</v>
          </cell>
        </row>
        <row r="7876">
          <cell r="F7876">
            <v>1047.26</v>
          </cell>
          <cell r="G7876">
            <v>0</v>
          </cell>
          <cell r="H7876">
            <v>630</v>
          </cell>
        </row>
        <row r="7877">
          <cell r="F7877">
            <v>69.16</v>
          </cell>
          <cell r="G7877">
            <v>0</v>
          </cell>
          <cell r="H7877">
            <v>630</v>
          </cell>
        </row>
        <row r="7878">
          <cell r="F7878">
            <v>117.06</v>
          </cell>
          <cell r="G7878">
            <v>0</v>
          </cell>
          <cell r="H7878">
            <v>630</v>
          </cell>
        </row>
        <row r="7879">
          <cell r="F7879">
            <v>3010.69</v>
          </cell>
          <cell r="G7879">
            <v>0</v>
          </cell>
          <cell r="H7879">
            <v>630</v>
          </cell>
        </row>
        <row r="7880">
          <cell r="F7880">
            <v>5030.04</v>
          </cell>
          <cell r="G7880">
            <v>0</v>
          </cell>
          <cell r="H7880">
            <v>630</v>
          </cell>
        </row>
        <row r="7881">
          <cell r="F7881">
            <v>1187.05</v>
          </cell>
          <cell r="G7881">
            <v>0</v>
          </cell>
          <cell r="H7881">
            <v>630</v>
          </cell>
        </row>
        <row r="7882">
          <cell r="F7882">
            <v>4.5199999999999996</v>
          </cell>
          <cell r="G7882">
            <v>0</v>
          </cell>
          <cell r="H7882">
            <v>630</v>
          </cell>
        </row>
        <row r="7883">
          <cell r="F7883">
            <v>74.88</v>
          </cell>
          <cell r="G7883">
            <v>0</v>
          </cell>
          <cell r="H7883">
            <v>630</v>
          </cell>
        </row>
        <row r="7884">
          <cell r="F7884">
            <v>254.19</v>
          </cell>
          <cell r="G7884">
            <v>0</v>
          </cell>
          <cell r="H7884">
            <v>630</v>
          </cell>
        </row>
        <row r="7885">
          <cell r="F7885">
            <v>-9.9999999999909051E-3</v>
          </cell>
          <cell r="G7885">
            <v>0</v>
          </cell>
          <cell r="H7885">
            <v>630</v>
          </cell>
        </row>
        <row r="7886">
          <cell r="F7886">
            <v>3700.92</v>
          </cell>
          <cell r="G7886">
            <v>0</v>
          </cell>
          <cell r="H7886">
            <v>630</v>
          </cell>
        </row>
        <row r="7887">
          <cell r="F7887">
            <v>-3459.33</v>
          </cell>
          <cell r="G7887">
            <v>0</v>
          </cell>
          <cell r="H7887" t="str">
            <v>635/8</v>
          </cell>
        </row>
        <row r="7888">
          <cell r="F7888">
            <v>-6735.66</v>
          </cell>
          <cell r="G7888">
            <v>0</v>
          </cell>
          <cell r="H7888" t="str">
            <v>635/8</v>
          </cell>
        </row>
        <row r="7889">
          <cell r="F7889">
            <v>5839.72</v>
          </cell>
          <cell r="G7889">
            <v>0</v>
          </cell>
          <cell r="H7889" t="str">
            <v>635/8</v>
          </cell>
        </row>
        <row r="7890">
          <cell r="F7890">
            <v>4656.2</v>
          </cell>
          <cell r="G7890">
            <v>0</v>
          </cell>
          <cell r="H7890" t="str">
            <v>635/8</v>
          </cell>
        </row>
        <row r="7891">
          <cell r="F7891">
            <v>205.29</v>
          </cell>
          <cell r="G7891">
            <v>0</v>
          </cell>
          <cell r="H7891" t="str">
            <v>635/8</v>
          </cell>
        </row>
        <row r="7892">
          <cell r="F7892">
            <v>4757.3100000000004</v>
          </cell>
          <cell r="G7892">
            <v>0</v>
          </cell>
          <cell r="H7892" t="str">
            <v>635/8</v>
          </cell>
        </row>
        <row r="7893">
          <cell r="F7893">
            <v>6887.0199999999995</v>
          </cell>
          <cell r="G7893">
            <v>0</v>
          </cell>
          <cell r="H7893" t="str">
            <v>635/8</v>
          </cell>
        </row>
        <row r="7894">
          <cell r="F7894">
            <v>8310.76</v>
          </cell>
          <cell r="G7894">
            <v>0</v>
          </cell>
          <cell r="H7894" t="str">
            <v>635/8</v>
          </cell>
        </row>
        <row r="7895">
          <cell r="F7895">
            <v>122.64</v>
          </cell>
          <cell r="G7895">
            <v>0</v>
          </cell>
          <cell r="H7895" t="str">
            <v>635/8</v>
          </cell>
        </row>
        <row r="7896">
          <cell r="F7896">
            <v>566.15</v>
          </cell>
          <cell r="G7896">
            <v>0</v>
          </cell>
          <cell r="H7896" t="str">
            <v>635/8</v>
          </cell>
        </row>
        <row r="7897">
          <cell r="F7897">
            <v>1760.03</v>
          </cell>
          <cell r="G7897">
            <v>0</v>
          </cell>
          <cell r="H7897" t="str">
            <v>635/8</v>
          </cell>
        </row>
        <row r="7898">
          <cell r="F7898">
            <v>2062.4299999999998</v>
          </cell>
          <cell r="G7898">
            <v>0</v>
          </cell>
          <cell r="H7898" t="str">
            <v>635/8</v>
          </cell>
        </row>
        <row r="7899">
          <cell r="F7899">
            <v>7384.32</v>
          </cell>
          <cell r="G7899">
            <v>0</v>
          </cell>
          <cell r="H7899" t="str">
            <v>635/8</v>
          </cell>
        </row>
        <row r="7900">
          <cell r="F7900">
            <v>1377.84</v>
          </cell>
          <cell r="G7900">
            <v>0</v>
          </cell>
          <cell r="H7900" t="str">
            <v>635/8</v>
          </cell>
        </row>
        <row r="7901">
          <cell r="F7901">
            <v>182.13</v>
          </cell>
          <cell r="G7901">
            <v>0</v>
          </cell>
          <cell r="H7901" t="str">
            <v>635/8</v>
          </cell>
        </row>
        <row r="7902">
          <cell r="F7902">
            <v>1062.48</v>
          </cell>
          <cell r="G7902">
            <v>0</v>
          </cell>
          <cell r="H7902" t="str">
            <v>635/8</v>
          </cell>
        </row>
        <row r="7903">
          <cell r="F7903">
            <v>15000</v>
          </cell>
          <cell r="G7903">
            <v>0</v>
          </cell>
          <cell r="H7903" t="str">
            <v>635/8</v>
          </cell>
        </row>
        <row r="7904">
          <cell r="F7904">
            <v>885.76</v>
          </cell>
          <cell r="G7904">
            <v>0</v>
          </cell>
          <cell r="H7904" t="str">
            <v>635/8</v>
          </cell>
        </row>
        <row r="7905">
          <cell r="F7905">
            <v>1194.45</v>
          </cell>
          <cell r="G7905">
            <v>0</v>
          </cell>
          <cell r="H7905" t="str">
            <v>635/8</v>
          </cell>
        </row>
        <row r="7906">
          <cell r="F7906">
            <v>2641.33</v>
          </cell>
          <cell r="G7906">
            <v>0</v>
          </cell>
          <cell r="H7906" t="str">
            <v>635/8</v>
          </cell>
        </row>
        <row r="7907">
          <cell r="F7907">
            <v>517.03</v>
          </cell>
          <cell r="G7907">
            <v>0</v>
          </cell>
          <cell r="H7907" t="str">
            <v>635/8</v>
          </cell>
        </row>
        <row r="7908">
          <cell r="F7908">
            <v>18860.599999999999</v>
          </cell>
          <cell r="G7908">
            <v>0</v>
          </cell>
          <cell r="H7908" t="str">
            <v>635/8</v>
          </cell>
        </row>
        <row r="7909">
          <cell r="F7909">
            <v>14.88</v>
          </cell>
          <cell r="G7909">
            <v>0</v>
          </cell>
          <cell r="H7909" t="str">
            <v>635/8</v>
          </cell>
        </row>
        <row r="7910">
          <cell r="F7910">
            <v>18188.129999999997</v>
          </cell>
          <cell r="G7910">
            <v>0</v>
          </cell>
          <cell r="H7910" t="str">
            <v>635/8</v>
          </cell>
        </row>
        <row r="7911">
          <cell r="F7911">
            <v>9727.48</v>
          </cell>
          <cell r="G7911">
            <v>0</v>
          </cell>
          <cell r="H7911" t="str">
            <v>635/8</v>
          </cell>
        </row>
        <row r="7912">
          <cell r="F7912">
            <v>4252.13</v>
          </cell>
          <cell r="G7912">
            <v>0</v>
          </cell>
          <cell r="H7912" t="str">
            <v>635/8</v>
          </cell>
        </row>
        <row r="7913">
          <cell r="F7913">
            <v>2144.6799999999998</v>
          </cell>
          <cell r="G7913">
            <v>0</v>
          </cell>
          <cell r="H7913" t="str">
            <v>635/8</v>
          </cell>
        </row>
        <row r="7914">
          <cell r="F7914">
            <v>2144.6799999999998</v>
          </cell>
          <cell r="G7914">
            <v>0</v>
          </cell>
          <cell r="H7914" t="str">
            <v>635/8</v>
          </cell>
        </row>
        <row r="7915">
          <cell r="F7915">
            <v>2880.63</v>
          </cell>
          <cell r="G7915">
            <v>0</v>
          </cell>
          <cell r="H7915" t="str">
            <v>635/8</v>
          </cell>
        </row>
        <row r="7916">
          <cell r="F7916">
            <v>-2537.25</v>
          </cell>
          <cell r="G7916">
            <v>0</v>
          </cell>
          <cell r="H7916" t="str">
            <v>635/8</v>
          </cell>
        </row>
        <row r="7917">
          <cell r="F7917">
            <v>-576.79999999999995</v>
          </cell>
          <cell r="G7917">
            <v>0</v>
          </cell>
          <cell r="H7917" t="str">
            <v>635/8</v>
          </cell>
        </row>
        <row r="7918">
          <cell r="F7918">
            <v>-1454.54</v>
          </cell>
          <cell r="G7918">
            <v>0</v>
          </cell>
          <cell r="H7918" t="str">
            <v>635/8</v>
          </cell>
        </row>
        <row r="7919">
          <cell r="F7919">
            <v>-1564.53</v>
          </cell>
          <cell r="G7919">
            <v>0</v>
          </cell>
          <cell r="H7919" t="str">
            <v>635/8</v>
          </cell>
        </row>
        <row r="7920">
          <cell r="F7920">
            <v>-476.49</v>
          </cell>
          <cell r="G7920">
            <v>0</v>
          </cell>
          <cell r="H7920" t="str">
            <v>635/8</v>
          </cell>
        </row>
        <row r="7921">
          <cell r="F7921">
            <v>-1279.01</v>
          </cell>
          <cell r="G7921">
            <v>0</v>
          </cell>
          <cell r="H7921" t="str">
            <v>635/8</v>
          </cell>
        </row>
        <row r="7922">
          <cell r="F7922">
            <v>-19.32</v>
          </cell>
          <cell r="G7922">
            <v>0</v>
          </cell>
          <cell r="H7922" t="str">
            <v>635/8</v>
          </cell>
        </row>
        <row r="7923">
          <cell r="F7923">
            <v>-311.64999999999998</v>
          </cell>
          <cell r="G7923">
            <v>0</v>
          </cell>
          <cell r="H7923" t="str">
            <v>635/8</v>
          </cell>
        </row>
        <row r="7924">
          <cell r="F7924">
            <v>-443.1</v>
          </cell>
          <cell r="G7924">
            <v>0</v>
          </cell>
          <cell r="H7924" t="str">
            <v>635/8</v>
          </cell>
        </row>
        <row r="7925">
          <cell r="F7925">
            <v>108557.23</v>
          </cell>
          <cell r="G7925">
            <v>0</v>
          </cell>
          <cell r="H7925" t="str">
            <v>635/8</v>
          </cell>
        </row>
        <row r="7926">
          <cell r="F7926">
            <v>22008.78</v>
          </cell>
          <cell r="G7926">
            <v>0</v>
          </cell>
          <cell r="H7926" t="str">
            <v>640/8</v>
          </cell>
        </row>
        <row r="7927">
          <cell r="F7927">
            <v>24.58</v>
          </cell>
          <cell r="G7927">
            <v>0</v>
          </cell>
          <cell r="H7927" t="str">
            <v>640/8</v>
          </cell>
        </row>
        <row r="7928">
          <cell r="F7928">
            <v>382.03999999999996</v>
          </cell>
          <cell r="G7928">
            <v>0</v>
          </cell>
          <cell r="H7928" t="str">
            <v>640/8</v>
          </cell>
        </row>
        <row r="7929">
          <cell r="F7929">
            <v>7.99</v>
          </cell>
          <cell r="G7929">
            <v>0</v>
          </cell>
          <cell r="H7929" t="str">
            <v>640/8</v>
          </cell>
        </row>
        <row r="7930">
          <cell r="F7930">
            <v>351.04</v>
          </cell>
          <cell r="G7930">
            <v>0</v>
          </cell>
          <cell r="H7930" t="str">
            <v>640/8</v>
          </cell>
        </row>
        <row r="7931">
          <cell r="F7931">
            <v>12.01</v>
          </cell>
          <cell r="G7931">
            <v>0</v>
          </cell>
          <cell r="H7931" t="str">
            <v>640/8</v>
          </cell>
        </row>
        <row r="7932">
          <cell r="F7932">
            <v>70</v>
          </cell>
          <cell r="G7932">
            <v>0</v>
          </cell>
          <cell r="H7932" t="str">
            <v>640/8</v>
          </cell>
        </row>
        <row r="7933">
          <cell r="F7933">
            <v>1615.59</v>
          </cell>
          <cell r="G7933">
            <v>0</v>
          </cell>
          <cell r="H7933" t="str">
            <v>640/8</v>
          </cell>
        </row>
        <row r="7934">
          <cell r="F7934">
            <v>10</v>
          </cell>
          <cell r="G7934">
            <v>0</v>
          </cell>
          <cell r="H7934" t="str">
            <v>640/8</v>
          </cell>
        </row>
        <row r="7935">
          <cell r="F7935">
            <v>4.87</v>
          </cell>
          <cell r="G7935">
            <v>0</v>
          </cell>
          <cell r="H7935" t="str">
            <v>640/8</v>
          </cell>
        </row>
        <row r="7936">
          <cell r="F7936">
            <v>10</v>
          </cell>
          <cell r="G7936">
            <v>0</v>
          </cell>
          <cell r="H7936" t="str">
            <v>640/8</v>
          </cell>
        </row>
        <row r="7937">
          <cell r="F7937">
            <v>165.75</v>
          </cell>
          <cell r="G7937">
            <v>0</v>
          </cell>
          <cell r="H7937" t="str">
            <v>640/8</v>
          </cell>
        </row>
        <row r="7938">
          <cell r="F7938">
            <v>70</v>
          </cell>
          <cell r="G7938">
            <v>0</v>
          </cell>
          <cell r="H7938" t="str">
            <v>640/8</v>
          </cell>
        </row>
        <row r="7939">
          <cell r="F7939">
            <v>5</v>
          </cell>
          <cell r="G7939">
            <v>0</v>
          </cell>
          <cell r="H7939" t="str">
            <v>640/8</v>
          </cell>
        </row>
        <row r="7940">
          <cell r="F7940">
            <v>3.27</v>
          </cell>
          <cell r="G7940">
            <v>0</v>
          </cell>
          <cell r="H7940" t="str">
            <v>640/8</v>
          </cell>
        </row>
        <row r="7941">
          <cell r="F7941">
            <v>115.56</v>
          </cell>
          <cell r="G7941">
            <v>0</v>
          </cell>
          <cell r="H7941" t="str">
            <v>640/8</v>
          </cell>
        </row>
        <row r="7942">
          <cell r="F7942">
            <v>20</v>
          </cell>
          <cell r="G7942">
            <v>0</v>
          </cell>
          <cell r="H7942" t="str">
            <v>640/8</v>
          </cell>
        </row>
        <row r="7943">
          <cell r="F7943">
            <v>0.93</v>
          </cell>
          <cell r="G7943">
            <v>0</v>
          </cell>
          <cell r="H7943" t="str">
            <v>640/8</v>
          </cell>
        </row>
        <row r="7944">
          <cell r="F7944">
            <v>0.28999999999999998</v>
          </cell>
          <cell r="G7944">
            <v>0</v>
          </cell>
          <cell r="H7944" t="str">
            <v>640/8</v>
          </cell>
        </row>
        <row r="7945">
          <cell r="F7945">
            <v>148.83000000000001</v>
          </cell>
          <cell r="G7945">
            <v>0</v>
          </cell>
          <cell r="H7945" t="str">
            <v>640/8</v>
          </cell>
        </row>
        <row r="7946">
          <cell r="F7946">
            <v>11.46</v>
          </cell>
          <cell r="G7946">
            <v>0</v>
          </cell>
          <cell r="H7946" t="str">
            <v>640/8</v>
          </cell>
        </row>
        <row r="7947">
          <cell r="F7947">
            <v>10</v>
          </cell>
          <cell r="G7947">
            <v>0</v>
          </cell>
          <cell r="H7947" t="str">
            <v>640/8</v>
          </cell>
        </row>
        <row r="7948">
          <cell r="F7948">
            <v>20</v>
          </cell>
          <cell r="G7948">
            <v>0</v>
          </cell>
          <cell r="H7948" t="str">
            <v>640/8</v>
          </cell>
        </row>
        <row r="7949">
          <cell r="F7949">
            <v>72.180000000000007</v>
          </cell>
          <cell r="G7949">
            <v>0</v>
          </cell>
          <cell r="H7949" t="str">
            <v>640/8</v>
          </cell>
        </row>
        <row r="7950">
          <cell r="F7950">
            <v>440.46</v>
          </cell>
          <cell r="G7950">
            <v>0</v>
          </cell>
          <cell r="H7950" t="str">
            <v>640/8</v>
          </cell>
        </row>
        <row r="7951">
          <cell r="F7951">
            <v>24.41</v>
          </cell>
          <cell r="G7951">
            <v>0</v>
          </cell>
          <cell r="H7951" t="str">
            <v>640/8</v>
          </cell>
        </row>
        <row r="7952">
          <cell r="F7952">
            <v>64.260000000000005</v>
          </cell>
          <cell r="G7952">
            <v>0</v>
          </cell>
          <cell r="H7952" t="str">
            <v>640/8</v>
          </cell>
        </row>
        <row r="7953">
          <cell r="F7953">
            <v>8.6</v>
          </cell>
          <cell r="G7953">
            <v>0</v>
          </cell>
          <cell r="H7953" t="str">
            <v>640/8</v>
          </cell>
        </row>
        <row r="7954">
          <cell r="F7954">
            <v>132.91999999999999</v>
          </cell>
          <cell r="G7954">
            <v>0</v>
          </cell>
          <cell r="H7954" t="str">
            <v>640/8</v>
          </cell>
        </row>
        <row r="7955">
          <cell r="F7955">
            <v>4.87</v>
          </cell>
          <cell r="G7955">
            <v>0</v>
          </cell>
          <cell r="H7955" t="str">
            <v>640/8</v>
          </cell>
        </row>
        <row r="7956">
          <cell r="F7956">
            <v>5</v>
          </cell>
          <cell r="G7956">
            <v>0</v>
          </cell>
          <cell r="H7956" t="str">
            <v>640/8</v>
          </cell>
        </row>
        <row r="7957">
          <cell r="F7957">
            <v>816.44</v>
          </cell>
          <cell r="G7957">
            <v>0</v>
          </cell>
          <cell r="H7957" t="str">
            <v>640/8</v>
          </cell>
        </row>
        <row r="7958">
          <cell r="F7958">
            <v>251.76</v>
          </cell>
          <cell r="G7958">
            <v>0</v>
          </cell>
          <cell r="H7958" t="str">
            <v>640/8</v>
          </cell>
        </row>
        <row r="7959">
          <cell r="F7959">
            <v>20</v>
          </cell>
          <cell r="G7959">
            <v>0</v>
          </cell>
          <cell r="H7959" t="str">
            <v>640/8</v>
          </cell>
        </row>
        <row r="7960">
          <cell r="F7960">
            <v>439.3</v>
          </cell>
          <cell r="G7960">
            <v>0</v>
          </cell>
          <cell r="H7960" t="str">
            <v>640/8</v>
          </cell>
        </row>
        <row r="7961">
          <cell r="F7961">
            <v>10.25</v>
          </cell>
          <cell r="G7961">
            <v>0</v>
          </cell>
          <cell r="H7961" t="str">
            <v>640/8</v>
          </cell>
        </row>
        <row r="7962">
          <cell r="F7962">
            <v>160</v>
          </cell>
          <cell r="G7962">
            <v>0</v>
          </cell>
          <cell r="H7962" t="str">
            <v>640/8</v>
          </cell>
        </row>
        <row r="7963">
          <cell r="F7963">
            <v>153</v>
          </cell>
          <cell r="G7963">
            <v>0</v>
          </cell>
          <cell r="H7963" t="str">
            <v>640/8</v>
          </cell>
        </row>
        <row r="7964">
          <cell r="F7964">
            <v>998.26</v>
          </cell>
          <cell r="G7964">
            <v>0</v>
          </cell>
          <cell r="H7964" t="str">
            <v>640/8</v>
          </cell>
        </row>
        <row r="7965">
          <cell r="F7965">
            <v>1173.81</v>
          </cell>
          <cell r="G7965">
            <v>0</v>
          </cell>
          <cell r="H7965" t="str">
            <v>640/8</v>
          </cell>
        </row>
        <row r="7966">
          <cell r="F7966">
            <v>30</v>
          </cell>
          <cell r="G7966">
            <v>0</v>
          </cell>
          <cell r="H7966" t="str">
            <v>640/8</v>
          </cell>
        </row>
        <row r="7967">
          <cell r="F7967">
            <v>169.95</v>
          </cell>
          <cell r="G7967">
            <v>0</v>
          </cell>
          <cell r="H7967" t="str">
            <v>640/8</v>
          </cell>
        </row>
        <row r="7968">
          <cell r="F7968">
            <v>9.18</v>
          </cell>
          <cell r="G7968">
            <v>0</v>
          </cell>
          <cell r="H7968" t="str">
            <v>640/8</v>
          </cell>
        </row>
        <row r="7969">
          <cell r="F7969">
            <v>9.18</v>
          </cell>
          <cell r="G7969">
            <v>0</v>
          </cell>
          <cell r="H7969" t="str">
            <v>640/8</v>
          </cell>
        </row>
        <row r="7970">
          <cell r="F7970">
            <v>99.13</v>
          </cell>
          <cell r="G7970">
            <v>0</v>
          </cell>
          <cell r="H7970" t="str">
            <v>640/8</v>
          </cell>
        </row>
        <row r="7971">
          <cell r="F7971">
            <v>6</v>
          </cell>
          <cell r="G7971">
            <v>0</v>
          </cell>
          <cell r="H7971" t="str">
            <v>640/8</v>
          </cell>
        </row>
        <row r="7972">
          <cell r="F7972">
            <v>134</v>
          </cell>
          <cell r="G7972">
            <v>0</v>
          </cell>
          <cell r="H7972" t="str">
            <v>640/8</v>
          </cell>
        </row>
        <row r="7973">
          <cell r="F7973">
            <v>90</v>
          </cell>
          <cell r="G7973">
            <v>0</v>
          </cell>
          <cell r="H7973" t="str">
            <v>640/8</v>
          </cell>
        </row>
        <row r="7974">
          <cell r="F7974">
            <v>26.91</v>
          </cell>
          <cell r="G7974">
            <v>0</v>
          </cell>
          <cell r="H7974" t="str">
            <v>640/8</v>
          </cell>
        </row>
        <row r="7975">
          <cell r="F7975">
            <v>10</v>
          </cell>
          <cell r="G7975">
            <v>0</v>
          </cell>
          <cell r="H7975" t="str">
            <v>640/8</v>
          </cell>
        </row>
        <row r="7976">
          <cell r="F7976">
            <v>15</v>
          </cell>
          <cell r="G7976">
            <v>0</v>
          </cell>
          <cell r="H7976" t="str">
            <v>640/8</v>
          </cell>
        </row>
        <row r="7977">
          <cell r="F7977">
            <v>56.4</v>
          </cell>
          <cell r="G7977">
            <v>0</v>
          </cell>
          <cell r="H7977" t="str">
            <v>640/8</v>
          </cell>
        </row>
        <row r="7978">
          <cell r="F7978">
            <v>363.96</v>
          </cell>
          <cell r="G7978">
            <v>0</v>
          </cell>
          <cell r="H7978" t="str">
            <v>640/8</v>
          </cell>
        </row>
        <row r="7979">
          <cell r="F7979">
            <v>102.69</v>
          </cell>
          <cell r="G7979">
            <v>0</v>
          </cell>
          <cell r="H7979" t="str">
            <v>640/8</v>
          </cell>
        </row>
        <row r="7980">
          <cell r="F7980">
            <v>5</v>
          </cell>
          <cell r="G7980">
            <v>0</v>
          </cell>
          <cell r="H7980" t="str">
            <v>640/8</v>
          </cell>
        </row>
        <row r="7981">
          <cell r="F7981">
            <v>1656.04</v>
          </cell>
          <cell r="G7981">
            <v>0</v>
          </cell>
          <cell r="H7981" t="str">
            <v>640/8</v>
          </cell>
        </row>
        <row r="7982">
          <cell r="F7982">
            <v>1248.0899999999999</v>
          </cell>
          <cell r="G7982">
            <v>0</v>
          </cell>
          <cell r="H7982" t="str">
            <v>640/8</v>
          </cell>
        </row>
        <row r="7983">
          <cell r="F7983">
            <v>19.39</v>
          </cell>
          <cell r="G7983">
            <v>0</v>
          </cell>
          <cell r="H7983" t="str">
            <v>640/8</v>
          </cell>
        </row>
        <row r="7984">
          <cell r="F7984">
            <v>288.27999999999997</v>
          </cell>
          <cell r="G7984">
            <v>0</v>
          </cell>
          <cell r="H7984" t="str">
            <v>640/8</v>
          </cell>
        </row>
        <row r="7985">
          <cell r="F7985">
            <v>88.03</v>
          </cell>
          <cell r="G7985">
            <v>0</v>
          </cell>
          <cell r="H7985" t="str">
            <v>640/8</v>
          </cell>
        </row>
        <row r="7986">
          <cell r="F7986">
            <v>82.23</v>
          </cell>
          <cell r="G7986">
            <v>0</v>
          </cell>
          <cell r="H7986" t="str">
            <v>640/8</v>
          </cell>
        </row>
        <row r="7987">
          <cell r="F7987">
            <v>50.87</v>
          </cell>
          <cell r="G7987">
            <v>0</v>
          </cell>
          <cell r="H7987" t="str">
            <v>640/8</v>
          </cell>
        </row>
        <row r="7988">
          <cell r="F7988">
            <v>242.41</v>
          </cell>
          <cell r="G7988">
            <v>0</v>
          </cell>
          <cell r="H7988" t="str">
            <v>640/8</v>
          </cell>
        </row>
        <row r="7989">
          <cell r="F7989">
            <v>267.22000000000003</v>
          </cell>
          <cell r="G7989">
            <v>0</v>
          </cell>
          <cell r="H7989" t="str">
            <v>640/8</v>
          </cell>
        </row>
        <row r="7990">
          <cell r="F7990">
            <v>316.89</v>
          </cell>
          <cell r="G7990">
            <v>0</v>
          </cell>
          <cell r="H7990" t="str">
            <v>640/8</v>
          </cell>
        </row>
        <row r="7991">
          <cell r="F7991">
            <v>160</v>
          </cell>
          <cell r="G7991">
            <v>0</v>
          </cell>
          <cell r="H7991" t="str">
            <v>640/8</v>
          </cell>
        </row>
        <row r="7992">
          <cell r="F7992">
            <v>0.61</v>
          </cell>
          <cell r="G7992">
            <v>0</v>
          </cell>
          <cell r="H7992" t="str">
            <v>640/8</v>
          </cell>
        </row>
        <row r="7993">
          <cell r="F7993">
            <v>169.72</v>
          </cell>
          <cell r="G7993">
            <v>0</v>
          </cell>
          <cell r="H7993" t="str">
            <v>640/8</v>
          </cell>
        </row>
        <row r="7994">
          <cell r="F7994">
            <v>64.490000000000009</v>
          </cell>
          <cell r="G7994">
            <v>0</v>
          </cell>
          <cell r="H7994" t="str">
            <v>640/8</v>
          </cell>
        </row>
        <row r="7995">
          <cell r="F7995">
            <v>620.49999999999989</v>
          </cell>
          <cell r="G7995">
            <v>0</v>
          </cell>
          <cell r="H7995" t="str">
            <v>640/8</v>
          </cell>
        </row>
        <row r="7996">
          <cell r="F7996">
            <v>68.78</v>
          </cell>
          <cell r="G7996">
            <v>0</v>
          </cell>
          <cell r="H7996" t="str">
            <v>640/8</v>
          </cell>
        </row>
        <row r="7997">
          <cell r="F7997">
            <v>106.93</v>
          </cell>
          <cell r="G7997">
            <v>0</v>
          </cell>
          <cell r="H7997" t="str">
            <v>640/8</v>
          </cell>
        </row>
        <row r="7998">
          <cell r="F7998">
            <v>2932.2</v>
          </cell>
          <cell r="G7998">
            <v>0</v>
          </cell>
          <cell r="H7998" t="str">
            <v>640/8</v>
          </cell>
        </row>
        <row r="7999">
          <cell r="F7999">
            <v>219.55000000000007</v>
          </cell>
          <cell r="G7999">
            <v>0</v>
          </cell>
          <cell r="H7999" t="str">
            <v>640/8</v>
          </cell>
        </row>
        <row r="8000">
          <cell r="F8000">
            <v>918.29</v>
          </cell>
          <cell r="G8000">
            <v>0</v>
          </cell>
          <cell r="H8000" t="str">
            <v>640/8</v>
          </cell>
        </row>
        <row r="8001">
          <cell r="F8001">
            <v>978.61000000000013</v>
          </cell>
          <cell r="G8001">
            <v>0</v>
          </cell>
          <cell r="H8001" t="str">
            <v>640/8</v>
          </cell>
        </row>
        <row r="8002">
          <cell r="F8002">
            <v>2157.1999999999998</v>
          </cell>
          <cell r="G8002">
            <v>0</v>
          </cell>
          <cell r="H8002" t="str">
            <v>640/8</v>
          </cell>
        </row>
        <row r="8003">
          <cell r="F8003">
            <v>484.5</v>
          </cell>
          <cell r="G8003">
            <v>0</v>
          </cell>
          <cell r="H8003" t="str">
            <v>640/8</v>
          </cell>
        </row>
        <row r="8004">
          <cell r="F8004">
            <v>2536.4000000000005</v>
          </cell>
          <cell r="G8004">
            <v>0</v>
          </cell>
          <cell r="H8004" t="str">
            <v>640/8</v>
          </cell>
        </row>
        <row r="8005">
          <cell r="F8005">
            <v>149.01</v>
          </cell>
          <cell r="G8005">
            <v>0</v>
          </cell>
          <cell r="H8005" t="str">
            <v>640/8</v>
          </cell>
        </row>
        <row r="8006">
          <cell r="F8006">
            <v>3927</v>
          </cell>
          <cell r="G8006">
            <v>0</v>
          </cell>
          <cell r="H8006" t="str">
            <v>640/8</v>
          </cell>
        </row>
        <row r="8007">
          <cell r="F8007">
            <v>552.5</v>
          </cell>
          <cell r="G8007">
            <v>0</v>
          </cell>
          <cell r="H8007" t="str">
            <v>640/8</v>
          </cell>
        </row>
        <row r="8008">
          <cell r="F8008">
            <v>359.35</v>
          </cell>
          <cell r="G8008">
            <v>0</v>
          </cell>
          <cell r="H8008" t="str">
            <v>640/8</v>
          </cell>
        </row>
        <row r="8009">
          <cell r="F8009">
            <v>1068.52</v>
          </cell>
          <cell r="G8009">
            <v>0</v>
          </cell>
          <cell r="H8009" t="str">
            <v>640/8</v>
          </cell>
        </row>
        <row r="8010">
          <cell r="F8010">
            <v>476</v>
          </cell>
          <cell r="G8010">
            <v>0</v>
          </cell>
          <cell r="H8010" t="str">
            <v>640/8</v>
          </cell>
        </row>
        <row r="8011">
          <cell r="F8011">
            <v>468.42000000000007</v>
          </cell>
          <cell r="G8011">
            <v>0</v>
          </cell>
          <cell r="H8011" t="str">
            <v>640/8</v>
          </cell>
        </row>
        <row r="8012">
          <cell r="F8012">
            <v>1004.6799999999998</v>
          </cell>
          <cell r="G8012">
            <v>0</v>
          </cell>
          <cell r="H8012" t="str">
            <v>640/8</v>
          </cell>
        </row>
        <row r="8013">
          <cell r="F8013">
            <v>511.70000000000005</v>
          </cell>
          <cell r="G8013">
            <v>0</v>
          </cell>
          <cell r="H8013" t="str">
            <v>640/8</v>
          </cell>
        </row>
        <row r="8014">
          <cell r="F8014">
            <v>1147.5</v>
          </cell>
          <cell r="G8014">
            <v>0</v>
          </cell>
          <cell r="H8014" t="str">
            <v>640/8</v>
          </cell>
        </row>
        <row r="8015">
          <cell r="F8015">
            <v>742.88000000000011</v>
          </cell>
          <cell r="G8015">
            <v>0</v>
          </cell>
          <cell r="H8015" t="str">
            <v>640/8</v>
          </cell>
        </row>
        <row r="8016">
          <cell r="F8016">
            <v>836.08999999999969</v>
          </cell>
          <cell r="G8016">
            <v>0</v>
          </cell>
          <cell r="H8016" t="str">
            <v>640/8</v>
          </cell>
        </row>
        <row r="8017">
          <cell r="F8017">
            <v>230.31999999999996</v>
          </cell>
          <cell r="G8017">
            <v>0</v>
          </cell>
          <cell r="H8017" t="str">
            <v>640/8</v>
          </cell>
        </row>
        <row r="8018">
          <cell r="F8018">
            <v>53.14</v>
          </cell>
          <cell r="G8018">
            <v>0</v>
          </cell>
          <cell r="H8018" t="str">
            <v>640/8</v>
          </cell>
        </row>
        <row r="8019">
          <cell r="F8019">
            <v>278.64999999999998</v>
          </cell>
          <cell r="G8019">
            <v>0</v>
          </cell>
          <cell r="H8019" t="str">
            <v>640/8</v>
          </cell>
        </row>
        <row r="8020">
          <cell r="F8020">
            <v>163.98</v>
          </cell>
          <cell r="G8020">
            <v>0</v>
          </cell>
          <cell r="H8020" t="str">
            <v>640/8</v>
          </cell>
        </row>
        <row r="8021">
          <cell r="F8021">
            <v>145.51</v>
          </cell>
          <cell r="G8021">
            <v>0</v>
          </cell>
          <cell r="H8021" t="str">
            <v>640/8</v>
          </cell>
        </row>
        <row r="8022">
          <cell r="F8022">
            <v>1219.78</v>
          </cell>
          <cell r="G8022">
            <v>0</v>
          </cell>
          <cell r="H8022" t="str">
            <v>640/8</v>
          </cell>
        </row>
        <row r="8023">
          <cell r="F8023">
            <v>0</v>
          </cell>
          <cell r="G8023">
            <v>0</v>
          </cell>
          <cell r="H8023" t="str">
            <v>640/8</v>
          </cell>
        </row>
        <row r="8024">
          <cell r="F8024">
            <v>145.07</v>
          </cell>
          <cell r="G8024">
            <v>0</v>
          </cell>
          <cell r="H8024" t="str">
            <v>640/8</v>
          </cell>
        </row>
        <row r="8025">
          <cell r="F8025">
            <v>212.14</v>
          </cell>
          <cell r="G8025">
            <v>0</v>
          </cell>
          <cell r="H8025" t="str">
            <v>640/8</v>
          </cell>
        </row>
        <row r="8026">
          <cell r="F8026">
            <v>0</v>
          </cell>
          <cell r="G8026">
            <v>0</v>
          </cell>
          <cell r="H8026" t="str">
            <v>640/8</v>
          </cell>
        </row>
        <row r="8027">
          <cell r="F8027">
            <v>55</v>
          </cell>
          <cell r="G8027">
            <v>0</v>
          </cell>
          <cell r="H8027" t="str">
            <v>640/8</v>
          </cell>
        </row>
        <row r="8028">
          <cell r="F8028">
            <v>50</v>
          </cell>
          <cell r="G8028">
            <v>0</v>
          </cell>
          <cell r="H8028" t="str">
            <v>640/8</v>
          </cell>
        </row>
        <row r="8029">
          <cell r="F8029">
            <v>256</v>
          </cell>
          <cell r="G8029">
            <v>0</v>
          </cell>
          <cell r="H8029" t="str">
            <v>640/8</v>
          </cell>
        </row>
        <row r="8030">
          <cell r="F8030">
            <v>53</v>
          </cell>
          <cell r="G8030">
            <v>0</v>
          </cell>
          <cell r="H8030" t="str">
            <v>640/8</v>
          </cell>
        </row>
        <row r="8031">
          <cell r="F8031">
            <v>220</v>
          </cell>
          <cell r="G8031">
            <v>0</v>
          </cell>
          <cell r="H8031" t="str">
            <v>640/8</v>
          </cell>
        </row>
        <row r="8032">
          <cell r="F8032">
            <v>4.7</v>
          </cell>
          <cell r="G8032">
            <v>0</v>
          </cell>
          <cell r="H8032" t="str">
            <v>640/8</v>
          </cell>
        </row>
        <row r="8033">
          <cell r="F8033">
            <v>3.67</v>
          </cell>
          <cell r="G8033">
            <v>0</v>
          </cell>
          <cell r="H8033" t="str">
            <v>640/8</v>
          </cell>
        </row>
        <row r="8034">
          <cell r="F8034">
            <v>14.69</v>
          </cell>
          <cell r="G8034">
            <v>0</v>
          </cell>
          <cell r="H8034" t="str">
            <v>640/8</v>
          </cell>
        </row>
        <row r="8035">
          <cell r="F8035">
            <v>1.59</v>
          </cell>
          <cell r="G8035">
            <v>0</v>
          </cell>
          <cell r="H8035" t="str">
            <v>640/8</v>
          </cell>
        </row>
        <row r="8036">
          <cell r="F8036">
            <v>5.18</v>
          </cell>
          <cell r="G8036">
            <v>0</v>
          </cell>
          <cell r="H8036" t="str">
            <v>640/8</v>
          </cell>
        </row>
        <row r="8037">
          <cell r="F8037">
            <v>8.3699999999999992</v>
          </cell>
          <cell r="G8037">
            <v>0</v>
          </cell>
          <cell r="H8037" t="str">
            <v>640/8</v>
          </cell>
        </row>
        <row r="8038">
          <cell r="F8038">
            <v>24.03</v>
          </cell>
          <cell r="G8038">
            <v>0</v>
          </cell>
          <cell r="H8038" t="str">
            <v>640/8</v>
          </cell>
        </row>
        <row r="8039">
          <cell r="F8039">
            <v>4.59</v>
          </cell>
          <cell r="G8039">
            <v>0</v>
          </cell>
          <cell r="H8039" t="str">
            <v>640/8</v>
          </cell>
        </row>
        <row r="8040">
          <cell r="F8040">
            <v>1.85</v>
          </cell>
          <cell r="G8040">
            <v>0</v>
          </cell>
          <cell r="H8040" t="str">
            <v>640/8</v>
          </cell>
        </row>
        <row r="8041">
          <cell r="F8041">
            <v>7.62</v>
          </cell>
          <cell r="G8041">
            <v>0</v>
          </cell>
          <cell r="H8041" t="str">
            <v>640/8</v>
          </cell>
        </row>
        <row r="8042">
          <cell r="F8042">
            <v>2.0299999999999998</v>
          </cell>
          <cell r="G8042">
            <v>0</v>
          </cell>
          <cell r="H8042" t="str">
            <v>640/8</v>
          </cell>
        </row>
        <row r="8043">
          <cell r="F8043">
            <v>3.02</v>
          </cell>
          <cell r="G8043">
            <v>0</v>
          </cell>
          <cell r="H8043" t="str">
            <v>640/8</v>
          </cell>
        </row>
        <row r="8044">
          <cell r="F8044">
            <v>8.3000000000000007</v>
          </cell>
          <cell r="G8044">
            <v>0</v>
          </cell>
          <cell r="H8044" t="str">
            <v>640/8</v>
          </cell>
        </row>
        <row r="8045">
          <cell r="F8045">
            <v>1.85</v>
          </cell>
          <cell r="G8045">
            <v>0</v>
          </cell>
          <cell r="H8045" t="str">
            <v>640/8</v>
          </cell>
        </row>
        <row r="8046">
          <cell r="F8046">
            <v>5.85</v>
          </cell>
          <cell r="G8046">
            <v>0</v>
          </cell>
          <cell r="H8046" t="str">
            <v>640/8</v>
          </cell>
        </row>
        <row r="8047">
          <cell r="F8047">
            <v>3.72</v>
          </cell>
          <cell r="G8047">
            <v>0</v>
          </cell>
          <cell r="H8047" t="str">
            <v>640/8</v>
          </cell>
        </row>
        <row r="8048">
          <cell r="F8048">
            <v>42.84</v>
          </cell>
          <cell r="G8048">
            <v>0</v>
          </cell>
          <cell r="H8048" t="str">
            <v>640/8</v>
          </cell>
        </row>
        <row r="8049">
          <cell r="F8049">
            <v>3.73</v>
          </cell>
          <cell r="G8049">
            <v>0</v>
          </cell>
          <cell r="H8049" t="str">
            <v>640/8</v>
          </cell>
        </row>
        <row r="8050">
          <cell r="F8050">
            <v>10.49</v>
          </cell>
          <cell r="G8050">
            <v>0</v>
          </cell>
          <cell r="H8050" t="str">
            <v>640/8</v>
          </cell>
        </row>
        <row r="8051">
          <cell r="F8051">
            <v>3.85</v>
          </cell>
          <cell r="G8051">
            <v>0</v>
          </cell>
          <cell r="H8051" t="str">
            <v>640/8</v>
          </cell>
        </row>
        <row r="8052">
          <cell r="F8052">
            <v>15.27</v>
          </cell>
          <cell r="G8052">
            <v>0</v>
          </cell>
          <cell r="H8052" t="str">
            <v>640/8</v>
          </cell>
        </row>
        <row r="8053">
          <cell r="F8053">
            <v>1.25</v>
          </cell>
          <cell r="G8053">
            <v>0</v>
          </cell>
          <cell r="H8053" t="str">
            <v>640/8</v>
          </cell>
        </row>
        <row r="8054">
          <cell r="F8054">
            <v>27.91</v>
          </cell>
          <cell r="G8054">
            <v>0</v>
          </cell>
          <cell r="H8054" t="str">
            <v>640/8</v>
          </cell>
        </row>
        <row r="8055">
          <cell r="F8055">
            <v>2.42</v>
          </cell>
          <cell r="G8055">
            <v>0</v>
          </cell>
          <cell r="H8055" t="str">
            <v>640/8</v>
          </cell>
        </row>
        <row r="8056">
          <cell r="F8056">
            <v>2.23</v>
          </cell>
          <cell r="G8056">
            <v>0</v>
          </cell>
          <cell r="H8056" t="str">
            <v>640/8</v>
          </cell>
        </row>
        <row r="8057">
          <cell r="F8057">
            <v>1.06</v>
          </cell>
          <cell r="G8057">
            <v>0</v>
          </cell>
          <cell r="H8057" t="str">
            <v>640/8</v>
          </cell>
        </row>
        <row r="8058">
          <cell r="F8058">
            <v>1.68</v>
          </cell>
          <cell r="G8058">
            <v>0</v>
          </cell>
          <cell r="H8058" t="str">
            <v>640/8</v>
          </cell>
        </row>
        <row r="8059">
          <cell r="F8059">
            <v>16.850000000000001</v>
          </cell>
          <cell r="G8059">
            <v>0</v>
          </cell>
          <cell r="H8059" t="str">
            <v>640/8</v>
          </cell>
        </row>
        <row r="8060">
          <cell r="F8060">
            <v>3.14</v>
          </cell>
          <cell r="G8060">
            <v>0</v>
          </cell>
          <cell r="H8060" t="str">
            <v>640/8</v>
          </cell>
        </row>
        <row r="8061">
          <cell r="F8061">
            <v>1.67</v>
          </cell>
          <cell r="G8061">
            <v>0</v>
          </cell>
          <cell r="H8061" t="str">
            <v>640/8</v>
          </cell>
        </row>
        <row r="8062">
          <cell r="F8062">
            <v>42.25</v>
          </cell>
          <cell r="G8062">
            <v>0</v>
          </cell>
          <cell r="H8062" t="str">
            <v>640/8</v>
          </cell>
        </row>
        <row r="8063">
          <cell r="F8063">
            <v>1.47</v>
          </cell>
          <cell r="G8063">
            <v>0</v>
          </cell>
          <cell r="H8063" t="str">
            <v>640/8</v>
          </cell>
        </row>
        <row r="8064">
          <cell r="F8064">
            <v>50.45</v>
          </cell>
          <cell r="G8064">
            <v>0</v>
          </cell>
          <cell r="H8064" t="str">
            <v>640/8</v>
          </cell>
        </row>
        <row r="8065">
          <cell r="F8065">
            <v>12.99</v>
          </cell>
          <cell r="G8065">
            <v>0</v>
          </cell>
          <cell r="H8065" t="str">
            <v>640/8</v>
          </cell>
        </row>
        <row r="8066">
          <cell r="F8066">
            <v>32.590000000000003</v>
          </cell>
          <cell r="G8066">
            <v>0</v>
          </cell>
          <cell r="H8066" t="str">
            <v>640/8</v>
          </cell>
        </row>
        <row r="8067">
          <cell r="F8067">
            <v>0</v>
          </cell>
          <cell r="G8067">
            <v>0</v>
          </cell>
          <cell r="H8067" t="str">
            <v>640/8</v>
          </cell>
        </row>
        <row r="8068">
          <cell r="F8068">
            <v>20.399999999999999</v>
          </cell>
          <cell r="G8068">
            <v>0</v>
          </cell>
          <cell r="H8068" t="str">
            <v>640/8</v>
          </cell>
        </row>
        <row r="8069">
          <cell r="F8069">
            <v>16.600000000000001</v>
          </cell>
          <cell r="G8069">
            <v>0</v>
          </cell>
          <cell r="H8069" t="str">
            <v>640/8</v>
          </cell>
        </row>
        <row r="8070">
          <cell r="F8070">
            <v>20.27</v>
          </cell>
          <cell r="G8070">
            <v>0</v>
          </cell>
          <cell r="H8070" t="str">
            <v>640/8</v>
          </cell>
        </row>
        <row r="8071">
          <cell r="F8071">
            <v>26.68</v>
          </cell>
          <cell r="G8071">
            <v>0</v>
          </cell>
          <cell r="H8071" t="str">
            <v>640/8</v>
          </cell>
        </row>
        <row r="8072">
          <cell r="F8072">
            <v>0.97</v>
          </cell>
          <cell r="G8072">
            <v>0</v>
          </cell>
          <cell r="H8072" t="str">
            <v>640/8</v>
          </cell>
        </row>
        <row r="8073">
          <cell r="F8073">
            <v>14.29</v>
          </cell>
          <cell r="G8073">
            <v>0</v>
          </cell>
          <cell r="H8073" t="str">
            <v>640/8</v>
          </cell>
        </row>
        <row r="8074">
          <cell r="F8074">
            <v>11.7</v>
          </cell>
          <cell r="G8074">
            <v>0</v>
          </cell>
          <cell r="H8074" t="str">
            <v>640/8</v>
          </cell>
        </row>
        <row r="8075">
          <cell r="F8075">
            <v>0.55000000000000004</v>
          </cell>
          <cell r="G8075">
            <v>0</v>
          </cell>
          <cell r="H8075" t="str">
            <v>640/8</v>
          </cell>
        </row>
        <row r="8076">
          <cell r="F8076">
            <v>2</v>
          </cell>
          <cell r="G8076">
            <v>0</v>
          </cell>
          <cell r="H8076" t="str">
            <v>640/8</v>
          </cell>
        </row>
        <row r="8077">
          <cell r="F8077">
            <v>21.51</v>
          </cell>
          <cell r="G8077">
            <v>0</v>
          </cell>
          <cell r="H8077" t="str">
            <v>640/8</v>
          </cell>
        </row>
        <row r="8078">
          <cell r="F8078">
            <v>62.35</v>
          </cell>
          <cell r="G8078">
            <v>0</v>
          </cell>
          <cell r="H8078" t="str">
            <v>640/8</v>
          </cell>
        </row>
        <row r="8079">
          <cell r="F8079">
            <v>17.72</v>
          </cell>
          <cell r="G8079">
            <v>0</v>
          </cell>
          <cell r="H8079" t="str">
            <v>640/8</v>
          </cell>
        </row>
        <row r="8080">
          <cell r="F8080">
            <v>6.76</v>
          </cell>
          <cell r="G8080">
            <v>0</v>
          </cell>
          <cell r="H8080" t="str">
            <v>640/8</v>
          </cell>
        </row>
        <row r="8081">
          <cell r="F8081">
            <v>15.15</v>
          </cell>
          <cell r="G8081">
            <v>0</v>
          </cell>
          <cell r="H8081" t="str">
            <v>640/8</v>
          </cell>
        </row>
        <row r="8082">
          <cell r="F8082">
            <v>0.31</v>
          </cell>
          <cell r="G8082">
            <v>0</v>
          </cell>
          <cell r="H8082" t="str">
            <v>640/8</v>
          </cell>
        </row>
        <row r="8083">
          <cell r="F8083">
            <v>13.73</v>
          </cell>
          <cell r="G8083">
            <v>0</v>
          </cell>
          <cell r="H8083" t="str">
            <v>640/8</v>
          </cell>
        </row>
        <row r="8084">
          <cell r="F8084">
            <v>1.48</v>
          </cell>
          <cell r="G8084">
            <v>0</v>
          </cell>
          <cell r="H8084" t="str">
            <v>640/8</v>
          </cell>
        </row>
        <row r="8085">
          <cell r="F8085">
            <v>16.29</v>
          </cell>
          <cell r="G8085">
            <v>0</v>
          </cell>
          <cell r="H8085" t="str">
            <v>640/8</v>
          </cell>
        </row>
        <row r="8086">
          <cell r="F8086">
            <v>1.19</v>
          </cell>
          <cell r="G8086">
            <v>0</v>
          </cell>
          <cell r="H8086" t="str">
            <v>640/8</v>
          </cell>
        </row>
        <row r="8087">
          <cell r="F8087">
            <v>2.9</v>
          </cell>
          <cell r="G8087">
            <v>0</v>
          </cell>
          <cell r="H8087" t="str">
            <v>640/8</v>
          </cell>
        </row>
        <row r="8088">
          <cell r="F8088">
            <v>7.18</v>
          </cell>
          <cell r="G8088">
            <v>0</v>
          </cell>
          <cell r="H8088" t="str">
            <v>640/8</v>
          </cell>
        </row>
        <row r="8089">
          <cell r="F8089">
            <v>8.06</v>
          </cell>
          <cell r="G8089">
            <v>0</v>
          </cell>
          <cell r="H8089" t="str">
            <v>640/8</v>
          </cell>
        </row>
        <row r="8090">
          <cell r="F8090">
            <v>5.4</v>
          </cell>
          <cell r="G8090">
            <v>0</v>
          </cell>
          <cell r="H8090" t="str">
            <v>640/8</v>
          </cell>
        </row>
        <row r="8091">
          <cell r="F8091">
            <v>49.37</v>
          </cell>
          <cell r="G8091">
            <v>0</v>
          </cell>
          <cell r="H8091" t="str">
            <v>640/8</v>
          </cell>
        </row>
        <row r="8092">
          <cell r="F8092">
            <v>7.96</v>
          </cell>
          <cell r="G8092">
            <v>0</v>
          </cell>
          <cell r="H8092" t="str">
            <v>640/8</v>
          </cell>
        </row>
        <row r="8093">
          <cell r="F8093">
            <v>43.37</v>
          </cell>
          <cell r="G8093">
            <v>0</v>
          </cell>
          <cell r="H8093" t="str">
            <v>640/8</v>
          </cell>
        </row>
        <row r="8094">
          <cell r="F8094">
            <v>3.44</v>
          </cell>
          <cell r="G8094">
            <v>0</v>
          </cell>
          <cell r="H8094" t="str">
            <v>640/8</v>
          </cell>
        </row>
        <row r="8095">
          <cell r="F8095">
            <v>2.48</v>
          </cell>
          <cell r="G8095">
            <v>0</v>
          </cell>
          <cell r="H8095" t="str">
            <v>640/8</v>
          </cell>
        </row>
        <row r="8096">
          <cell r="F8096">
            <v>31.26</v>
          </cell>
          <cell r="G8096">
            <v>0</v>
          </cell>
          <cell r="H8096" t="str">
            <v>640/8</v>
          </cell>
        </row>
        <row r="8097">
          <cell r="F8097">
            <v>0.17</v>
          </cell>
          <cell r="G8097">
            <v>0</v>
          </cell>
          <cell r="H8097" t="str">
            <v>640/8</v>
          </cell>
        </row>
        <row r="8098">
          <cell r="F8098">
            <v>41.44</v>
          </cell>
          <cell r="G8098">
            <v>0</v>
          </cell>
          <cell r="H8098" t="str">
            <v>640/8</v>
          </cell>
        </row>
        <row r="8099">
          <cell r="F8099">
            <v>4.38</v>
          </cell>
          <cell r="G8099">
            <v>0</v>
          </cell>
          <cell r="H8099" t="str">
            <v>640/8</v>
          </cell>
        </row>
        <row r="8100">
          <cell r="F8100">
            <v>14.36</v>
          </cell>
          <cell r="G8100">
            <v>0</v>
          </cell>
          <cell r="H8100" t="str">
            <v>640/8</v>
          </cell>
        </row>
        <row r="8101">
          <cell r="F8101">
            <v>33.61</v>
          </cell>
          <cell r="G8101">
            <v>0</v>
          </cell>
          <cell r="H8101" t="str">
            <v>640/8</v>
          </cell>
        </row>
        <row r="8102">
          <cell r="F8102">
            <v>1.04</v>
          </cell>
          <cell r="G8102">
            <v>0</v>
          </cell>
          <cell r="H8102" t="str">
            <v>640/8</v>
          </cell>
        </row>
        <row r="8103">
          <cell r="F8103">
            <v>10.45</v>
          </cell>
          <cell r="G8103">
            <v>0</v>
          </cell>
          <cell r="H8103" t="str">
            <v>640/8</v>
          </cell>
        </row>
        <row r="8104">
          <cell r="F8104">
            <v>27.24</v>
          </cell>
          <cell r="G8104">
            <v>0</v>
          </cell>
          <cell r="H8104" t="str">
            <v>640/8</v>
          </cell>
        </row>
        <row r="8105">
          <cell r="F8105">
            <v>4.7699999999999996</v>
          </cell>
          <cell r="G8105">
            <v>0</v>
          </cell>
          <cell r="H8105" t="str">
            <v>640/8</v>
          </cell>
        </row>
        <row r="8106">
          <cell r="F8106">
            <v>15.31</v>
          </cell>
          <cell r="G8106">
            <v>0</v>
          </cell>
          <cell r="H8106" t="str">
            <v>640/8</v>
          </cell>
        </row>
        <row r="8107">
          <cell r="F8107">
            <v>6.55</v>
          </cell>
          <cell r="G8107">
            <v>0</v>
          </cell>
          <cell r="H8107" t="str">
            <v>640/8</v>
          </cell>
        </row>
        <row r="8108">
          <cell r="F8108">
            <v>12.52</v>
          </cell>
          <cell r="G8108">
            <v>0</v>
          </cell>
          <cell r="H8108" t="str">
            <v>640/8</v>
          </cell>
        </row>
        <row r="8109">
          <cell r="F8109">
            <v>12.8</v>
          </cell>
          <cell r="G8109">
            <v>0</v>
          </cell>
          <cell r="H8109" t="str">
            <v>640/8</v>
          </cell>
        </row>
        <row r="8110">
          <cell r="F8110">
            <v>8.49</v>
          </cell>
          <cell r="G8110">
            <v>0</v>
          </cell>
          <cell r="H8110" t="str">
            <v>640/8</v>
          </cell>
        </row>
        <row r="8111">
          <cell r="F8111">
            <v>18.489999999999998</v>
          </cell>
          <cell r="G8111">
            <v>0</v>
          </cell>
          <cell r="H8111" t="str">
            <v>640/8</v>
          </cell>
        </row>
        <row r="8112">
          <cell r="F8112">
            <v>4.5999999999999996</v>
          </cell>
          <cell r="G8112">
            <v>0</v>
          </cell>
          <cell r="H8112" t="str">
            <v>640/8</v>
          </cell>
        </row>
        <row r="8113">
          <cell r="F8113">
            <v>2.78</v>
          </cell>
          <cell r="G8113">
            <v>0</v>
          </cell>
          <cell r="H8113" t="str">
            <v>640/8</v>
          </cell>
        </row>
        <row r="8114">
          <cell r="F8114">
            <v>40.53</v>
          </cell>
          <cell r="G8114">
            <v>0</v>
          </cell>
          <cell r="H8114" t="str">
            <v>640/8</v>
          </cell>
        </row>
        <row r="8115">
          <cell r="F8115">
            <v>47.82</v>
          </cell>
          <cell r="G8115">
            <v>0</v>
          </cell>
          <cell r="H8115" t="str">
            <v>640/8</v>
          </cell>
        </row>
        <row r="8116">
          <cell r="F8116">
            <v>0.71</v>
          </cell>
          <cell r="G8116">
            <v>0</v>
          </cell>
          <cell r="H8116" t="str">
            <v>640/8</v>
          </cell>
        </row>
        <row r="8117">
          <cell r="F8117">
            <v>0.92</v>
          </cell>
          <cell r="G8117">
            <v>0</v>
          </cell>
          <cell r="H8117" t="str">
            <v>640/8</v>
          </cell>
        </row>
        <row r="8118">
          <cell r="F8118">
            <v>3.72</v>
          </cell>
          <cell r="G8118">
            <v>0</v>
          </cell>
          <cell r="H8118" t="str">
            <v>640/8</v>
          </cell>
        </row>
        <row r="8119">
          <cell r="F8119">
            <v>81.209999999999994</v>
          </cell>
          <cell r="G8119">
            <v>0</v>
          </cell>
          <cell r="H8119" t="str">
            <v>640/8</v>
          </cell>
        </row>
        <row r="8120">
          <cell r="F8120">
            <v>21.47</v>
          </cell>
          <cell r="G8120">
            <v>0</v>
          </cell>
          <cell r="H8120" t="str">
            <v>640/8</v>
          </cell>
        </row>
        <row r="8121">
          <cell r="F8121">
            <v>4.42</v>
          </cell>
          <cell r="G8121">
            <v>0</v>
          </cell>
          <cell r="H8121" t="str">
            <v>640/8</v>
          </cell>
        </row>
        <row r="8122">
          <cell r="F8122">
            <v>8.39</v>
          </cell>
          <cell r="G8122">
            <v>0</v>
          </cell>
          <cell r="H8122" t="str">
            <v>640/8</v>
          </cell>
        </row>
        <row r="8123">
          <cell r="F8123">
            <v>3.85</v>
          </cell>
          <cell r="G8123">
            <v>0</v>
          </cell>
          <cell r="H8123" t="str">
            <v>640/8</v>
          </cell>
        </row>
        <row r="8124">
          <cell r="F8124">
            <v>1.68</v>
          </cell>
          <cell r="G8124">
            <v>0</v>
          </cell>
          <cell r="H8124" t="str">
            <v>640/8</v>
          </cell>
        </row>
        <row r="8125">
          <cell r="F8125">
            <v>11.72</v>
          </cell>
          <cell r="G8125">
            <v>0</v>
          </cell>
          <cell r="H8125" t="str">
            <v>640/8</v>
          </cell>
        </row>
        <row r="8126">
          <cell r="F8126">
            <v>11.21</v>
          </cell>
          <cell r="G8126">
            <v>0</v>
          </cell>
          <cell r="H8126" t="str">
            <v>640/8</v>
          </cell>
        </row>
        <row r="8127">
          <cell r="F8127">
            <v>6.28</v>
          </cell>
          <cell r="G8127">
            <v>0</v>
          </cell>
          <cell r="H8127" t="str">
            <v>640/8</v>
          </cell>
        </row>
        <row r="8128">
          <cell r="F8128">
            <v>5.67</v>
          </cell>
          <cell r="G8128">
            <v>0</v>
          </cell>
          <cell r="H8128" t="str">
            <v>640/8</v>
          </cell>
        </row>
        <row r="8129">
          <cell r="F8129">
            <v>15.27</v>
          </cell>
          <cell r="G8129">
            <v>0</v>
          </cell>
          <cell r="H8129" t="str">
            <v>640/8</v>
          </cell>
        </row>
        <row r="8130">
          <cell r="F8130">
            <v>1.21</v>
          </cell>
          <cell r="G8130">
            <v>0</v>
          </cell>
          <cell r="H8130" t="str">
            <v>640/8</v>
          </cell>
        </row>
        <row r="8131">
          <cell r="F8131">
            <v>2.99</v>
          </cell>
          <cell r="G8131">
            <v>0</v>
          </cell>
          <cell r="H8131" t="str">
            <v>640/8</v>
          </cell>
        </row>
        <row r="8132">
          <cell r="F8132">
            <v>9.0399999999999991</v>
          </cell>
          <cell r="G8132">
            <v>0</v>
          </cell>
          <cell r="H8132" t="str">
            <v>640/8</v>
          </cell>
        </row>
        <row r="8133">
          <cell r="F8133">
            <v>1.39</v>
          </cell>
          <cell r="G8133">
            <v>0</v>
          </cell>
          <cell r="H8133" t="str">
            <v>640/8</v>
          </cell>
        </row>
        <row r="8134">
          <cell r="F8134">
            <v>32.53</v>
          </cell>
          <cell r="G8134">
            <v>0</v>
          </cell>
          <cell r="H8134" t="str">
            <v>640/8</v>
          </cell>
        </row>
        <row r="8135">
          <cell r="F8135">
            <v>3.48</v>
          </cell>
          <cell r="G8135">
            <v>0</v>
          </cell>
          <cell r="H8135" t="str">
            <v>640/8</v>
          </cell>
        </row>
        <row r="8136">
          <cell r="F8136">
            <v>22.68</v>
          </cell>
          <cell r="G8136">
            <v>0</v>
          </cell>
          <cell r="H8136" t="str">
            <v>640/8</v>
          </cell>
        </row>
        <row r="8137">
          <cell r="F8137">
            <v>1.72</v>
          </cell>
          <cell r="G8137">
            <v>0</v>
          </cell>
          <cell r="H8137" t="str">
            <v>640/8</v>
          </cell>
        </row>
        <row r="8138">
          <cell r="F8138">
            <v>1.19</v>
          </cell>
          <cell r="G8138">
            <v>0</v>
          </cell>
          <cell r="H8138" t="str">
            <v>640/8</v>
          </cell>
        </row>
        <row r="8139">
          <cell r="F8139">
            <v>15.98</v>
          </cell>
          <cell r="G8139">
            <v>0</v>
          </cell>
          <cell r="H8139" t="str">
            <v>640/8</v>
          </cell>
        </row>
        <row r="8140">
          <cell r="F8140">
            <v>21.31</v>
          </cell>
          <cell r="G8140">
            <v>0</v>
          </cell>
          <cell r="H8140" t="str">
            <v>640/8</v>
          </cell>
        </row>
        <row r="8141">
          <cell r="F8141">
            <v>8.7100000000000009</v>
          </cell>
          <cell r="G8141">
            <v>0</v>
          </cell>
          <cell r="H8141" t="str">
            <v>640/8</v>
          </cell>
        </row>
        <row r="8142">
          <cell r="F8142">
            <v>16.89</v>
          </cell>
          <cell r="G8142">
            <v>0</v>
          </cell>
          <cell r="H8142" t="str">
            <v>640/8</v>
          </cell>
        </row>
        <row r="8143">
          <cell r="F8143">
            <v>12.82</v>
          </cell>
          <cell r="G8143">
            <v>0</v>
          </cell>
          <cell r="H8143" t="str">
            <v>640/8</v>
          </cell>
        </row>
        <row r="8144">
          <cell r="F8144">
            <v>14.64</v>
          </cell>
          <cell r="G8144">
            <v>0</v>
          </cell>
          <cell r="H8144" t="str">
            <v>640/8</v>
          </cell>
        </row>
        <row r="8145">
          <cell r="F8145">
            <v>5.55</v>
          </cell>
          <cell r="G8145">
            <v>0</v>
          </cell>
          <cell r="H8145" t="str">
            <v>640/8</v>
          </cell>
        </row>
        <row r="8146">
          <cell r="F8146">
            <v>12.23</v>
          </cell>
          <cell r="G8146">
            <v>0</v>
          </cell>
          <cell r="H8146" t="str">
            <v>640/8</v>
          </cell>
        </row>
        <row r="8147">
          <cell r="F8147">
            <v>15.48</v>
          </cell>
          <cell r="G8147">
            <v>0</v>
          </cell>
          <cell r="H8147" t="str">
            <v>640/8</v>
          </cell>
        </row>
        <row r="8148">
          <cell r="F8148">
            <v>4.04</v>
          </cell>
          <cell r="G8148">
            <v>0</v>
          </cell>
          <cell r="H8148" t="str">
            <v>640/8</v>
          </cell>
        </row>
        <row r="8149">
          <cell r="F8149">
            <v>17.420000000000002</v>
          </cell>
          <cell r="G8149">
            <v>0</v>
          </cell>
          <cell r="H8149" t="str">
            <v>640/8</v>
          </cell>
        </row>
        <row r="8150">
          <cell r="F8150">
            <v>7.63</v>
          </cell>
          <cell r="G8150">
            <v>0</v>
          </cell>
          <cell r="H8150" t="str">
            <v>640/8</v>
          </cell>
        </row>
        <row r="8151">
          <cell r="F8151">
            <v>13.05</v>
          </cell>
          <cell r="G8151">
            <v>0</v>
          </cell>
          <cell r="H8151" t="str">
            <v>640/8</v>
          </cell>
        </row>
        <row r="8152">
          <cell r="F8152">
            <v>5.25</v>
          </cell>
          <cell r="G8152">
            <v>0</v>
          </cell>
          <cell r="H8152" t="str">
            <v>640/8</v>
          </cell>
        </row>
        <row r="8153">
          <cell r="F8153">
            <v>42.35</v>
          </cell>
          <cell r="G8153">
            <v>0</v>
          </cell>
          <cell r="H8153" t="str">
            <v>640/8</v>
          </cell>
        </row>
        <row r="8154">
          <cell r="F8154">
            <v>15.38</v>
          </cell>
          <cell r="G8154">
            <v>0</v>
          </cell>
          <cell r="H8154" t="str">
            <v>640/8</v>
          </cell>
        </row>
        <row r="8155">
          <cell r="F8155">
            <v>12.39</v>
          </cell>
          <cell r="G8155">
            <v>0</v>
          </cell>
          <cell r="H8155" t="str">
            <v>640/8</v>
          </cell>
        </row>
        <row r="8156">
          <cell r="F8156">
            <v>12.55</v>
          </cell>
          <cell r="G8156">
            <v>0</v>
          </cell>
          <cell r="H8156" t="str">
            <v>640/8</v>
          </cell>
        </row>
        <row r="8157">
          <cell r="F8157">
            <v>20.49</v>
          </cell>
          <cell r="G8157">
            <v>0</v>
          </cell>
          <cell r="H8157" t="str">
            <v>640/8</v>
          </cell>
        </row>
        <row r="8158">
          <cell r="F8158">
            <v>3.72</v>
          </cell>
          <cell r="G8158">
            <v>0</v>
          </cell>
          <cell r="H8158" t="str">
            <v>640/8</v>
          </cell>
        </row>
        <row r="8159">
          <cell r="F8159">
            <v>1.31</v>
          </cell>
          <cell r="G8159">
            <v>0</v>
          </cell>
          <cell r="H8159" t="str">
            <v>640/8</v>
          </cell>
        </row>
        <row r="8160">
          <cell r="F8160">
            <v>1.84</v>
          </cell>
          <cell r="G8160">
            <v>0</v>
          </cell>
          <cell r="H8160" t="str">
            <v>640/8</v>
          </cell>
        </row>
        <row r="8161">
          <cell r="F8161">
            <v>16.190000000000001</v>
          </cell>
          <cell r="G8161">
            <v>0</v>
          </cell>
          <cell r="H8161" t="str">
            <v>640/8</v>
          </cell>
        </row>
        <row r="8162">
          <cell r="F8162">
            <v>0.4</v>
          </cell>
          <cell r="G8162">
            <v>0</v>
          </cell>
          <cell r="H8162" t="str">
            <v>640/8</v>
          </cell>
        </row>
        <row r="8163">
          <cell r="F8163">
            <v>2.63</v>
          </cell>
          <cell r="G8163">
            <v>0</v>
          </cell>
          <cell r="H8163" t="str">
            <v>640/8</v>
          </cell>
        </row>
        <row r="8164">
          <cell r="F8164">
            <v>11.15</v>
          </cell>
          <cell r="G8164">
            <v>0</v>
          </cell>
          <cell r="H8164" t="str">
            <v>640/8</v>
          </cell>
        </row>
        <row r="8165">
          <cell r="F8165">
            <v>3.24</v>
          </cell>
          <cell r="G8165">
            <v>0</v>
          </cell>
          <cell r="H8165" t="str">
            <v>640/8</v>
          </cell>
        </row>
        <row r="8166">
          <cell r="F8166">
            <v>9.94</v>
          </cell>
          <cell r="G8166">
            <v>0</v>
          </cell>
          <cell r="H8166" t="str">
            <v>640/8</v>
          </cell>
        </row>
        <row r="8167">
          <cell r="F8167">
            <v>51.45</v>
          </cell>
          <cell r="G8167">
            <v>0</v>
          </cell>
          <cell r="H8167" t="str">
            <v>640/8</v>
          </cell>
        </row>
        <row r="8168">
          <cell r="F8168">
            <v>12.09</v>
          </cell>
          <cell r="G8168">
            <v>0</v>
          </cell>
          <cell r="H8168" t="str">
            <v>640/8</v>
          </cell>
        </row>
        <row r="8169">
          <cell r="F8169">
            <v>8.31</v>
          </cell>
          <cell r="G8169">
            <v>0</v>
          </cell>
          <cell r="H8169" t="str">
            <v>640/8</v>
          </cell>
        </row>
        <row r="8170">
          <cell r="F8170">
            <v>1.85</v>
          </cell>
          <cell r="G8170">
            <v>0</v>
          </cell>
          <cell r="H8170" t="str">
            <v>640/8</v>
          </cell>
        </row>
        <row r="8171">
          <cell r="F8171">
            <v>3.06</v>
          </cell>
          <cell r="G8171">
            <v>0</v>
          </cell>
          <cell r="H8171" t="str">
            <v>640/8</v>
          </cell>
        </row>
        <row r="8172">
          <cell r="F8172">
            <v>13.27</v>
          </cell>
          <cell r="G8172">
            <v>0</v>
          </cell>
          <cell r="H8172" t="str">
            <v>640/8</v>
          </cell>
        </row>
        <row r="8173">
          <cell r="F8173">
            <v>0.3</v>
          </cell>
          <cell r="G8173">
            <v>0</v>
          </cell>
          <cell r="H8173" t="str">
            <v>640/8</v>
          </cell>
        </row>
        <row r="8174">
          <cell r="F8174">
            <v>1.64</v>
          </cell>
          <cell r="G8174">
            <v>0</v>
          </cell>
          <cell r="H8174" t="str">
            <v>640/8</v>
          </cell>
        </row>
        <row r="8175">
          <cell r="F8175">
            <v>19.670000000000002</v>
          </cell>
          <cell r="G8175">
            <v>0</v>
          </cell>
          <cell r="H8175" t="str">
            <v>640/8</v>
          </cell>
        </row>
        <row r="8176">
          <cell r="F8176">
            <v>8.2200000000000006</v>
          </cell>
          <cell r="G8176">
            <v>0</v>
          </cell>
          <cell r="H8176" t="str">
            <v>640/8</v>
          </cell>
        </row>
        <row r="8177">
          <cell r="F8177">
            <v>14.27</v>
          </cell>
          <cell r="G8177">
            <v>0</v>
          </cell>
          <cell r="H8177" t="str">
            <v>640/8</v>
          </cell>
        </row>
        <row r="8178">
          <cell r="F8178">
            <v>8.65</v>
          </cell>
          <cell r="G8178">
            <v>0</v>
          </cell>
          <cell r="H8178" t="str">
            <v>640/8</v>
          </cell>
        </row>
        <row r="8179">
          <cell r="F8179">
            <v>7.92</v>
          </cell>
          <cell r="G8179">
            <v>0</v>
          </cell>
          <cell r="H8179" t="str">
            <v>640/8</v>
          </cell>
        </row>
        <row r="8180">
          <cell r="F8180">
            <v>1.53</v>
          </cell>
          <cell r="G8180">
            <v>0</v>
          </cell>
          <cell r="H8180" t="str">
            <v>640/8</v>
          </cell>
        </row>
        <row r="8181">
          <cell r="F8181">
            <v>10.61</v>
          </cell>
          <cell r="G8181">
            <v>0</v>
          </cell>
          <cell r="H8181" t="str">
            <v>640/8</v>
          </cell>
        </row>
        <row r="8182">
          <cell r="F8182">
            <v>10.19</v>
          </cell>
          <cell r="G8182">
            <v>0</v>
          </cell>
          <cell r="H8182" t="str">
            <v>640/8</v>
          </cell>
        </row>
        <row r="8183">
          <cell r="F8183">
            <v>0.24</v>
          </cell>
          <cell r="G8183">
            <v>0</v>
          </cell>
          <cell r="H8183" t="str">
            <v>640/8</v>
          </cell>
        </row>
        <row r="8184">
          <cell r="F8184">
            <v>1.98</v>
          </cell>
          <cell r="G8184">
            <v>0</v>
          </cell>
          <cell r="H8184" t="str">
            <v>640/8</v>
          </cell>
        </row>
        <row r="8185">
          <cell r="F8185">
            <v>4.12</v>
          </cell>
          <cell r="G8185">
            <v>0</v>
          </cell>
          <cell r="H8185" t="str">
            <v>640/8</v>
          </cell>
        </row>
        <row r="8186">
          <cell r="F8186">
            <v>31.15</v>
          </cell>
          <cell r="G8186">
            <v>0</v>
          </cell>
          <cell r="H8186" t="str">
            <v>640/8</v>
          </cell>
        </row>
        <row r="8187">
          <cell r="F8187">
            <v>2.04</v>
          </cell>
          <cell r="G8187">
            <v>0</v>
          </cell>
          <cell r="H8187" t="str">
            <v>640/8</v>
          </cell>
        </row>
        <row r="8188">
          <cell r="F8188">
            <v>4.8</v>
          </cell>
          <cell r="G8188">
            <v>0</v>
          </cell>
          <cell r="H8188" t="str">
            <v>640/8</v>
          </cell>
        </row>
        <row r="8189">
          <cell r="F8189">
            <v>11.15</v>
          </cell>
          <cell r="G8189">
            <v>0</v>
          </cell>
          <cell r="H8189" t="str">
            <v>640/8</v>
          </cell>
        </row>
        <row r="8190">
          <cell r="F8190">
            <v>27.29</v>
          </cell>
          <cell r="G8190">
            <v>0</v>
          </cell>
          <cell r="H8190" t="str">
            <v>640/8</v>
          </cell>
        </row>
        <row r="8191">
          <cell r="F8191">
            <v>5.34</v>
          </cell>
          <cell r="G8191">
            <v>0</v>
          </cell>
          <cell r="H8191" t="str">
            <v>640/8</v>
          </cell>
        </row>
        <row r="8192">
          <cell r="F8192">
            <v>2.42</v>
          </cell>
          <cell r="G8192">
            <v>0</v>
          </cell>
          <cell r="H8192" t="str">
            <v>640/8</v>
          </cell>
        </row>
        <row r="8193">
          <cell r="F8193">
            <v>13.43</v>
          </cell>
          <cell r="G8193">
            <v>0</v>
          </cell>
          <cell r="H8193" t="str">
            <v>640/8</v>
          </cell>
        </row>
        <row r="8194">
          <cell r="F8194">
            <v>3.31</v>
          </cell>
          <cell r="G8194">
            <v>0</v>
          </cell>
          <cell r="H8194" t="str">
            <v>640/8</v>
          </cell>
        </row>
        <row r="8195">
          <cell r="F8195">
            <v>20.48</v>
          </cell>
          <cell r="G8195">
            <v>0</v>
          </cell>
          <cell r="H8195" t="str">
            <v>640/8</v>
          </cell>
        </row>
        <row r="8196">
          <cell r="F8196">
            <v>10.64</v>
          </cell>
          <cell r="G8196">
            <v>0</v>
          </cell>
          <cell r="H8196" t="str">
            <v>640/8</v>
          </cell>
        </row>
        <row r="8197">
          <cell r="F8197">
            <v>20.53</v>
          </cell>
          <cell r="G8197">
            <v>0</v>
          </cell>
          <cell r="H8197" t="str">
            <v>640/8</v>
          </cell>
        </row>
        <row r="8198">
          <cell r="F8198">
            <v>1.01</v>
          </cell>
          <cell r="G8198">
            <v>0</v>
          </cell>
          <cell r="H8198" t="str">
            <v>640/8</v>
          </cell>
        </row>
        <row r="8199">
          <cell r="F8199">
            <v>16.8</v>
          </cell>
          <cell r="G8199">
            <v>0</v>
          </cell>
          <cell r="H8199" t="str">
            <v>640/8</v>
          </cell>
        </row>
        <row r="8200">
          <cell r="F8200">
            <v>0.34</v>
          </cell>
          <cell r="G8200">
            <v>0</v>
          </cell>
          <cell r="H8200" t="str">
            <v>640/8</v>
          </cell>
        </row>
        <row r="8201">
          <cell r="F8201">
            <v>6.59</v>
          </cell>
          <cell r="G8201">
            <v>0</v>
          </cell>
          <cell r="H8201" t="str">
            <v>640/8</v>
          </cell>
        </row>
        <row r="8202">
          <cell r="F8202">
            <v>2.9</v>
          </cell>
          <cell r="G8202">
            <v>0</v>
          </cell>
          <cell r="H8202" t="str">
            <v>640/8</v>
          </cell>
        </row>
        <row r="8203">
          <cell r="F8203">
            <v>26.6</v>
          </cell>
          <cell r="G8203">
            <v>0</v>
          </cell>
          <cell r="H8203" t="str">
            <v>640/8</v>
          </cell>
        </row>
        <row r="8204">
          <cell r="F8204">
            <v>5</v>
          </cell>
          <cell r="G8204">
            <v>0</v>
          </cell>
          <cell r="H8204" t="str">
            <v>640/8</v>
          </cell>
        </row>
        <row r="8205">
          <cell r="F8205">
            <v>9.61</v>
          </cell>
          <cell r="G8205">
            <v>0</v>
          </cell>
          <cell r="H8205" t="str">
            <v>640/8</v>
          </cell>
        </row>
        <row r="8206">
          <cell r="F8206">
            <v>0.77</v>
          </cell>
          <cell r="G8206">
            <v>0</v>
          </cell>
          <cell r="H8206" t="str">
            <v>640/8</v>
          </cell>
        </row>
        <row r="8207">
          <cell r="F8207">
            <v>1.27</v>
          </cell>
          <cell r="G8207">
            <v>0</v>
          </cell>
          <cell r="H8207" t="str">
            <v>640/8</v>
          </cell>
        </row>
        <row r="8208">
          <cell r="F8208">
            <v>9.5500000000000007</v>
          </cell>
          <cell r="G8208">
            <v>0</v>
          </cell>
          <cell r="H8208" t="str">
            <v>640/8</v>
          </cell>
        </row>
        <row r="8209">
          <cell r="F8209">
            <v>5.69</v>
          </cell>
          <cell r="G8209">
            <v>0</v>
          </cell>
          <cell r="H8209" t="str">
            <v>640/8</v>
          </cell>
        </row>
        <row r="8210">
          <cell r="F8210">
            <v>4.7300000000000004</v>
          </cell>
          <cell r="G8210">
            <v>0</v>
          </cell>
          <cell r="H8210" t="str">
            <v>640/8</v>
          </cell>
        </row>
        <row r="8211">
          <cell r="F8211">
            <v>2.77</v>
          </cell>
          <cell r="G8211">
            <v>0</v>
          </cell>
          <cell r="H8211" t="str">
            <v>640/8</v>
          </cell>
        </row>
        <row r="8212">
          <cell r="F8212">
            <v>8.34</v>
          </cell>
          <cell r="G8212">
            <v>0</v>
          </cell>
          <cell r="H8212" t="str">
            <v>640/8</v>
          </cell>
        </row>
        <row r="8213">
          <cell r="F8213">
            <v>2.96</v>
          </cell>
          <cell r="G8213">
            <v>0</v>
          </cell>
          <cell r="H8213" t="str">
            <v>640/8</v>
          </cell>
        </row>
        <row r="8214">
          <cell r="F8214">
            <v>6.61</v>
          </cell>
          <cell r="G8214">
            <v>0</v>
          </cell>
          <cell r="H8214" t="str">
            <v>640/8</v>
          </cell>
        </row>
        <row r="8215">
          <cell r="F8215">
            <v>0.94</v>
          </cell>
          <cell r="G8215">
            <v>0</v>
          </cell>
          <cell r="H8215" t="str">
            <v>640/8</v>
          </cell>
        </row>
        <row r="8216">
          <cell r="F8216">
            <v>3.26</v>
          </cell>
          <cell r="G8216">
            <v>0</v>
          </cell>
          <cell r="H8216" t="str">
            <v>640/8</v>
          </cell>
        </row>
        <row r="8217">
          <cell r="F8217">
            <v>10.98</v>
          </cell>
          <cell r="G8217">
            <v>0</v>
          </cell>
          <cell r="H8217" t="str">
            <v>640/8</v>
          </cell>
        </row>
        <row r="8218">
          <cell r="F8218">
            <v>1.4</v>
          </cell>
          <cell r="G8218">
            <v>0</v>
          </cell>
          <cell r="H8218" t="str">
            <v>640/8</v>
          </cell>
        </row>
        <row r="8219">
          <cell r="F8219">
            <v>1.05</v>
          </cell>
          <cell r="G8219">
            <v>0</v>
          </cell>
          <cell r="H8219" t="str">
            <v>640/8</v>
          </cell>
        </row>
        <row r="8220">
          <cell r="F8220">
            <v>15.13</v>
          </cell>
          <cell r="G8220">
            <v>0</v>
          </cell>
          <cell r="H8220" t="str">
            <v>640/8</v>
          </cell>
        </row>
        <row r="8221">
          <cell r="F8221">
            <v>1.27</v>
          </cell>
          <cell r="G8221">
            <v>0</v>
          </cell>
          <cell r="H8221" t="str">
            <v>640/8</v>
          </cell>
        </row>
        <row r="8222">
          <cell r="F8222">
            <v>0.45</v>
          </cell>
          <cell r="G8222">
            <v>0</v>
          </cell>
          <cell r="H8222" t="str">
            <v>640/8</v>
          </cell>
        </row>
        <row r="8223">
          <cell r="F8223">
            <v>51.14</v>
          </cell>
          <cell r="G8223">
            <v>0</v>
          </cell>
          <cell r="H8223" t="str">
            <v>640/8</v>
          </cell>
        </row>
        <row r="8224">
          <cell r="F8224">
            <v>1.91</v>
          </cell>
          <cell r="G8224">
            <v>0</v>
          </cell>
          <cell r="H8224" t="str">
            <v>640/8</v>
          </cell>
        </row>
        <row r="8225">
          <cell r="F8225">
            <v>3.69</v>
          </cell>
          <cell r="G8225">
            <v>0</v>
          </cell>
          <cell r="H8225" t="str">
            <v>640/8</v>
          </cell>
        </row>
        <row r="8226">
          <cell r="F8226">
            <v>2.34</v>
          </cell>
          <cell r="G8226">
            <v>0</v>
          </cell>
          <cell r="H8226" t="str">
            <v>640/8</v>
          </cell>
        </row>
        <row r="8227">
          <cell r="F8227">
            <v>12.86</v>
          </cell>
          <cell r="G8227">
            <v>0</v>
          </cell>
          <cell r="H8227" t="str">
            <v>640/8</v>
          </cell>
        </row>
        <row r="8228">
          <cell r="F8228">
            <v>2.77</v>
          </cell>
          <cell r="G8228">
            <v>0</v>
          </cell>
          <cell r="H8228" t="str">
            <v>640/8</v>
          </cell>
        </row>
        <row r="8229">
          <cell r="F8229">
            <v>8.18</v>
          </cell>
          <cell r="G8229">
            <v>0</v>
          </cell>
          <cell r="H8229" t="str">
            <v>640/8</v>
          </cell>
        </row>
        <row r="8230">
          <cell r="F8230">
            <v>1.0900000000000001</v>
          </cell>
          <cell r="G8230">
            <v>0</v>
          </cell>
          <cell r="H8230" t="str">
            <v>640/8</v>
          </cell>
        </row>
        <row r="8231">
          <cell r="F8231">
            <v>0.75</v>
          </cell>
          <cell r="G8231">
            <v>0</v>
          </cell>
          <cell r="H8231" t="str">
            <v>640/8</v>
          </cell>
        </row>
        <row r="8232">
          <cell r="F8232">
            <v>1.75</v>
          </cell>
          <cell r="G8232">
            <v>0</v>
          </cell>
          <cell r="H8232" t="str">
            <v>640/8</v>
          </cell>
        </row>
        <row r="8233">
          <cell r="F8233">
            <v>2.5499999999999998</v>
          </cell>
          <cell r="G8233">
            <v>0</v>
          </cell>
          <cell r="H8233" t="str">
            <v>640/8</v>
          </cell>
        </row>
        <row r="8234">
          <cell r="F8234">
            <v>1.1599999999999999</v>
          </cell>
          <cell r="G8234">
            <v>0</v>
          </cell>
          <cell r="H8234" t="str">
            <v>640/8</v>
          </cell>
        </row>
        <row r="8235">
          <cell r="F8235">
            <v>0.65</v>
          </cell>
          <cell r="G8235">
            <v>0</v>
          </cell>
          <cell r="H8235" t="str">
            <v>640/8</v>
          </cell>
        </row>
        <row r="8236">
          <cell r="F8236">
            <v>25.54</v>
          </cell>
          <cell r="G8236">
            <v>0</v>
          </cell>
          <cell r="H8236" t="str">
            <v>640/8</v>
          </cell>
        </row>
        <row r="8237">
          <cell r="F8237">
            <v>5.05</v>
          </cell>
          <cell r="G8237">
            <v>0</v>
          </cell>
          <cell r="H8237" t="str">
            <v>640/8</v>
          </cell>
        </row>
        <row r="8238">
          <cell r="F8238">
            <v>9.6300000000000008</v>
          </cell>
          <cell r="G8238">
            <v>0</v>
          </cell>
          <cell r="H8238" t="str">
            <v>640/8</v>
          </cell>
        </row>
        <row r="8239">
          <cell r="F8239">
            <v>6.26</v>
          </cell>
          <cell r="G8239">
            <v>0</v>
          </cell>
          <cell r="H8239" t="str">
            <v>640/8</v>
          </cell>
        </row>
        <row r="8240">
          <cell r="F8240">
            <v>1.18</v>
          </cell>
          <cell r="G8240">
            <v>0</v>
          </cell>
          <cell r="H8240" t="str">
            <v>640/8</v>
          </cell>
        </row>
        <row r="8241">
          <cell r="F8241">
            <v>7.61</v>
          </cell>
          <cell r="G8241">
            <v>0</v>
          </cell>
          <cell r="H8241" t="str">
            <v>640/8</v>
          </cell>
        </row>
        <row r="8242">
          <cell r="F8242">
            <v>0.59</v>
          </cell>
          <cell r="G8242">
            <v>0</v>
          </cell>
          <cell r="H8242" t="str">
            <v>640/8</v>
          </cell>
        </row>
        <row r="8243">
          <cell r="F8243">
            <v>1.57</v>
          </cell>
          <cell r="G8243">
            <v>0</v>
          </cell>
          <cell r="H8243" t="str">
            <v>640/8</v>
          </cell>
        </row>
        <row r="8244">
          <cell r="F8244">
            <v>0.19</v>
          </cell>
          <cell r="G8244">
            <v>0</v>
          </cell>
          <cell r="H8244" t="str">
            <v>640/8</v>
          </cell>
        </row>
        <row r="8245">
          <cell r="F8245">
            <v>0</v>
          </cell>
          <cell r="G8245">
            <v>0</v>
          </cell>
          <cell r="H8245" t="str">
            <v>640/8</v>
          </cell>
        </row>
        <row r="8246">
          <cell r="F8246">
            <v>26.65</v>
          </cell>
          <cell r="G8246">
            <v>0</v>
          </cell>
          <cell r="H8246" t="str">
            <v>640/8</v>
          </cell>
        </row>
        <row r="8247">
          <cell r="F8247">
            <v>9.06</v>
          </cell>
          <cell r="G8247">
            <v>0</v>
          </cell>
          <cell r="H8247" t="str">
            <v>640/8</v>
          </cell>
        </row>
        <row r="8248">
          <cell r="F8248">
            <v>2.35</v>
          </cell>
          <cell r="G8248">
            <v>0</v>
          </cell>
          <cell r="H8248" t="str">
            <v>640/8</v>
          </cell>
        </row>
        <row r="8249">
          <cell r="F8249">
            <v>1.01</v>
          </cell>
          <cell r="G8249">
            <v>0</v>
          </cell>
          <cell r="H8249" t="str">
            <v>640/8</v>
          </cell>
        </row>
        <row r="8250">
          <cell r="F8250">
            <v>7.8</v>
          </cell>
          <cell r="G8250">
            <v>0</v>
          </cell>
          <cell r="H8250" t="str">
            <v>640/8</v>
          </cell>
        </row>
        <row r="8251">
          <cell r="F8251">
            <v>2.19</v>
          </cell>
          <cell r="G8251">
            <v>0</v>
          </cell>
          <cell r="H8251" t="str">
            <v>640/8</v>
          </cell>
        </row>
        <row r="8252">
          <cell r="F8252">
            <v>8.07</v>
          </cell>
          <cell r="G8252">
            <v>0</v>
          </cell>
          <cell r="H8252" t="str">
            <v>640/8</v>
          </cell>
        </row>
        <row r="8253">
          <cell r="F8253">
            <v>10.28</v>
          </cell>
          <cell r="G8253">
            <v>0</v>
          </cell>
          <cell r="H8253" t="str">
            <v>640/8</v>
          </cell>
        </row>
        <row r="8254">
          <cell r="F8254">
            <v>2.89</v>
          </cell>
          <cell r="G8254">
            <v>0</v>
          </cell>
          <cell r="H8254" t="str">
            <v>640/8</v>
          </cell>
        </row>
        <row r="8255">
          <cell r="F8255">
            <v>0.67</v>
          </cell>
          <cell r="G8255">
            <v>0</v>
          </cell>
          <cell r="H8255" t="str">
            <v>640/8</v>
          </cell>
        </row>
        <row r="8256">
          <cell r="F8256">
            <v>3.41</v>
          </cell>
          <cell r="G8256">
            <v>0</v>
          </cell>
          <cell r="H8256" t="str">
            <v>640/8</v>
          </cell>
        </row>
        <row r="8257">
          <cell r="F8257">
            <v>13.55</v>
          </cell>
          <cell r="G8257">
            <v>0</v>
          </cell>
          <cell r="H8257" t="str">
            <v>640/8</v>
          </cell>
        </row>
        <row r="8258">
          <cell r="F8258">
            <v>1.17</v>
          </cell>
          <cell r="G8258">
            <v>0</v>
          </cell>
          <cell r="H8258" t="str">
            <v>640/8</v>
          </cell>
        </row>
        <row r="8259">
          <cell r="F8259">
            <v>3.57</v>
          </cell>
          <cell r="G8259">
            <v>0</v>
          </cell>
          <cell r="H8259" t="str">
            <v>640/8</v>
          </cell>
        </row>
        <row r="8260">
          <cell r="F8260">
            <v>2.16</v>
          </cell>
          <cell r="G8260">
            <v>0</v>
          </cell>
          <cell r="H8260" t="str">
            <v>640/8</v>
          </cell>
        </row>
        <row r="8261">
          <cell r="F8261">
            <v>0.93</v>
          </cell>
          <cell r="G8261">
            <v>0</v>
          </cell>
          <cell r="H8261" t="str">
            <v>640/8</v>
          </cell>
        </row>
        <row r="8262">
          <cell r="F8262">
            <v>0.86</v>
          </cell>
          <cell r="G8262">
            <v>0</v>
          </cell>
          <cell r="H8262" t="str">
            <v>640/8</v>
          </cell>
        </row>
        <row r="8263">
          <cell r="F8263">
            <v>31.77</v>
          </cell>
          <cell r="G8263">
            <v>0</v>
          </cell>
          <cell r="H8263" t="str">
            <v>640/8</v>
          </cell>
        </row>
        <row r="8264">
          <cell r="F8264">
            <v>26.96</v>
          </cell>
          <cell r="G8264">
            <v>0</v>
          </cell>
          <cell r="H8264" t="str">
            <v>640/8</v>
          </cell>
        </row>
        <row r="8265">
          <cell r="F8265">
            <v>9.6999999999999993</v>
          </cell>
          <cell r="G8265">
            <v>0</v>
          </cell>
          <cell r="H8265" t="str">
            <v>640/8</v>
          </cell>
        </row>
        <row r="8266">
          <cell r="F8266">
            <v>9.25</v>
          </cell>
          <cell r="G8266">
            <v>0</v>
          </cell>
          <cell r="H8266" t="str">
            <v>640/8</v>
          </cell>
        </row>
        <row r="8267">
          <cell r="F8267">
            <v>21.16</v>
          </cell>
          <cell r="G8267">
            <v>0</v>
          </cell>
          <cell r="H8267" t="str">
            <v>640/8</v>
          </cell>
        </row>
        <row r="8268">
          <cell r="F8268">
            <v>3.5</v>
          </cell>
          <cell r="G8268">
            <v>0</v>
          </cell>
          <cell r="H8268" t="str">
            <v>640/8</v>
          </cell>
        </row>
        <row r="8269">
          <cell r="F8269">
            <v>0.8</v>
          </cell>
          <cell r="G8269">
            <v>0</v>
          </cell>
          <cell r="H8269" t="str">
            <v>640/8</v>
          </cell>
        </row>
        <row r="8270">
          <cell r="F8270">
            <v>1.39</v>
          </cell>
          <cell r="G8270">
            <v>0</v>
          </cell>
          <cell r="H8270" t="str">
            <v>640/8</v>
          </cell>
        </row>
        <row r="8271">
          <cell r="F8271">
            <v>7.7</v>
          </cell>
          <cell r="G8271">
            <v>0</v>
          </cell>
          <cell r="H8271" t="str">
            <v>640/8</v>
          </cell>
        </row>
        <row r="8272">
          <cell r="F8272">
            <v>11.65</v>
          </cell>
          <cell r="G8272">
            <v>0</v>
          </cell>
          <cell r="H8272" t="str">
            <v>640/8</v>
          </cell>
        </row>
        <row r="8273">
          <cell r="F8273">
            <v>1.83</v>
          </cell>
          <cell r="G8273">
            <v>0</v>
          </cell>
          <cell r="H8273" t="str">
            <v>640/8</v>
          </cell>
        </row>
        <row r="8274">
          <cell r="F8274">
            <v>7.38</v>
          </cell>
          <cell r="G8274">
            <v>0</v>
          </cell>
          <cell r="H8274" t="str">
            <v>640/8</v>
          </cell>
        </row>
        <row r="8275">
          <cell r="F8275">
            <v>7.38</v>
          </cell>
          <cell r="G8275">
            <v>0</v>
          </cell>
          <cell r="H8275" t="str">
            <v>640/8</v>
          </cell>
        </row>
        <row r="8276">
          <cell r="F8276">
            <v>7.05</v>
          </cell>
          <cell r="G8276">
            <v>0</v>
          </cell>
          <cell r="H8276" t="str">
            <v>640/8</v>
          </cell>
        </row>
        <row r="8277">
          <cell r="F8277">
            <v>39.21</v>
          </cell>
          <cell r="G8277">
            <v>0</v>
          </cell>
          <cell r="H8277" t="str">
            <v>640/8</v>
          </cell>
        </row>
        <row r="8278">
          <cell r="F8278">
            <v>7.89</v>
          </cell>
          <cell r="G8278">
            <v>0</v>
          </cell>
          <cell r="H8278" t="str">
            <v>640/8</v>
          </cell>
        </row>
        <row r="8279">
          <cell r="F8279">
            <v>4.24</v>
          </cell>
          <cell r="G8279">
            <v>0</v>
          </cell>
          <cell r="H8279" t="str">
            <v>640/8</v>
          </cell>
        </row>
        <row r="8280">
          <cell r="F8280">
            <v>1.93</v>
          </cell>
          <cell r="G8280">
            <v>0</v>
          </cell>
          <cell r="H8280" t="str">
            <v>640/8</v>
          </cell>
        </row>
        <row r="8281">
          <cell r="F8281">
            <v>5.29</v>
          </cell>
          <cell r="G8281">
            <v>0</v>
          </cell>
          <cell r="H8281" t="str">
            <v>640/8</v>
          </cell>
        </row>
        <row r="8282">
          <cell r="F8282">
            <v>2.2999999999999998</v>
          </cell>
          <cell r="G8282">
            <v>0</v>
          </cell>
          <cell r="H8282" t="str">
            <v>640/8</v>
          </cell>
        </row>
        <row r="8283">
          <cell r="F8283">
            <v>1.05</v>
          </cell>
          <cell r="G8283">
            <v>0</v>
          </cell>
          <cell r="H8283" t="str">
            <v>640/8</v>
          </cell>
        </row>
        <row r="8284">
          <cell r="F8284">
            <v>0.11</v>
          </cell>
          <cell r="G8284">
            <v>0</v>
          </cell>
          <cell r="H8284" t="str">
            <v>640/8</v>
          </cell>
        </row>
        <row r="8285">
          <cell r="F8285">
            <v>4.5199999999999996</v>
          </cell>
          <cell r="G8285">
            <v>0</v>
          </cell>
          <cell r="H8285" t="str">
            <v>640/8</v>
          </cell>
        </row>
        <row r="8286">
          <cell r="F8286">
            <v>7.05</v>
          </cell>
          <cell r="G8286">
            <v>0</v>
          </cell>
          <cell r="H8286" t="str">
            <v>640/8</v>
          </cell>
        </row>
        <row r="8287">
          <cell r="F8287">
            <v>32.380000000000003</v>
          </cell>
          <cell r="G8287">
            <v>0</v>
          </cell>
          <cell r="H8287" t="str">
            <v>640/8</v>
          </cell>
        </row>
        <row r="8288">
          <cell r="F8288">
            <v>3.96</v>
          </cell>
          <cell r="G8288">
            <v>0</v>
          </cell>
          <cell r="H8288" t="str">
            <v>640/8</v>
          </cell>
        </row>
        <row r="8289">
          <cell r="F8289">
            <v>5.23</v>
          </cell>
          <cell r="G8289">
            <v>0</v>
          </cell>
          <cell r="H8289" t="str">
            <v>640/8</v>
          </cell>
        </row>
        <row r="8290">
          <cell r="F8290">
            <v>5.24</v>
          </cell>
          <cell r="G8290">
            <v>0</v>
          </cell>
          <cell r="H8290" t="str">
            <v>640/8</v>
          </cell>
        </row>
        <row r="8291">
          <cell r="F8291">
            <v>5.47</v>
          </cell>
          <cell r="G8291">
            <v>0</v>
          </cell>
          <cell r="H8291" t="str">
            <v>640/8</v>
          </cell>
        </row>
        <row r="8292">
          <cell r="F8292">
            <v>9.2100000000000009</v>
          </cell>
          <cell r="G8292">
            <v>0</v>
          </cell>
          <cell r="H8292" t="str">
            <v>640/8</v>
          </cell>
        </row>
        <row r="8293">
          <cell r="F8293">
            <v>10.46</v>
          </cell>
          <cell r="G8293">
            <v>0</v>
          </cell>
          <cell r="H8293" t="str">
            <v>640/8</v>
          </cell>
        </row>
        <row r="8294">
          <cell r="F8294">
            <v>0.61</v>
          </cell>
          <cell r="G8294">
            <v>0</v>
          </cell>
          <cell r="H8294" t="str">
            <v>640/8</v>
          </cell>
        </row>
        <row r="8295">
          <cell r="F8295">
            <v>0.82</v>
          </cell>
          <cell r="G8295">
            <v>0</v>
          </cell>
          <cell r="H8295" t="str">
            <v>640/8</v>
          </cell>
        </row>
        <row r="8296">
          <cell r="F8296">
            <v>9</v>
          </cell>
          <cell r="G8296">
            <v>0</v>
          </cell>
          <cell r="H8296" t="str">
            <v>640/8</v>
          </cell>
        </row>
        <row r="8297">
          <cell r="F8297">
            <v>0.19</v>
          </cell>
          <cell r="G8297">
            <v>0</v>
          </cell>
          <cell r="H8297" t="str">
            <v>640/8</v>
          </cell>
        </row>
        <row r="8298">
          <cell r="F8298">
            <v>17.149999999999999</v>
          </cell>
          <cell r="G8298">
            <v>0</v>
          </cell>
          <cell r="H8298" t="str">
            <v>640/8</v>
          </cell>
        </row>
        <row r="8299">
          <cell r="F8299">
            <v>3</v>
          </cell>
          <cell r="G8299">
            <v>0</v>
          </cell>
          <cell r="H8299" t="str">
            <v>640/8</v>
          </cell>
        </row>
        <row r="8300">
          <cell r="F8300">
            <v>1.66</v>
          </cell>
          <cell r="G8300">
            <v>0</v>
          </cell>
          <cell r="H8300" t="str">
            <v>640/8</v>
          </cell>
        </row>
        <row r="8301">
          <cell r="F8301">
            <v>5.28</v>
          </cell>
          <cell r="G8301">
            <v>0</v>
          </cell>
          <cell r="H8301" t="str">
            <v>640/8</v>
          </cell>
        </row>
        <row r="8302">
          <cell r="F8302">
            <v>30.11</v>
          </cell>
          <cell r="G8302">
            <v>0</v>
          </cell>
          <cell r="H8302" t="str">
            <v>640/8</v>
          </cell>
        </row>
        <row r="8303">
          <cell r="F8303">
            <v>1.9</v>
          </cell>
          <cell r="G8303">
            <v>0</v>
          </cell>
          <cell r="H8303" t="str">
            <v>640/8</v>
          </cell>
        </row>
        <row r="8304">
          <cell r="F8304">
            <v>8.06</v>
          </cell>
          <cell r="G8304">
            <v>0</v>
          </cell>
          <cell r="H8304" t="str">
            <v>640/8</v>
          </cell>
        </row>
        <row r="8305">
          <cell r="F8305">
            <v>2.34</v>
          </cell>
          <cell r="G8305">
            <v>0</v>
          </cell>
          <cell r="H8305" t="str">
            <v>640/8</v>
          </cell>
        </row>
        <row r="8306">
          <cell r="F8306">
            <v>13.51</v>
          </cell>
          <cell r="G8306">
            <v>0</v>
          </cell>
          <cell r="H8306" t="str">
            <v>640/8</v>
          </cell>
        </row>
        <row r="8307">
          <cell r="F8307">
            <v>1.18</v>
          </cell>
          <cell r="G8307">
            <v>0</v>
          </cell>
          <cell r="H8307" t="str">
            <v>640/8</v>
          </cell>
        </row>
        <row r="8308">
          <cell r="F8308">
            <v>10.06</v>
          </cell>
          <cell r="G8308">
            <v>0</v>
          </cell>
          <cell r="H8308" t="str">
            <v>640/8</v>
          </cell>
        </row>
        <row r="8309">
          <cell r="F8309">
            <v>26.09</v>
          </cell>
          <cell r="G8309">
            <v>0</v>
          </cell>
          <cell r="H8309" t="str">
            <v>640/8</v>
          </cell>
        </row>
        <row r="8310">
          <cell r="F8310">
            <v>2.4300000000000002</v>
          </cell>
          <cell r="G8310">
            <v>0</v>
          </cell>
          <cell r="H8310" t="str">
            <v>640/8</v>
          </cell>
        </row>
        <row r="8311">
          <cell r="F8311">
            <v>9.6199999999999992</v>
          </cell>
          <cell r="G8311">
            <v>0</v>
          </cell>
          <cell r="H8311" t="str">
            <v>640/8</v>
          </cell>
        </row>
        <row r="8312">
          <cell r="F8312">
            <v>12.9</v>
          </cell>
          <cell r="G8312">
            <v>0</v>
          </cell>
          <cell r="H8312" t="str">
            <v>640/8</v>
          </cell>
        </row>
        <row r="8313">
          <cell r="F8313">
            <v>12.77</v>
          </cell>
          <cell r="G8313">
            <v>0</v>
          </cell>
          <cell r="H8313" t="str">
            <v>640/8</v>
          </cell>
        </row>
        <row r="8314">
          <cell r="F8314">
            <v>9.76</v>
          </cell>
          <cell r="G8314">
            <v>0</v>
          </cell>
          <cell r="H8314" t="str">
            <v>640/8</v>
          </cell>
        </row>
        <row r="8315">
          <cell r="F8315">
            <v>2.34</v>
          </cell>
          <cell r="G8315">
            <v>0</v>
          </cell>
          <cell r="H8315" t="str">
            <v>640/8</v>
          </cell>
        </row>
        <row r="8316">
          <cell r="F8316">
            <v>0.75</v>
          </cell>
          <cell r="G8316">
            <v>0</v>
          </cell>
          <cell r="H8316" t="str">
            <v>640/8</v>
          </cell>
        </row>
        <row r="8317">
          <cell r="F8317">
            <v>1.05</v>
          </cell>
          <cell r="G8317">
            <v>0</v>
          </cell>
          <cell r="H8317" t="str">
            <v>640/8</v>
          </cell>
        </row>
        <row r="8318">
          <cell r="F8318">
            <v>178.61</v>
          </cell>
          <cell r="G8318">
            <v>0</v>
          </cell>
          <cell r="H8318" t="str">
            <v>640/8</v>
          </cell>
        </row>
        <row r="8319">
          <cell r="F8319">
            <v>-178.61</v>
          </cell>
          <cell r="G8319">
            <v>0</v>
          </cell>
          <cell r="H8319" t="str">
            <v>640/8</v>
          </cell>
        </row>
        <row r="8320">
          <cell r="F8320">
            <v>7139.82</v>
          </cell>
          <cell r="G8320">
            <v>0</v>
          </cell>
          <cell r="H8320" t="str">
            <v>640/8</v>
          </cell>
        </row>
        <row r="8321">
          <cell r="F8321">
            <v>1377.9</v>
          </cell>
          <cell r="G8321">
            <v>0</v>
          </cell>
          <cell r="H8321" t="str">
            <v>640/8</v>
          </cell>
        </row>
        <row r="8322">
          <cell r="F8322">
            <v>3167.68</v>
          </cell>
          <cell r="G8322">
            <v>0</v>
          </cell>
          <cell r="H8322" t="str">
            <v>640/8</v>
          </cell>
        </row>
        <row r="8323">
          <cell r="F8323">
            <v>2988.87</v>
          </cell>
          <cell r="G8323">
            <v>0</v>
          </cell>
          <cell r="H8323" t="str">
            <v>640/8</v>
          </cell>
        </row>
        <row r="8324">
          <cell r="F8324">
            <v>40</v>
          </cell>
          <cell r="G8324">
            <v>0</v>
          </cell>
          <cell r="H8324" t="str">
            <v>640/8</v>
          </cell>
        </row>
        <row r="8325">
          <cell r="F8325">
            <v>328</v>
          </cell>
          <cell r="G8325">
            <v>0</v>
          </cell>
          <cell r="H8325" t="str">
            <v>640/8</v>
          </cell>
        </row>
        <row r="8326">
          <cell r="F8326">
            <v>175</v>
          </cell>
          <cell r="G8326">
            <v>0</v>
          </cell>
          <cell r="H8326" t="str">
            <v>640/8</v>
          </cell>
        </row>
        <row r="8327">
          <cell r="F8327">
            <v>166.96</v>
          </cell>
          <cell r="G8327">
            <v>0</v>
          </cell>
          <cell r="H8327" t="str">
            <v>640/8</v>
          </cell>
        </row>
        <row r="8328">
          <cell r="F8328">
            <v>2814.24</v>
          </cell>
          <cell r="G8328">
            <v>0</v>
          </cell>
          <cell r="H8328" t="str">
            <v>640/8</v>
          </cell>
        </row>
        <row r="8329">
          <cell r="F8329">
            <v>18.38</v>
          </cell>
          <cell r="G8329">
            <v>0</v>
          </cell>
          <cell r="H8329" t="str">
            <v>640/8</v>
          </cell>
        </row>
        <row r="8330">
          <cell r="F8330">
            <v>1321.51</v>
          </cell>
          <cell r="G8330">
            <v>0</v>
          </cell>
          <cell r="H8330" t="str">
            <v>640/8</v>
          </cell>
        </row>
        <row r="8331">
          <cell r="F8331">
            <v>8.65</v>
          </cell>
          <cell r="G8331">
            <v>0</v>
          </cell>
          <cell r="H8331" t="str">
            <v>640/8</v>
          </cell>
        </row>
        <row r="8332">
          <cell r="F8332">
            <v>944.9</v>
          </cell>
          <cell r="G8332">
            <v>0</v>
          </cell>
          <cell r="H8332" t="str">
            <v>640/8</v>
          </cell>
        </row>
        <row r="8333">
          <cell r="F8333">
            <v>5.95</v>
          </cell>
          <cell r="G8333">
            <v>0</v>
          </cell>
          <cell r="H8333" t="str">
            <v>640/8</v>
          </cell>
        </row>
        <row r="8334">
          <cell r="F8334">
            <v>601.92999999999995</v>
          </cell>
          <cell r="G8334">
            <v>0</v>
          </cell>
          <cell r="H8334" t="str">
            <v>640/8</v>
          </cell>
        </row>
        <row r="8335">
          <cell r="F8335">
            <v>419.84</v>
          </cell>
          <cell r="G8335">
            <v>0</v>
          </cell>
          <cell r="H8335" t="str">
            <v>640/8</v>
          </cell>
        </row>
        <row r="8336">
          <cell r="F8336">
            <v>1800</v>
          </cell>
          <cell r="G8336">
            <v>0</v>
          </cell>
          <cell r="H8336" t="str">
            <v>640/8</v>
          </cell>
        </row>
        <row r="8337">
          <cell r="F8337">
            <v>6242.5</v>
          </cell>
          <cell r="G8337">
            <v>0</v>
          </cell>
          <cell r="H8337" t="str">
            <v>640/8</v>
          </cell>
        </row>
        <row r="8338">
          <cell r="F8338">
            <v>4200</v>
          </cell>
          <cell r="G8338">
            <v>0</v>
          </cell>
          <cell r="H8338" t="str">
            <v>640/8</v>
          </cell>
        </row>
        <row r="8339">
          <cell r="F8339">
            <v>12132</v>
          </cell>
          <cell r="G8339">
            <v>0</v>
          </cell>
          <cell r="H8339" t="str">
            <v>640/8</v>
          </cell>
        </row>
        <row r="8340">
          <cell r="F8340">
            <v>243.82</v>
          </cell>
          <cell r="G8340">
            <v>0</v>
          </cell>
          <cell r="H8340" t="str">
            <v>640/8</v>
          </cell>
        </row>
        <row r="8341">
          <cell r="F8341">
            <v>1694</v>
          </cell>
          <cell r="G8341">
            <v>0</v>
          </cell>
          <cell r="H8341" t="str">
            <v>640/8</v>
          </cell>
        </row>
        <row r="8342">
          <cell r="F8342">
            <v>54</v>
          </cell>
          <cell r="G8342">
            <v>0</v>
          </cell>
          <cell r="H8342" t="str">
            <v>640/8</v>
          </cell>
        </row>
        <row r="8343">
          <cell r="F8343">
            <v>0</v>
          </cell>
          <cell r="G8343">
            <v>0</v>
          </cell>
          <cell r="H8343" t="str">
            <v>640/8</v>
          </cell>
        </row>
        <row r="8344">
          <cell r="F8344">
            <v>100</v>
          </cell>
          <cell r="G8344">
            <v>0</v>
          </cell>
          <cell r="H8344" t="str">
            <v>640/8</v>
          </cell>
        </row>
        <row r="8345">
          <cell r="F8345">
            <v>41.88</v>
          </cell>
          <cell r="G8345">
            <v>0</v>
          </cell>
          <cell r="H8345" t="str">
            <v>640/8</v>
          </cell>
        </row>
        <row r="8346">
          <cell r="F8346">
            <v>1144.3</v>
          </cell>
          <cell r="G8346">
            <v>0</v>
          </cell>
          <cell r="H8346" t="str">
            <v>640/8</v>
          </cell>
        </row>
        <row r="8347">
          <cell r="F8347">
            <v>-15.95</v>
          </cell>
          <cell r="G8347">
            <v>0</v>
          </cell>
          <cell r="H8347" t="str">
            <v>640/8</v>
          </cell>
        </row>
        <row r="8348">
          <cell r="F8348">
            <v>0.02</v>
          </cell>
          <cell r="G8348">
            <v>0</v>
          </cell>
          <cell r="H8348" t="str">
            <v>640/8</v>
          </cell>
        </row>
        <row r="8349">
          <cell r="F8349">
            <v>-217.62</v>
          </cell>
          <cell r="G8349">
            <v>0</v>
          </cell>
          <cell r="H8349" t="str">
            <v>640/8</v>
          </cell>
        </row>
        <row r="8350">
          <cell r="F8350">
            <v>-311.13</v>
          </cell>
          <cell r="G8350">
            <v>0</v>
          </cell>
          <cell r="H8350" t="str">
            <v>640/8</v>
          </cell>
        </row>
        <row r="8351">
          <cell r="F8351">
            <v>99</v>
          </cell>
          <cell r="G8351">
            <v>0</v>
          </cell>
          <cell r="H8351" t="str">
            <v>640/8</v>
          </cell>
        </row>
        <row r="8352">
          <cell r="F8352">
            <v>0.03</v>
          </cell>
          <cell r="G8352">
            <v>0</v>
          </cell>
          <cell r="H8352" t="str">
            <v>640/8</v>
          </cell>
        </row>
        <row r="8353">
          <cell r="F8353">
            <v>0.02</v>
          </cell>
          <cell r="G8353">
            <v>0</v>
          </cell>
          <cell r="H8353" t="str">
            <v>640/8</v>
          </cell>
        </row>
        <row r="8354">
          <cell r="F8354">
            <v>0</v>
          </cell>
          <cell r="G8354">
            <v>0</v>
          </cell>
          <cell r="H8354" t="str">
            <v>640/8</v>
          </cell>
        </row>
        <row r="8355">
          <cell r="F8355">
            <v>557.09</v>
          </cell>
          <cell r="G8355">
            <v>0</v>
          </cell>
          <cell r="H8355" t="str">
            <v>640/8</v>
          </cell>
        </row>
        <row r="8356">
          <cell r="F8356">
            <v>944</v>
          </cell>
          <cell r="G8356">
            <v>0</v>
          </cell>
          <cell r="H8356" t="str">
            <v>640/8</v>
          </cell>
        </row>
        <row r="8357">
          <cell r="F8357">
            <v>-2986.73</v>
          </cell>
          <cell r="G8357">
            <v>0</v>
          </cell>
          <cell r="H8357" t="str">
            <v>640/8</v>
          </cell>
        </row>
        <row r="8358">
          <cell r="F8358">
            <v>-537.01</v>
          </cell>
          <cell r="G8358">
            <v>0</v>
          </cell>
          <cell r="H8358" t="str">
            <v>640/8</v>
          </cell>
        </row>
        <row r="8359">
          <cell r="F8359">
            <v>204.57</v>
          </cell>
          <cell r="G8359">
            <v>0</v>
          </cell>
          <cell r="H8359" t="str">
            <v>640/8</v>
          </cell>
        </row>
        <row r="8360">
          <cell r="F8360">
            <v>28</v>
          </cell>
          <cell r="G8360">
            <v>0</v>
          </cell>
          <cell r="H8360" t="str">
            <v>640/8</v>
          </cell>
        </row>
        <row r="8361">
          <cell r="F8361">
            <v>0.03</v>
          </cell>
          <cell r="G8361">
            <v>0</v>
          </cell>
          <cell r="H8361" t="str">
            <v>640/8</v>
          </cell>
        </row>
        <row r="8362">
          <cell r="F8362">
            <v>-6.91</v>
          </cell>
          <cell r="G8362">
            <v>0</v>
          </cell>
          <cell r="H8362" t="str">
            <v>640/8</v>
          </cell>
        </row>
        <row r="8363">
          <cell r="F8363">
            <v>1.81</v>
          </cell>
          <cell r="G8363">
            <v>0</v>
          </cell>
          <cell r="H8363" t="str">
            <v>640/8</v>
          </cell>
        </row>
        <row r="8364">
          <cell r="F8364">
            <v>-0.08</v>
          </cell>
          <cell r="G8364">
            <v>0</v>
          </cell>
          <cell r="H8364" t="str">
            <v>640/8</v>
          </cell>
        </row>
        <row r="8365">
          <cell r="F8365">
            <v>0</v>
          </cell>
          <cell r="G8365">
            <v>0</v>
          </cell>
          <cell r="H8365" t="str">
            <v>640/8</v>
          </cell>
        </row>
        <row r="8366">
          <cell r="F8366">
            <v>16.329999999999998</v>
          </cell>
          <cell r="G8366">
            <v>0</v>
          </cell>
          <cell r="H8366" t="str">
            <v>640/8</v>
          </cell>
        </row>
        <row r="8367">
          <cell r="F8367">
            <v>27.87</v>
          </cell>
          <cell r="G8367">
            <v>0</v>
          </cell>
          <cell r="H8367" t="str">
            <v>640/8</v>
          </cell>
        </row>
        <row r="8368">
          <cell r="F8368">
            <v>46.84</v>
          </cell>
          <cell r="G8368">
            <v>0</v>
          </cell>
          <cell r="H8368" t="str">
            <v>640/8</v>
          </cell>
        </row>
        <row r="8369">
          <cell r="F8369">
            <v>27.79</v>
          </cell>
          <cell r="G8369">
            <v>0</v>
          </cell>
          <cell r="H8369" t="str">
            <v>640/8</v>
          </cell>
        </row>
        <row r="8370">
          <cell r="F8370">
            <v>0</v>
          </cell>
          <cell r="G8370">
            <v>0</v>
          </cell>
          <cell r="H8370" t="str">
            <v>640/8</v>
          </cell>
        </row>
        <row r="8371">
          <cell r="F8371">
            <v>0.31</v>
          </cell>
          <cell r="G8371">
            <v>0</v>
          </cell>
          <cell r="H8371" t="str">
            <v>640/8</v>
          </cell>
        </row>
        <row r="8372">
          <cell r="F8372">
            <v>32.659999999999997</v>
          </cell>
          <cell r="G8372">
            <v>0</v>
          </cell>
          <cell r="H8372" t="str">
            <v>640/8</v>
          </cell>
        </row>
        <row r="8373">
          <cell r="F8373">
            <v>11.46</v>
          </cell>
          <cell r="G8373">
            <v>0</v>
          </cell>
          <cell r="H8373" t="str">
            <v>640/8</v>
          </cell>
        </row>
        <row r="8374">
          <cell r="F8374">
            <v>189.54</v>
          </cell>
          <cell r="G8374">
            <v>0</v>
          </cell>
          <cell r="H8374" t="str">
            <v>640/8</v>
          </cell>
        </row>
        <row r="8375">
          <cell r="F8375">
            <v>23.63</v>
          </cell>
          <cell r="G8375">
            <v>0</v>
          </cell>
          <cell r="H8375" t="str">
            <v>640/8</v>
          </cell>
        </row>
        <row r="8376">
          <cell r="F8376">
            <v>92.54</v>
          </cell>
          <cell r="G8376">
            <v>0</v>
          </cell>
          <cell r="H8376" t="str">
            <v>640/8</v>
          </cell>
        </row>
        <row r="8377">
          <cell r="F8377">
            <v>37.799999999999997</v>
          </cell>
          <cell r="G8377">
            <v>0</v>
          </cell>
          <cell r="H8377" t="str">
            <v>640/8</v>
          </cell>
        </row>
        <row r="8378">
          <cell r="F8378">
            <v>9.19</v>
          </cell>
          <cell r="G8378">
            <v>0</v>
          </cell>
          <cell r="H8378" t="str">
            <v>640/8</v>
          </cell>
        </row>
        <row r="8379">
          <cell r="F8379">
            <v>0</v>
          </cell>
          <cell r="G8379">
            <v>0</v>
          </cell>
          <cell r="H8379" t="str">
            <v>640/8</v>
          </cell>
        </row>
        <row r="8380">
          <cell r="F8380">
            <v>0</v>
          </cell>
          <cell r="G8380">
            <v>0</v>
          </cell>
          <cell r="H8380" t="str">
            <v>640/8</v>
          </cell>
        </row>
        <row r="8381">
          <cell r="F8381">
            <v>15.37</v>
          </cell>
          <cell r="G8381">
            <v>0</v>
          </cell>
          <cell r="H8381" t="str">
            <v>640/8</v>
          </cell>
        </row>
        <row r="8382">
          <cell r="F8382">
            <v>0</v>
          </cell>
          <cell r="G8382">
            <v>0</v>
          </cell>
          <cell r="H8382" t="str">
            <v>640/8</v>
          </cell>
        </row>
        <row r="8383">
          <cell r="F8383">
            <v>42.68</v>
          </cell>
          <cell r="G8383">
            <v>0</v>
          </cell>
          <cell r="H8383" t="str">
            <v>640/8</v>
          </cell>
        </row>
        <row r="8384">
          <cell r="F8384">
            <v>0.41</v>
          </cell>
          <cell r="G8384">
            <v>0</v>
          </cell>
          <cell r="H8384" t="str">
            <v>640/8</v>
          </cell>
        </row>
        <row r="8385">
          <cell r="F8385">
            <v>3</v>
          </cell>
          <cell r="G8385">
            <v>0</v>
          </cell>
          <cell r="H8385" t="str">
            <v>640/8</v>
          </cell>
        </row>
        <row r="8386">
          <cell r="F8386">
            <v>0.5</v>
          </cell>
          <cell r="G8386">
            <v>0</v>
          </cell>
          <cell r="H8386" t="str">
            <v>640/8</v>
          </cell>
        </row>
        <row r="8387">
          <cell r="F8387">
            <v>40.47</v>
          </cell>
          <cell r="G8387">
            <v>0</v>
          </cell>
          <cell r="H8387" t="str">
            <v>640/8</v>
          </cell>
        </row>
        <row r="8388">
          <cell r="F8388">
            <v>98.8</v>
          </cell>
          <cell r="G8388">
            <v>0</v>
          </cell>
          <cell r="H8388" t="str">
            <v>640/8</v>
          </cell>
        </row>
        <row r="8389">
          <cell r="F8389">
            <v>3.71</v>
          </cell>
          <cell r="G8389">
            <v>0</v>
          </cell>
          <cell r="H8389" t="str">
            <v>640/8</v>
          </cell>
        </row>
        <row r="8390">
          <cell r="F8390">
            <v>3.6</v>
          </cell>
          <cell r="G8390">
            <v>0</v>
          </cell>
          <cell r="H8390" t="str">
            <v>640/8</v>
          </cell>
        </row>
        <row r="8391">
          <cell r="F8391">
            <v>158.07</v>
          </cell>
          <cell r="G8391">
            <v>0</v>
          </cell>
          <cell r="H8391" t="str">
            <v>640/8</v>
          </cell>
        </row>
        <row r="8392">
          <cell r="F8392">
            <v>2.62</v>
          </cell>
          <cell r="G8392">
            <v>0</v>
          </cell>
          <cell r="H8392" t="str">
            <v>640/8</v>
          </cell>
        </row>
        <row r="8393">
          <cell r="F8393">
            <v>25</v>
          </cell>
          <cell r="G8393">
            <v>0</v>
          </cell>
          <cell r="H8393" t="str">
            <v>640/8</v>
          </cell>
        </row>
        <row r="8394">
          <cell r="F8394">
            <v>-2.5</v>
          </cell>
          <cell r="G8394">
            <v>0</v>
          </cell>
          <cell r="H8394" t="str">
            <v>640/8</v>
          </cell>
        </row>
        <row r="8395">
          <cell r="F8395">
            <v>50.01</v>
          </cell>
          <cell r="G8395">
            <v>0</v>
          </cell>
          <cell r="H8395" t="str">
            <v>640/8</v>
          </cell>
        </row>
        <row r="8396">
          <cell r="F8396">
            <v>6.36</v>
          </cell>
          <cell r="G8396">
            <v>0</v>
          </cell>
          <cell r="H8396" t="str">
            <v>640/8</v>
          </cell>
        </row>
        <row r="8397">
          <cell r="F8397">
            <v>0</v>
          </cell>
          <cell r="G8397">
            <v>0</v>
          </cell>
          <cell r="H8397" t="str">
            <v>640/8</v>
          </cell>
        </row>
        <row r="8398">
          <cell r="F8398">
            <v>0.5</v>
          </cell>
          <cell r="G8398">
            <v>0</v>
          </cell>
          <cell r="H8398" t="str">
            <v>640/8</v>
          </cell>
        </row>
        <row r="8399">
          <cell r="F8399">
            <v>0</v>
          </cell>
          <cell r="G8399">
            <v>0</v>
          </cell>
          <cell r="H8399" t="str">
            <v>640/8</v>
          </cell>
        </row>
        <row r="8400">
          <cell r="F8400">
            <v>0.01</v>
          </cell>
          <cell r="G8400">
            <v>0</v>
          </cell>
          <cell r="H8400" t="str">
            <v>640/8</v>
          </cell>
        </row>
        <row r="8401">
          <cell r="F8401">
            <v>0</v>
          </cell>
          <cell r="G8401">
            <v>0</v>
          </cell>
          <cell r="H8401" t="str">
            <v>640/8</v>
          </cell>
        </row>
        <row r="8402">
          <cell r="F8402">
            <v>15.4</v>
          </cell>
          <cell r="G8402">
            <v>0</v>
          </cell>
          <cell r="H8402" t="str">
            <v>640/8</v>
          </cell>
        </row>
        <row r="8403">
          <cell r="F8403">
            <v>676.1</v>
          </cell>
          <cell r="G8403">
            <v>0</v>
          </cell>
          <cell r="H8403" t="str">
            <v>640/8</v>
          </cell>
        </row>
        <row r="8404">
          <cell r="F8404">
            <v>-4</v>
          </cell>
          <cell r="G8404">
            <v>0</v>
          </cell>
          <cell r="H8404" t="str">
            <v>640/8</v>
          </cell>
        </row>
        <row r="8405">
          <cell r="F8405">
            <v>0.5</v>
          </cell>
          <cell r="G8405">
            <v>0</v>
          </cell>
          <cell r="H8405" t="str">
            <v>640/8</v>
          </cell>
        </row>
        <row r="8406">
          <cell r="F8406">
            <v>0.02</v>
          </cell>
          <cell r="G8406">
            <v>0</v>
          </cell>
          <cell r="H8406" t="str">
            <v>640/8</v>
          </cell>
        </row>
        <row r="8407">
          <cell r="F8407">
            <v>0.01</v>
          </cell>
          <cell r="G8407">
            <v>0</v>
          </cell>
          <cell r="H8407" t="str">
            <v>640/8</v>
          </cell>
        </row>
        <row r="8408">
          <cell r="F8408">
            <v>0.3</v>
          </cell>
          <cell r="G8408">
            <v>0</v>
          </cell>
          <cell r="H8408" t="str">
            <v>640/8</v>
          </cell>
        </row>
        <row r="8409">
          <cell r="F8409">
            <v>0.01</v>
          </cell>
          <cell r="G8409">
            <v>0</v>
          </cell>
          <cell r="H8409" t="str">
            <v>640/8</v>
          </cell>
        </row>
        <row r="8410">
          <cell r="F8410">
            <v>34.53</v>
          </cell>
          <cell r="G8410">
            <v>0</v>
          </cell>
          <cell r="H8410" t="str">
            <v>640/8</v>
          </cell>
        </row>
        <row r="8411">
          <cell r="F8411">
            <v>-1.04</v>
          </cell>
          <cell r="G8411">
            <v>0</v>
          </cell>
          <cell r="H8411" t="str">
            <v>640/8</v>
          </cell>
        </row>
        <row r="8412">
          <cell r="F8412">
            <v>0.02</v>
          </cell>
          <cell r="G8412">
            <v>0</v>
          </cell>
          <cell r="H8412" t="str">
            <v>640/8</v>
          </cell>
        </row>
        <row r="8413">
          <cell r="F8413">
            <v>9.01</v>
          </cell>
          <cell r="G8413">
            <v>0</v>
          </cell>
          <cell r="H8413" t="str">
            <v>640/8</v>
          </cell>
        </row>
        <row r="8414">
          <cell r="F8414">
            <v>1.18</v>
          </cell>
          <cell r="G8414">
            <v>0</v>
          </cell>
          <cell r="H8414" t="str">
            <v>640/8</v>
          </cell>
        </row>
        <row r="8415">
          <cell r="F8415">
            <v>0.01</v>
          </cell>
          <cell r="G8415">
            <v>0</v>
          </cell>
          <cell r="H8415" t="str">
            <v>640/8</v>
          </cell>
        </row>
        <row r="8416">
          <cell r="F8416">
            <v>0</v>
          </cell>
          <cell r="G8416">
            <v>0</v>
          </cell>
          <cell r="H8416" t="str">
            <v>640/8</v>
          </cell>
        </row>
        <row r="8417">
          <cell r="F8417">
            <v>15</v>
          </cell>
          <cell r="G8417">
            <v>0</v>
          </cell>
          <cell r="H8417" t="str">
            <v>640/8</v>
          </cell>
        </row>
        <row r="8418">
          <cell r="F8418">
            <v>1</v>
          </cell>
          <cell r="G8418">
            <v>0</v>
          </cell>
          <cell r="H8418" t="str">
            <v>640/8</v>
          </cell>
        </row>
        <row r="8419">
          <cell r="F8419">
            <v>0.01</v>
          </cell>
          <cell r="G8419">
            <v>0</v>
          </cell>
          <cell r="H8419" t="str">
            <v>640/8</v>
          </cell>
        </row>
        <row r="8420">
          <cell r="F8420">
            <v>125</v>
          </cell>
          <cell r="G8420">
            <v>0</v>
          </cell>
          <cell r="H8420" t="str">
            <v>640/8</v>
          </cell>
        </row>
        <row r="8421">
          <cell r="F8421">
            <v>60</v>
          </cell>
          <cell r="G8421">
            <v>0</v>
          </cell>
          <cell r="H8421" t="str">
            <v>640/8</v>
          </cell>
        </row>
        <row r="8422">
          <cell r="F8422">
            <v>838.32</v>
          </cell>
          <cell r="G8422">
            <v>0</v>
          </cell>
          <cell r="H8422" t="str">
            <v>640/8</v>
          </cell>
        </row>
        <row r="8423">
          <cell r="F8423">
            <v>429.3</v>
          </cell>
          <cell r="G8423">
            <v>0</v>
          </cell>
          <cell r="H8423" t="str">
            <v>640/8</v>
          </cell>
        </row>
        <row r="8424">
          <cell r="F8424">
            <v>1850</v>
          </cell>
          <cell r="G8424">
            <v>0</v>
          </cell>
          <cell r="H8424" t="str">
            <v>640/8</v>
          </cell>
        </row>
        <row r="8425">
          <cell r="F8425">
            <v>0</v>
          </cell>
          <cell r="G8425">
            <v>0</v>
          </cell>
          <cell r="H8425" t="str">
            <v>640/8</v>
          </cell>
        </row>
        <row r="8426">
          <cell r="F8426">
            <v>98.8</v>
          </cell>
          <cell r="G8426">
            <v>0</v>
          </cell>
          <cell r="H8426" t="str">
            <v>640/8</v>
          </cell>
        </row>
        <row r="8427">
          <cell r="F8427">
            <v>112.95</v>
          </cell>
          <cell r="G8427">
            <v>0</v>
          </cell>
          <cell r="H8427" t="str">
            <v>640/8</v>
          </cell>
        </row>
        <row r="8428">
          <cell r="F8428">
            <v>0</v>
          </cell>
          <cell r="G8428">
            <v>0</v>
          </cell>
          <cell r="H8428" t="str">
            <v>640/8</v>
          </cell>
        </row>
        <row r="8429">
          <cell r="F8429">
            <v>773.33</v>
          </cell>
          <cell r="G8429">
            <v>0</v>
          </cell>
          <cell r="H8429" t="str">
            <v>640/8</v>
          </cell>
        </row>
        <row r="8430">
          <cell r="F8430">
            <v>67.81</v>
          </cell>
          <cell r="G8430">
            <v>0</v>
          </cell>
          <cell r="H8430" t="str">
            <v>640/8</v>
          </cell>
        </row>
        <row r="8431">
          <cell r="F8431">
            <v>350.09</v>
          </cell>
          <cell r="G8431">
            <v>0</v>
          </cell>
          <cell r="H8431" t="str">
            <v>640/8</v>
          </cell>
        </row>
        <row r="8432">
          <cell r="F8432">
            <v>4722.8900000000003</v>
          </cell>
          <cell r="G8432">
            <v>0</v>
          </cell>
          <cell r="H8432" t="str">
            <v>640/8</v>
          </cell>
        </row>
        <row r="8433">
          <cell r="F8433">
            <v>0</v>
          </cell>
          <cell r="G8433">
            <v>0</v>
          </cell>
          <cell r="H8433" t="str">
            <v>640/8</v>
          </cell>
        </row>
        <row r="8434">
          <cell r="F8434">
            <v>156.5</v>
          </cell>
          <cell r="G8434">
            <v>0</v>
          </cell>
          <cell r="H8434" t="str">
            <v>640/8</v>
          </cell>
        </row>
        <row r="8435">
          <cell r="F8435">
            <v>13035.22</v>
          </cell>
          <cell r="G8435">
            <v>0</v>
          </cell>
          <cell r="H8435" t="str">
            <v>640/8</v>
          </cell>
        </row>
        <row r="8436">
          <cell r="F8436">
            <v>4072.48</v>
          </cell>
          <cell r="G8436">
            <v>0</v>
          </cell>
          <cell r="H8436" t="str">
            <v>640/8</v>
          </cell>
        </row>
        <row r="8437">
          <cell r="F8437">
            <v>7694.92</v>
          </cell>
          <cell r="G8437">
            <v>0</v>
          </cell>
          <cell r="H8437" t="str">
            <v>640/8</v>
          </cell>
        </row>
        <row r="8438">
          <cell r="F8438">
            <v>30860.57</v>
          </cell>
          <cell r="G8438">
            <v>0</v>
          </cell>
          <cell r="H8438" t="str">
            <v>640/8</v>
          </cell>
        </row>
        <row r="8439">
          <cell r="F8439">
            <v>26265.33</v>
          </cell>
          <cell r="G8439">
            <v>0</v>
          </cell>
          <cell r="H8439" t="str">
            <v>640/8</v>
          </cell>
        </row>
        <row r="8440">
          <cell r="F8440">
            <v>41995.51</v>
          </cell>
          <cell r="G8440">
            <v>0</v>
          </cell>
          <cell r="H8440" t="str">
            <v>640/8</v>
          </cell>
        </row>
        <row r="8441">
          <cell r="F8441">
            <v>22378.92</v>
          </cell>
          <cell r="G8441">
            <v>0</v>
          </cell>
          <cell r="H8441" t="str">
            <v>640/8</v>
          </cell>
        </row>
        <row r="8442">
          <cell r="F8442">
            <v>1385.61</v>
          </cell>
          <cell r="G8442">
            <v>0</v>
          </cell>
          <cell r="H8442" t="str">
            <v>640/8</v>
          </cell>
        </row>
        <row r="8443">
          <cell r="F8443">
            <v>28920.28</v>
          </cell>
          <cell r="G8443">
            <v>0</v>
          </cell>
          <cell r="H8443" t="str">
            <v>640/8</v>
          </cell>
        </row>
        <row r="8444">
          <cell r="F8444">
            <v>17206.349999999999</v>
          </cell>
          <cell r="G8444">
            <v>0</v>
          </cell>
          <cell r="H8444" t="str">
            <v>640/8</v>
          </cell>
        </row>
        <row r="8445">
          <cell r="F8445">
            <v>3284.44</v>
          </cell>
          <cell r="G8445">
            <v>0</v>
          </cell>
          <cell r="H8445" t="str">
            <v>640/8</v>
          </cell>
        </row>
        <row r="8446">
          <cell r="F8446">
            <v>-13872.94</v>
          </cell>
          <cell r="G8446">
            <v>0</v>
          </cell>
          <cell r="H8446" t="str">
            <v>640/8</v>
          </cell>
        </row>
        <row r="8447">
          <cell r="F8447">
            <v>2661.26</v>
          </cell>
          <cell r="G8447">
            <v>0</v>
          </cell>
          <cell r="H8447" t="str">
            <v>640/8</v>
          </cell>
        </row>
        <row r="8448">
          <cell r="F8448">
            <v>0</v>
          </cell>
          <cell r="G8448">
            <v>0</v>
          </cell>
          <cell r="H8448" t="str">
            <v>640/8</v>
          </cell>
        </row>
        <row r="8449">
          <cell r="F8449">
            <v>73.62</v>
          </cell>
          <cell r="G8449">
            <v>0</v>
          </cell>
          <cell r="H8449" t="str">
            <v>640/8</v>
          </cell>
        </row>
        <row r="8450">
          <cell r="F8450">
            <v>0</v>
          </cell>
          <cell r="G8450">
            <v>0</v>
          </cell>
          <cell r="H8450" t="str">
            <v>640/8</v>
          </cell>
        </row>
        <row r="8451">
          <cell r="F8451">
            <v>922.71</v>
          </cell>
          <cell r="G8451">
            <v>0</v>
          </cell>
          <cell r="H8451" t="str">
            <v>640/8</v>
          </cell>
        </row>
        <row r="8452">
          <cell r="F8452">
            <v>2926.61</v>
          </cell>
          <cell r="G8452">
            <v>0</v>
          </cell>
          <cell r="H8452" t="str">
            <v>640/8</v>
          </cell>
        </row>
        <row r="8453">
          <cell r="F8453">
            <v>177.66</v>
          </cell>
          <cell r="G8453">
            <v>0</v>
          </cell>
          <cell r="H8453" t="str">
            <v>640/8</v>
          </cell>
        </row>
        <row r="8454">
          <cell r="F8454">
            <v>134.19999999999999</v>
          </cell>
          <cell r="G8454">
            <v>0</v>
          </cell>
          <cell r="H8454" t="str">
            <v>640/8</v>
          </cell>
        </row>
        <row r="8455">
          <cell r="F8455">
            <v>332.53</v>
          </cell>
          <cell r="G8455">
            <v>0</v>
          </cell>
          <cell r="H8455" t="str">
            <v>640/8</v>
          </cell>
        </row>
        <row r="8456">
          <cell r="F8456">
            <v>3202.16</v>
          </cell>
          <cell r="G8456">
            <v>0</v>
          </cell>
          <cell r="H8456" t="str">
            <v>640/8</v>
          </cell>
        </row>
        <row r="8457">
          <cell r="F8457">
            <v>5355.12</v>
          </cell>
          <cell r="G8457">
            <v>0</v>
          </cell>
          <cell r="H8457" t="str">
            <v>640/8</v>
          </cell>
        </row>
        <row r="8458">
          <cell r="F8458">
            <v>300</v>
          </cell>
          <cell r="G8458">
            <v>0</v>
          </cell>
          <cell r="H8458" t="str">
            <v>640/8</v>
          </cell>
        </row>
        <row r="8459">
          <cell r="F8459">
            <v>518.36</v>
          </cell>
          <cell r="G8459">
            <v>0</v>
          </cell>
          <cell r="H8459" t="str">
            <v>640/8</v>
          </cell>
        </row>
        <row r="8460">
          <cell r="F8460">
            <v>0</v>
          </cell>
          <cell r="G8460">
            <v>0</v>
          </cell>
          <cell r="H8460" t="str">
            <v>640/8</v>
          </cell>
        </row>
        <row r="8461">
          <cell r="F8461">
            <v>873</v>
          </cell>
          <cell r="G8461">
            <v>0</v>
          </cell>
          <cell r="H8461" t="str">
            <v>640/8</v>
          </cell>
        </row>
        <row r="8462">
          <cell r="F8462">
            <v>742.94</v>
          </cell>
          <cell r="G8462">
            <v>0</v>
          </cell>
          <cell r="H8462" t="str">
            <v>640/8</v>
          </cell>
        </row>
        <row r="8463">
          <cell r="F8463">
            <v>854.99</v>
          </cell>
          <cell r="G8463">
            <v>0</v>
          </cell>
          <cell r="H8463" t="str">
            <v>640/8</v>
          </cell>
        </row>
        <row r="8464">
          <cell r="F8464">
            <v>636.01000000000022</v>
          </cell>
          <cell r="G8464">
            <v>0</v>
          </cell>
          <cell r="H8464" t="str">
            <v>640/8</v>
          </cell>
        </row>
        <row r="8465">
          <cell r="F8465">
            <v>1285.06</v>
          </cell>
          <cell r="G8465">
            <v>0</v>
          </cell>
          <cell r="H8465" t="str">
            <v>640/8</v>
          </cell>
        </row>
        <row r="8466">
          <cell r="F8466">
            <v>0</v>
          </cell>
          <cell r="G8466">
            <v>0</v>
          </cell>
          <cell r="H8466" t="str">
            <v>640/8</v>
          </cell>
        </row>
        <row r="8467">
          <cell r="F8467">
            <v>16446.3</v>
          </cell>
          <cell r="G8467">
            <v>0</v>
          </cell>
          <cell r="H8467" t="str">
            <v>640/8</v>
          </cell>
        </row>
        <row r="8468">
          <cell r="F8468">
            <v>14.98</v>
          </cell>
          <cell r="G8468">
            <v>0</v>
          </cell>
          <cell r="H8468" t="str">
            <v>640/8</v>
          </cell>
        </row>
        <row r="8469">
          <cell r="F8469">
            <v>18.239999999999998</v>
          </cell>
          <cell r="G8469">
            <v>0</v>
          </cell>
          <cell r="H8469" t="str">
            <v>640/8</v>
          </cell>
        </row>
        <row r="8470">
          <cell r="F8470">
            <v>4355.5600000000004</v>
          </cell>
          <cell r="G8470">
            <v>0</v>
          </cell>
          <cell r="H8470" t="str">
            <v>640/8</v>
          </cell>
        </row>
        <row r="8471">
          <cell r="F8471">
            <v>6025.38</v>
          </cell>
          <cell r="G8471">
            <v>0</v>
          </cell>
          <cell r="H8471" t="str">
            <v>640/8</v>
          </cell>
        </row>
        <row r="8472">
          <cell r="F8472">
            <v>0.01</v>
          </cell>
          <cell r="G8472">
            <v>0</v>
          </cell>
          <cell r="H8472" t="str">
            <v>640/8</v>
          </cell>
        </row>
        <row r="8473">
          <cell r="F8473">
            <v>3424.4</v>
          </cell>
          <cell r="G8473">
            <v>0</v>
          </cell>
          <cell r="H8473" t="str">
            <v>640/8</v>
          </cell>
        </row>
        <row r="8474">
          <cell r="F8474">
            <v>0.08</v>
          </cell>
          <cell r="G8474">
            <v>0</v>
          </cell>
          <cell r="H8474" t="str">
            <v>640/8</v>
          </cell>
        </row>
        <row r="8475">
          <cell r="F8475">
            <v>1898.75</v>
          </cell>
          <cell r="G8475">
            <v>0</v>
          </cell>
          <cell r="H8475" t="str">
            <v>640/8</v>
          </cell>
        </row>
        <row r="8476">
          <cell r="F8476">
            <v>101.76</v>
          </cell>
          <cell r="G8476">
            <v>0</v>
          </cell>
          <cell r="H8476" t="str">
            <v>640/8</v>
          </cell>
        </row>
        <row r="8477">
          <cell r="F8477">
            <v>0</v>
          </cell>
          <cell r="G8477">
            <v>0</v>
          </cell>
          <cell r="H8477" t="str">
            <v>640/8</v>
          </cell>
        </row>
        <row r="8478">
          <cell r="F8478">
            <v>231.46</v>
          </cell>
          <cell r="G8478">
            <v>0</v>
          </cell>
          <cell r="H8478">
            <v>65</v>
          </cell>
        </row>
        <row r="8479">
          <cell r="F8479">
            <v>126.79</v>
          </cell>
          <cell r="G8479">
            <v>0</v>
          </cell>
          <cell r="H8479">
            <v>65</v>
          </cell>
        </row>
        <row r="8480">
          <cell r="F8480">
            <v>35.75</v>
          </cell>
          <cell r="G8480">
            <v>0</v>
          </cell>
          <cell r="H8480">
            <v>65</v>
          </cell>
        </row>
        <row r="8481">
          <cell r="F8481">
            <v>250.31</v>
          </cell>
          <cell r="G8481">
            <v>0</v>
          </cell>
          <cell r="H8481">
            <v>65</v>
          </cell>
        </row>
        <row r="8482">
          <cell r="F8482">
            <v>47.08</v>
          </cell>
          <cell r="G8482">
            <v>0</v>
          </cell>
          <cell r="H8482">
            <v>65</v>
          </cell>
        </row>
        <row r="8483">
          <cell r="F8483">
            <v>136.04</v>
          </cell>
          <cell r="G8483">
            <v>0</v>
          </cell>
          <cell r="H8483">
            <v>65</v>
          </cell>
        </row>
        <row r="8484">
          <cell r="F8484">
            <v>8.4499999999999993</v>
          </cell>
          <cell r="G8484">
            <v>0</v>
          </cell>
          <cell r="H8484">
            <v>65</v>
          </cell>
        </row>
        <row r="8485">
          <cell r="F8485">
            <v>729.23</v>
          </cell>
          <cell r="G8485">
            <v>0</v>
          </cell>
          <cell r="H8485">
            <v>65</v>
          </cell>
        </row>
        <row r="8486">
          <cell r="F8486">
            <v>186.5</v>
          </cell>
          <cell r="G8486">
            <v>0</v>
          </cell>
          <cell r="H8486">
            <v>65</v>
          </cell>
        </row>
        <row r="8487">
          <cell r="F8487">
            <v>2897.35</v>
          </cell>
          <cell r="G8487">
            <v>0</v>
          </cell>
          <cell r="H8487">
            <v>65</v>
          </cell>
        </row>
        <row r="8488">
          <cell r="F8488">
            <v>827.14</v>
          </cell>
          <cell r="G8488">
            <v>0</v>
          </cell>
          <cell r="H8488">
            <v>65</v>
          </cell>
        </row>
        <row r="8489">
          <cell r="F8489">
            <v>3952.5</v>
          </cell>
          <cell r="G8489">
            <v>0</v>
          </cell>
          <cell r="H8489">
            <v>65</v>
          </cell>
        </row>
        <row r="8490">
          <cell r="F8490">
            <v>3957.43</v>
          </cell>
          <cell r="G8490">
            <v>0</v>
          </cell>
          <cell r="H8490">
            <v>65</v>
          </cell>
        </row>
        <row r="8491">
          <cell r="F8491">
            <v>12065.45</v>
          </cell>
          <cell r="G8491">
            <v>0</v>
          </cell>
          <cell r="H8491">
            <v>65</v>
          </cell>
        </row>
        <row r="8492">
          <cell r="F8492">
            <v>274.81</v>
          </cell>
          <cell r="G8492">
            <v>0</v>
          </cell>
          <cell r="H8492">
            <v>65</v>
          </cell>
        </row>
        <row r="8493">
          <cell r="F8493">
            <v>4012.39</v>
          </cell>
          <cell r="G8493">
            <v>0</v>
          </cell>
          <cell r="H8493">
            <v>65</v>
          </cell>
        </row>
        <row r="8494">
          <cell r="F8494">
            <v>1314.41</v>
          </cell>
          <cell r="G8494">
            <v>0</v>
          </cell>
          <cell r="H8494">
            <v>65</v>
          </cell>
        </row>
        <row r="8495">
          <cell r="F8495">
            <v>1316.3400000000001</v>
          </cell>
          <cell r="G8495">
            <v>0</v>
          </cell>
          <cell r="H8495">
            <v>65</v>
          </cell>
        </row>
        <row r="8496">
          <cell r="F8496">
            <v>3726.7</v>
          </cell>
          <cell r="G8496">
            <v>0</v>
          </cell>
          <cell r="H8496">
            <v>65</v>
          </cell>
        </row>
        <row r="8497">
          <cell r="F8497">
            <v>3721.66</v>
          </cell>
          <cell r="G8497">
            <v>0</v>
          </cell>
          <cell r="H8497">
            <v>65</v>
          </cell>
        </row>
        <row r="8498">
          <cell r="F8498">
            <v>11360.82</v>
          </cell>
          <cell r="G8498">
            <v>0</v>
          </cell>
          <cell r="H8498">
            <v>65</v>
          </cell>
        </row>
        <row r="8499">
          <cell r="F8499">
            <v>778.45</v>
          </cell>
          <cell r="G8499">
            <v>0</v>
          </cell>
          <cell r="H8499">
            <v>65</v>
          </cell>
        </row>
        <row r="8500">
          <cell r="F8500">
            <v>2575.91</v>
          </cell>
          <cell r="G8500">
            <v>0</v>
          </cell>
          <cell r="H8500">
            <v>65</v>
          </cell>
        </row>
        <row r="8501">
          <cell r="F8501">
            <v>7775.77</v>
          </cell>
          <cell r="G8501">
            <v>0</v>
          </cell>
          <cell r="H8501">
            <v>65</v>
          </cell>
        </row>
        <row r="8502">
          <cell r="F8502">
            <v>2547.25</v>
          </cell>
          <cell r="G8502">
            <v>0</v>
          </cell>
          <cell r="H8502">
            <v>65</v>
          </cell>
        </row>
        <row r="8503">
          <cell r="F8503">
            <v>507.59</v>
          </cell>
          <cell r="G8503">
            <v>0</v>
          </cell>
          <cell r="H8503">
            <v>65</v>
          </cell>
        </row>
        <row r="8504">
          <cell r="F8504">
            <v>2913.02</v>
          </cell>
          <cell r="G8504">
            <v>0</v>
          </cell>
          <cell r="H8504">
            <v>65</v>
          </cell>
        </row>
        <row r="8505">
          <cell r="F8505">
            <v>129.66</v>
          </cell>
          <cell r="G8505">
            <v>0</v>
          </cell>
          <cell r="H8505">
            <v>65</v>
          </cell>
        </row>
        <row r="8506">
          <cell r="F8506">
            <v>1284.56</v>
          </cell>
          <cell r="G8506">
            <v>0</v>
          </cell>
          <cell r="H8506">
            <v>65</v>
          </cell>
        </row>
        <row r="8507">
          <cell r="F8507">
            <v>57.18</v>
          </cell>
          <cell r="G8507">
            <v>0</v>
          </cell>
          <cell r="H8507">
            <v>65</v>
          </cell>
        </row>
        <row r="8508">
          <cell r="F8508">
            <v>4902.46</v>
          </cell>
          <cell r="G8508">
            <v>0</v>
          </cell>
          <cell r="H8508">
            <v>65</v>
          </cell>
        </row>
        <row r="8509">
          <cell r="F8509">
            <v>296.26</v>
          </cell>
          <cell r="G8509">
            <v>0</v>
          </cell>
          <cell r="H8509">
            <v>65</v>
          </cell>
        </row>
        <row r="8510">
          <cell r="F8510">
            <v>50.52</v>
          </cell>
          <cell r="G8510">
            <v>0</v>
          </cell>
          <cell r="H8510">
            <v>65</v>
          </cell>
        </row>
        <row r="8511">
          <cell r="F8511">
            <v>1135.3</v>
          </cell>
          <cell r="G8511">
            <v>0</v>
          </cell>
          <cell r="H8511">
            <v>65</v>
          </cell>
        </row>
        <row r="8512">
          <cell r="F8512">
            <v>6213.83</v>
          </cell>
          <cell r="G8512">
            <v>0</v>
          </cell>
          <cell r="H8512">
            <v>65</v>
          </cell>
        </row>
        <row r="8513">
          <cell r="F8513">
            <v>2276.69</v>
          </cell>
          <cell r="G8513">
            <v>0</v>
          </cell>
          <cell r="H8513">
            <v>65</v>
          </cell>
        </row>
        <row r="8514">
          <cell r="F8514">
            <v>1945.13</v>
          </cell>
          <cell r="G8514">
            <v>0</v>
          </cell>
          <cell r="H8514">
            <v>65</v>
          </cell>
        </row>
        <row r="8515">
          <cell r="F8515">
            <v>1089.77</v>
          </cell>
          <cell r="G8515">
            <v>0</v>
          </cell>
          <cell r="H8515">
            <v>65</v>
          </cell>
        </row>
        <row r="8516">
          <cell r="F8516">
            <v>1728.28</v>
          </cell>
          <cell r="G8516">
            <v>0</v>
          </cell>
          <cell r="H8516">
            <v>65</v>
          </cell>
        </row>
        <row r="8517">
          <cell r="F8517">
            <v>7123.99</v>
          </cell>
          <cell r="G8517">
            <v>0</v>
          </cell>
          <cell r="H8517">
            <v>65</v>
          </cell>
        </row>
        <row r="8518">
          <cell r="F8518">
            <v>42.35</v>
          </cell>
          <cell r="G8518">
            <v>0</v>
          </cell>
          <cell r="H8518">
            <v>65</v>
          </cell>
        </row>
        <row r="8519">
          <cell r="F8519">
            <v>12.5</v>
          </cell>
          <cell r="G8519">
            <v>0</v>
          </cell>
          <cell r="H8519">
            <v>65</v>
          </cell>
        </row>
        <row r="8520">
          <cell r="F8520">
            <v>20.7</v>
          </cell>
          <cell r="G8520">
            <v>0</v>
          </cell>
          <cell r="H8520">
            <v>65</v>
          </cell>
        </row>
        <row r="8521">
          <cell r="F8521">
            <v>6</v>
          </cell>
          <cell r="G8521">
            <v>0</v>
          </cell>
          <cell r="H8521">
            <v>65</v>
          </cell>
        </row>
        <row r="8522">
          <cell r="F8522">
            <v>5.07</v>
          </cell>
          <cell r="G8522">
            <v>0</v>
          </cell>
          <cell r="H8522">
            <v>65</v>
          </cell>
        </row>
        <row r="8523">
          <cell r="F8523">
            <v>6</v>
          </cell>
          <cell r="G8523">
            <v>0</v>
          </cell>
          <cell r="H8523">
            <v>65</v>
          </cell>
        </row>
        <row r="8524">
          <cell r="F8524">
            <v>1.04</v>
          </cell>
          <cell r="G8524">
            <v>0</v>
          </cell>
          <cell r="H8524">
            <v>65</v>
          </cell>
        </row>
        <row r="8525">
          <cell r="F8525">
            <v>0.47000000000000064</v>
          </cell>
          <cell r="G8525">
            <v>0</v>
          </cell>
          <cell r="H8525">
            <v>65</v>
          </cell>
        </row>
        <row r="8526">
          <cell r="F8526">
            <v>25</v>
          </cell>
          <cell r="G8526">
            <v>0</v>
          </cell>
          <cell r="H8526">
            <v>65</v>
          </cell>
        </row>
        <row r="8527">
          <cell r="F8527">
            <v>56.25</v>
          </cell>
          <cell r="G8527">
            <v>0</v>
          </cell>
          <cell r="H8527">
            <v>65</v>
          </cell>
        </row>
        <row r="8528">
          <cell r="F8528">
            <v>93.75</v>
          </cell>
          <cell r="G8528">
            <v>0</v>
          </cell>
          <cell r="H8528">
            <v>65</v>
          </cell>
        </row>
        <row r="8529">
          <cell r="F8529">
            <v>133.38</v>
          </cell>
          <cell r="G8529">
            <v>0</v>
          </cell>
          <cell r="H8529">
            <v>65</v>
          </cell>
        </row>
        <row r="8530">
          <cell r="F8530">
            <v>37.869999999999997</v>
          </cell>
          <cell r="G8530">
            <v>0</v>
          </cell>
          <cell r="H8530">
            <v>65</v>
          </cell>
        </row>
        <row r="8531">
          <cell r="F8531">
            <v>15.75</v>
          </cell>
          <cell r="G8531">
            <v>0</v>
          </cell>
          <cell r="H8531">
            <v>65</v>
          </cell>
        </row>
        <row r="8532">
          <cell r="F8532">
            <v>44.85</v>
          </cell>
          <cell r="G8532">
            <v>0</v>
          </cell>
          <cell r="H8532">
            <v>65</v>
          </cell>
        </row>
        <row r="8533">
          <cell r="F8533">
            <v>1.230000000000004</v>
          </cell>
          <cell r="G8533">
            <v>0</v>
          </cell>
          <cell r="H8533">
            <v>65</v>
          </cell>
        </row>
        <row r="8534">
          <cell r="F8534">
            <v>18.14</v>
          </cell>
          <cell r="G8534">
            <v>0</v>
          </cell>
          <cell r="H8534">
            <v>65</v>
          </cell>
        </row>
        <row r="8535">
          <cell r="F8535">
            <v>5.7</v>
          </cell>
          <cell r="G8535">
            <v>0</v>
          </cell>
          <cell r="H8535">
            <v>65</v>
          </cell>
        </row>
        <row r="8536">
          <cell r="F8536">
            <v>7.38</v>
          </cell>
          <cell r="G8536">
            <v>0</v>
          </cell>
          <cell r="H8536">
            <v>65</v>
          </cell>
        </row>
        <row r="8537">
          <cell r="F8537">
            <v>9.69</v>
          </cell>
          <cell r="G8537">
            <v>0</v>
          </cell>
          <cell r="H8537">
            <v>65</v>
          </cell>
        </row>
        <row r="8538">
          <cell r="F8538">
            <v>8.75</v>
          </cell>
          <cell r="G8538">
            <v>0</v>
          </cell>
          <cell r="H8538">
            <v>65</v>
          </cell>
        </row>
        <row r="8539">
          <cell r="F8539">
            <v>32.299999999999997</v>
          </cell>
          <cell r="G8539">
            <v>0</v>
          </cell>
          <cell r="H8539">
            <v>65</v>
          </cell>
        </row>
        <row r="8540">
          <cell r="F8540">
            <v>817.68</v>
          </cell>
          <cell r="G8540">
            <v>0</v>
          </cell>
          <cell r="H8540">
            <v>65</v>
          </cell>
        </row>
        <row r="8541">
          <cell r="F8541">
            <v>5.6300000000000026</v>
          </cell>
          <cell r="G8541">
            <v>0</v>
          </cell>
          <cell r="H8541">
            <v>65</v>
          </cell>
        </row>
        <row r="8542">
          <cell r="F8542">
            <v>1938.4</v>
          </cell>
          <cell r="G8542">
            <v>0</v>
          </cell>
          <cell r="H8542">
            <v>65</v>
          </cell>
        </row>
        <row r="8543">
          <cell r="F8543">
            <v>2</v>
          </cell>
          <cell r="G8543">
            <v>0</v>
          </cell>
          <cell r="H8543">
            <v>65</v>
          </cell>
        </row>
        <row r="8544">
          <cell r="F8544">
            <v>21.08</v>
          </cell>
          <cell r="G8544">
            <v>0</v>
          </cell>
          <cell r="H8544">
            <v>65</v>
          </cell>
        </row>
        <row r="8545">
          <cell r="F8545">
            <v>4.6500000000000004</v>
          </cell>
          <cell r="G8545">
            <v>0</v>
          </cell>
          <cell r="H8545">
            <v>65</v>
          </cell>
        </row>
        <row r="8546">
          <cell r="F8546">
            <v>84.7</v>
          </cell>
          <cell r="G8546">
            <v>0</v>
          </cell>
          <cell r="H8546">
            <v>65</v>
          </cell>
        </row>
        <row r="8547">
          <cell r="F8547">
            <v>11.09</v>
          </cell>
          <cell r="G8547">
            <v>0</v>
          </cell>
          <cell r="H8547">
            <v>65</v>
          </cell>
        </row>
        <row r="8548">
          <cell r="F8548">
            <v>9.34</v>
          </cell>
          <cell r="G8548">
            <v>0</v>
          </cell>
          <cell r="H8548">
            <v>65</v>
          </cell>
        </row>
        <row r="8549">
          <cell r="F8549">
            <v>37.200000000000003</v>
          </cell>
          <cell r="G8549">
            <v>0</v>
          </cell>
          <cell r="H8549">
            <v>65</v>
          </cell>
        </row>
        <row r="8550">
          <cell r="F8550">
            <v>18.52</v>
          </cell>
          <cell r="G8550">
            <v>0</v>
          </cell>
          <cell r="H8550">
            <v>65</v>
          </cell>
        </row>
        <row r="8551">
          <cell r="F8551">
            <v>51.87</v>
          </cell>
          <cell r="G8551">
            <v>0</v>
          </cell>
          <cell r="H8551">
            <v>65</v>
          </cell>
        </row>
        <row r="8552">
          <cell r="F8552">
            <v>8.2799999999999994</v>
          </cell>
          <cell r="G8552">
            <v>0</v>
          </cell>
          <cell r="H8552">
            <v>65</v>
          </cell>
        </row>
        <row r="8553">
          <cell r="F8553">
            <v>338.8</v>
          </cell>
          <cell r="G8553">
            <v>0</v>
          </cell>
          <cell r="H8553">
            <v>65</v>
          </cell>
        </row>
        <row r="8554">
          <cell r="F8554">
            <v>7.11</v>
          </cell>
          <cell r="G8554">
            <v>0</v>
          </cell>
          <cell r="H8554">
            <v>65</v>
          </cell>
        </row>
        <row r="8555">
          <cell r="F8555">
            <v>42.04</v>
          </cell>
          <cell r="G8555">
            <v>0</v>
          </cell>
          <cell r="H8555">
            <v>65</v>
          </cell>
        </row>
        <row r="8556">
          <cell r="F8556">
            <v>36.020000000000003</v>
          </cell>
          <cell r="G8556">
            <v>0</v>
          </cell>
          <cell r="H8556">
            <v>65</v>
          </cell>
        </row>
        <row r="8557">
          <cell r="F8557">
            <v>35.83</v>
          </cell>
          <cell r="G8557">
            <v>0</v>
          </cell>
          <cell r="H8557">
            <v>65</v>
          </cell>
        </row>
        <row r="8558">
          <cell r="F8558">
            <v>3.99</v>
          </cell>
          <cell r="G8558">
            <v>0</v>
          </cell>
          <cell r="H8558">
            <v>65</v>
          </cell>
        </row>
        <row r="8559">
          <cell r="F8559">
            <v>11.86</v>
          </cell>
          <cell r="G8559">
            <v>0</v>
          </cell>
          <cell r="H8559">
            <v>65</v>
          </cell>
        </row>
        <row r="8560">
          <cell r="F8560">
            <v>67.150000000000006</v>
          </cell>
          <cell r="G8560">
            <v>0</v>
          </cell>
          <cell r="H8560">
            <v>65</v>
          </cell>
        </row>
        <row r="8561">
          <cell r="F8561">
            <v>48.019999999999996</v>
          </cell>
          <cell r="G8561">
            <v>0</v>
          </cell>
          <cell r="H8561">
            <v>65</v>
          </cell>
        </row>
        <row r="8562">
          <cell r="F8562">
            <v>81.48</v>
          </cell>
          <cell r="G8562">
            <v>0</v>
          </cell>
          <cell r="H8562">
            <v>65</v>
          </cell>
        </row>
        <row r="8563">
          <cell r="F8563">
            <v>33.26</v>
          </cell>
          <cell r="G8563">
            <v>0</v>
          </cell>
          <cell r="H8563">
            <v>65</v>
          </cell>
        </row>
        <row r="8564">
          <cell r="F8564">
            <v>0.21999999999999975</v>
          </cell>
          <cell r="G8564">
            <v>0</v>
          </cell>
          <cell r="H8564">
            <v>65</v>
          </cell>
        </row>
        <row r="8565">
          <cell r="F8565">
            <v>41.2</v>
          </cell>
          <cell r="G8565">
            <v>0</v>
          </cell>
          <cell r="H8565">
            <v>65</v>
          </cell>
        </row>
        <row r="8566">
          <cell r="F8566">
            <v>1.5</v>
          </cell>
          <cell r="G8566">
            <v>0</v>
          </cell>
          <cell r="H8566">
            <v>65</v>
          </cell>
        </row>
        <row r="8567">
          <cell r="F8567">
            <v>149.05000000000001</v>
          </cell>
          <cell r="G8567">
            <v>0</v>
          </cell>
          <cell r="H8567">
            <v>65</v>
          </cell>
        </row>
        <row r="8568">
          <cell r="F8568">
            <v>110.6</v>
          </cell>
          <cell r="G8568">
            <v>0</v>
          </cell>
          <cell r="H8568">
            <v>65</v>
          </cell>
        </row>
        <row r="8569">
          <cell r="F8569">
            <v>10</v>
          </cell>
          <cell r="G8569">
            <v>0</v>
          </cell>
          <cell r="H8569">
            <v>65</v>
          </cell>
        </row>
        <row r="8570">
          <cell r="F8570">
            <v>233.15</v>
          </cell>
          <cell r="G8570">
            <v>0</v>
          </cell>
          <cell r="H8570">
            <v>66</v>
          </cell>
        </row>
        <row r="8571">
          <cell r="F8571">
            <v>189.5</v>
          </cell>
          <cell r="G8571">
            <v>0</v>
          </cell>
          <cell r="H8571">
            <v>66</v>
          </cell>
        </row>
        <row r="8572">
          <cell r="F8572">
            <v>0</v>
          </cell>
          <cell r="G8572">
            <v>0</v>
          </cell>
          <cell r="H8572">
            <v>66</v>
          </cell>
        </row>
        <row r="8573">
          <cell r="F8573">
            <v>568.88</v>
          </cell>
          <cell r="G8573">
            <v>0</v>
          </cell>
          <cell r="H8573">
            <v>66</v>
          </cell>
        </row>
        <row r="8574">
          <cell r="F8574">
            <v>760.23</v>
          </cell>
          <cell r="G8574">
            <v>0</v>
          </cell>
          <cell r="H8574">
            <v>66</v>
          </cell>
        </row>
        <row r="8575">
          <cell r="F8575">
            <v>29.52</v>
          </cell>
          <cell r="G8575">
            <v>0</v>
          </cell>
          <cell r="H8575">
            <v>66</v>
          </cell>
        </row>
        <row r="8576">
          <cell r="F8576">
            <v>281.22000000000003</v>
          </cell>
          <cell r="G8576">
            <v>0</v>
          </cell>
          <cell r="H8576">
            <v>66</v>
          </cell>
        </row>
        <row r="8577">
          <cell r="F8577">
            <v>435.6</v>
          </cell>
          <cell r="G8577">
            <v>0</v>
          </cell>
          <cell r="H8577">
            <v>66</v>
          </cell>
        </row>
        <row r="8578">
          <cell r="F8578">
            <v>590.19000000000005</v>
          </cell>
          <cell r="G8578">
            <v>0</v>
          </cell>
          <cell r="H8578">
            <v>66</v>
          </cell>
        </row>
        <row r="8579">
          <cell r="F8579">
            <v>672.24</v>
          </cell>
          <cell r="G8579">
            <v>0</v>
          </cell>
          <cell r="H8579">
            <v>66</v>
          </cell>
        </row>
        <row r="8580">
          <cell r="F8580">
            <v>184.18</v>
          </cell>
          <cell r="G8580">
            <v>0</v>
          </cell>
          <cell r="H8580">
            <v>66</v>
          </cell>
        </row>
        <row r="8581">
          <cell r="F8581">
            <v>0</v>
          </cell>
          <cell r="G8581">
            <v>0</v>
          </cell>
          <cell r="H8581">
            <v>66</v>
          </cell>
        </row>
        <row r="8582">
          <cell r="F8582">
            <v>233.15</v>
          </cell>
          <cell r="G8582">
            <v>0</v>
          </cell>
          <cell r="H8582">
            <v>66</v>
          </cell>
        </row>
        <row r="8583">
          <cell r="F8583">
            <v>383.66</v>
          </cell>
          <cell r="G8583">
            <v>0</v>
          </cell>
          <cell r="H8583">
            <v>66</v>
          </cell>
        </row>
        <row r="8584">
          <cell r="F8584">
            <v>0</v>
          </cell>
          <cell r="G8584">
            <v>0</v>
          </cell>
          <cell r="H8584">
            <v>66</v>
          </cell>
        </row>
        <row r="8585">
          <cell r="F8585">
            <v>216.24</v>
          </cell>
          <cell r="G8585">
            <v>0</v>
          </cell>
          <cell r="H8585" t="str">
            <v>640/8</v>
          </cell>
        </row>
        <row r="8586">
          <cell r="F8586">
            <v>3232.55</v>
          </cell>
          <cell r="G8586">
            <v>0</v>
          </cell>
          <cell r="H8586" t="str">
            <v>640/8</v>
          </cell>
        </row>
        <row r="8587">
          <cell r="F8587">
            <v>0</v>
          </cell>
          <cell r="G8587">
            <v>0</v>
          </cell>
          <cell r="H8587" t="str">
            <v>640/8</v>
          </cell>
        </row>
        <row r="8588">
          <cell r="F8588">
            <v>0</v>
          </cell>
          <cell r="G8588">
            <v>0</v>
          </cell>
          <cell r="H8588" t="str">
            <v>640/8</v>
          </cell>
        </row>
        <row r="8589">
          <cell r="F8589">
            <v>170.85</v>
          </cell>
          <cell r="G8589">
            <v>0</v>
          </cell>
          <cell r="H8589" t="str">
            <v>640/8</v>
          </cell>
        </row>
        <row r="8590">
          <cell r="F8590">
            <v>192</v>
          </cell>
          <cell r="G8590">
            <v>0</v>
          </cell>
          <cell r="H8590" t="str">
            <v>640/8</v>
          </cell>
        </row>
        <row r="8591">
          <cell r="F8591">
            <v>168</v>
          </cell>
          <cell r="G8591">
            <v>0</v>
          </cell>
          <cell r="H8591" t="str">
            <v>640/8</v>
          </cell>
        </row>
        <row r="8592">
          <cell r="F8592">
            <v>3677.05</v>
          </cell>
          <cell r="G8592">
            <v>0</v>
          </cell>
          <cell r="H8592" t="str">
            <v>640/8</v>
          </cell>
        </row>
        <row r="8593">
          <cell r="F8593">
            <v>143.76</v>
          </cell>
          <cell r="G8593">
            <v>0</v>
          </cell>
          <cell r="H8593" t="str">
            <v>640/8</v>
          </cell>
        </row>
        <row r="8594">
          <cell r="F8594">
            <v>0</v>
          </cell>
          <cell r="G8594">
            <v>0</v>
          </cell>
          <cell r="H8594" t="str">
            <v>640/8</v>
          </cell>
        </row>
        <row r="8595">
          <cell r="F8595">
            <v>3360</v>
          </cell>
          <cell r="G8595">
            <v>0</v>
          </cell>
          <cell r="H8595" t="str">
            <v>640/8</v>
          </cell>
        </row>
        <row r="8596">
          <cell r="F8596">
            <v>3600</v>
          </cell>
          <cell r="G8596">
            <v>0</v>
          </cell>
          <cell r="H8596" t="str">
            <v>640/8</v>
          </cell>
        </row>
        <row r="8597">
          <cell r="F8597">
            <v>194.87</v>
          </cell>
          <cell r="G8597">
            <v>0</v>
          </cell>
          <cell r="H8597" t="str">
            <v>640/8</v>
          </cell>
        </row>
        <row r="8598">
          <cell r="F8598">
            <v>0</v>
          </cell>
          <cell r="G8598"/>
          <cell r="H8598"/>
        </row>
        <row r="8599">
          <cell r="F8599">
            <v>1595.0300000000025</v>
          </cell>
          <cell r="G8599"/>
          <cell r="H8599"/>
        </row>
        <row r="8600">
          <cell r="F8600">
            <v>0</v>
          </cell>
          <cell r="G8600"/>
          <cell r="H8600"/>
        </row>
        <row r="8601">
          <cell r="F8601">
            <v>0</v>
          </cell>
          <cell r="G8601"/>
          <cell r="H8601"/>
        </row>
        <row r="8602">
          <cell r="F8602">
            <v>0</v>
          </cell>
          <cell r="G8602"/>
          <cell r="H8602"/>
        </row>
        <row r="8603">
          <cell r="F8603">
            <v>242610.99</v>
          </cell>
          <cell r="G8603"/>
          <cell r="H8603"/>
        </row>
        <row r="8604">
          <cell r="F8604">
            <v>7966.73</v>
          </cell>
          <cell r="G8604"/>
          <cell r="H8604"/>
        </row>
        <row r="8605">
          <cell r="F8605">
            <v>18097.66</v>
          </cell>
          <cell r="G8605"/>
          <cell r="H8605"/>
        </row>
        <row r="8606">
          <cell r="F8606">
            <v>422586.13</v>
          </cell>
          <cell r="G8606"/>
          <cell r="H8606"/>
        </row>
        <row r="8607">
          <cell r="F8607">
            <v>8015.79</v>
          </cell>
          <cell r="G8607"/>
          <cell r="H8607"/>
        </row>
        <row r="8608">
          <cell r="F8608">
            <v>65274.31</v>
          </cell>
          <cell r="G8608">
            <v>70</v>
          </cell>
          <cell r="H8608" t="str">
            <v>70/74</v>
          </cell>
        </row>
        <row r="8609">
          <cell r="F8609">
            <v>311989.78999999998</v>
          </cell>
          <cell r="G8609">
            <v>70</v>
          </cell>
          <cell r="H8609" t="str">
            <v>70/74</v>
          </cell>
        </row>
        <row r="8610">
          <cell r="F8610">
            <v>141449.76</v>
          </cell>
          <cell r="G8610">
            <v>70</v>
          </cell>
          <cell r="H8610" t="str">
            <v>70/74</v>
          </cell>
        </row>
        <row r="8611">
          <cell r="F8611">
            <v>83474.09</v>
          </cell>
          <cell r="G8611">
            <v>70</v>
          </cell>
          <cell r="H8611" t="str">
            <v>70/74</v>
          </cell>
        </row>
        <row r="8612">
          <cell r="F8612">
            <v>975.60000000000014</v>
          </cell>
          <cell r="G8612">
            <v>70</v>
          </cell>
          <cell r="H8612" t="str">
            <v>70/74</v>
          </cell>
        </row>
        <row r="8613">
          <cell r="F8613">
            <v>72802.78</v>
          </cell>
          <cell r="G8613">
            <v>70</v>
          </cell>
          <cell r="H8613" t="str">
            <v>70/74</v>
          </cell>
        </row>
        <row r="8614">
          <cell r="F8614">
            <v>13206.26</v>
          </cell>
          <cell r="G8614">
            <v>70</v>
          </cell>
          <cell r="H8614" t="str">
            <v>70/74</v>
          </cell>
        </row>
        <row r="8615">
          <cell r="F8615">
            <v>64380.94</v>
          </cell>
          <cell r="G8615">
            <v>70</v>
          </cell>
          <cell r="H8615" t="str">
            <v>70/74</v>
          </cell>
        </row>
        <row r="8616">
          <cell r="F8616">
            <v>14854</v>
          </cell>
          <cell r="G8616">
            <v>70</v>
          </cell>
          <cell r="H8616" t="str">
            <v>70/74</v>
          </cell>
        </row>
        <row r="8617">
          <cell r="F8617">
            <v>38</v>
          </cell>
          <cell r="G8617">
            <v>70</v>
          </cell>
          <cell r="H8617" t="str">
            <v>70/74</v>
          </cell>
        </row>
        <row r="8618">
          <cell r="F8618">
            <v>102188.1</v>
          </cell>
          <cell r="G8618">
            <v>70</v>
          </cell>
          <cell r="H8618" t="str">
            <v>70/74</v>
          </cell>
        </row>
        <row r="8619">
          <cell r="F8619">
            <v>81171.28</v>
          </cell>
          <cell r="G8619">
            <v>70</v>
          </cell>
          <cell r="H8619" t="str">
            <v>70/74</v>
          </cell>
        </row>
        <row r="8620">
          <cell r="F8620">
            <v>511.5</v>
          </cell>
          <cell r="G8620">
            <v>70</v>
          </cell>
          <cell r="H8620" t="str">
            <v>70/74</v>
          </cell>
        </row>
        <row r="8621">
          <cell r="F8621">
            <v>29385.919999999998</v>
          </cell>
          <cell r="G8621">
            <v>70</v>
          </cell>
          <cell r="H8621" t="str">
            <v>70/74</v>
          </cell>
        </row>
        <row r="8622">
          <cell r="F8622">
            <v>12896</v>
          </cell>
          <cell r="G8622">
            <v>70</v>
          </cell>
          <cell r="H8622" t="str">
            <v>70/74</v>
          </cell>
        </row>
        <row r="8623">
          <cell r="F8623">
            <v>83109.62</v>
          </cell>
          <cell r="G8623">
            <v>70</v>
          </cell>
          <cell r="H8623" t="str">
            <v>70/74</v>
          </cell>
        </row>
        <row r="8624">
          <cell r="F8624">
            <v>85125.3</v>
          </cell>
          <cell r="G8624">
            <v>70</v>
          </cell>
          <cell r="H8624" t="str">
            <v>70/74</v>
          </cell>
        </row>
        <row r="8625">
          <cell r="F8625">
            <v>27571.98</v>
          </cell>
          <cell r="G8625">
            <v>70</v>
          </cell>
          <cell r="H8625" t="str">
            <v>70/74</v>
          </cell>
        </row>
        <row r="8626">
          <cell r="F8626">
            <v>18855</v>
          </cell>
          <cell r="G8626">
            <v>70</v>
          </cell>
          <cell r="H8626" t="str">
            <v>70/74</v>
          </cell>
        </row>
        <row r="8627">
          <cell r="F8627">
            <v>12066.77</v>
          </cell>
          <cell r="G8627">
            <v>70</v>
          </cell>
          <cell r="H8627" t="str">
            <v>70/74</v>
          </cell>
        </row>
        <row r="8628">
          <cell r="F8628">
            <v>4387.1000000000004</v>
          </cell>
          <cell r="G8628">
            <v>70</v>
          </cell>
          <cell r="H8628" t="str">
            <v>70/74</v>
          </cell>
        </row>
        <row r="8629">
          <cell r="F8629">
            <v>0</v>
          </cell>
          <cell r="G8629">
            <v>70</v>
          </cell>
          <cell r="H8629" t="str">
            <v>70/74</v>
          </cell>
        </row>
        <row r="8630">
          <cell r="F8630">
            <v>32775.120000000003</v>
          </cell>
          <cell r="G8630">
            <v>70</v>
          </cell>
          <cell r="H8630" t="str">
            <v>70/74</v>
          </cell>
        </row>
        <row r="8631">
          <cell r="F8631">
            <v>1181.5</v>
          </cell>
          <cell r="G8631">
            <v>70</v>
          </cell>
          <cell r="H8631" t="str">
            <v>70/74</v>
          </cell>
        </row>
        <row r="8632">
          <cell r="F8632">
            <v>21497.759999999998</v>
          </cell>
          <cell r="G8632">
            <v>70</v>
          </cell>
          <cell r="H8632" t="str">
            <v>70/74</v>
          </cell>
        </row>
        <row r="8633">
          <cell r="F8633">
            <v>14848.94</v>
          </cell>
          <cell r="G8633">
            <v>70</v>
          </cell>
          <cell r="H8633" t="str">
            <v>70/74</v>
          </cell>
        </row>
        <row r="8634">
          <cell r="F8634">
            <v>16200</v>
          </cell>
          <cell r="G8634">
            <v>70</v>
          </cell>
          <cell r="H8634" t="str">
            <v>70/74</v>
          </cell>
        </row>
        <row r="8635">
          <cell r="F8635">
            <v>21834.06</v>
          </cell>
          <cell r="G8635">
            <v>70</v>
          </cell>
          <cell r="H8635" t="str">
            <v>70/74</v>
          </cell>
        </row>
        <row r="8636">
          <cell r="F8636">
            <v>1847.02</v>
          </cell>
          <cell r="G8636">
            <v>70</v>
          </cell>
          <cell r="H8636" t="str">
            <v>70/74</v>
          </cell>
        </row>
        <row r="8637">
          <cell r="F8637">
            <v>1929.9499999999998</v>
          </cell>
          <cell r="G8637">
            <v>70</v>
          </cell>
          <cell r="H8637" t="str">
            <v>70/74</v>
          </cell>
        </row>
        <row r="8638">
          <cell r="F8638">
            <v>5055.01</v>
          </cell>
          <cell r="G8638">
            <v>70</v>
          </cell>
          <cell r="H8638" t="str">
            <v>70/74</v>
          </cell>
        </row>
        <row r="8639">
          <cell r="F8639">
            <v>0</v>
          </cell>
          <cell r="G8639">
            <v>70</v>
          </cell>
          <cell r="H8639" t="str">
            <v>70/74</v>
          </cell>
        </row>
        <row r="8640">
          <cell r="F8640">
            <v>0</v>
          </cell>
          <cell r="G8640">
            <v>70</v>
          </cell>
          <cell r="H8640" t="str">
            <v>70/74</v>
          </cell>
        </row>
        <row r="8641">
          <cell r="F8641">
            <v>79.099999999999994</v>
          </cell>
          <cell r="G8641">
            <v>70</v>
          </cell>
          <cell r="H8641" t="str">
            <v>70/74</v>
          </cell>
        </row>
        <row r="8642">
          <cell r="F8642">
            <v>369.5</v>
          </cell>
          <cell r="G8642">
            <v>70</v>
          </cell>
          <cell r="H8642" t="str">
            <v>70/74</v>
          </cell>
        </row>
        <row r="8643">
          <cell r="F8643">
            <v>20744.34</v>
          </cell>
          <cell r="G8643">
            <v>70</v>
          </cell>
          <cell r="H8643" t="str">
            <v>70/74</v>
          </cell>
        </row>
        <row r="8644">
          <cell r="F8644">
            <v>4</v>
          </cell>
          <cell r="G8644">
            <v>70</v>
          </cell>
          <cell r="H8644" t="str">
            <v>70/74</v>
          </cell>
        </row>
        <row r="8645">
          <cell r="F8645">
            <v>-6632.25</v>
          </cell>
          <cell r="G8645">
            <v>70</v>
          </cell>
          <cell r="H8645" t="str">
            <v>70/74</v>
          </cell>
        </row>
        <row r="8646">
          <cell r="F8646">
            <v>-594</v>
          </cell>
          <cell r="G8646">
            <v>70</v>
          </cell>
          <cell r="H8646" t="str">
            <v>70/74</v>
          </cell>
        </row>
        <row r="8647">
          <cell r="F8647">
            <v>-21297.4</v>
          </cell>
          <cell r="G8647">
            <v>70</v>
          </cell>
          <cell r="H8647" t="str">
            <v>70/74</v>
          </cell>
        </row>
        <row r="8648">
          <cell r="F8648">
            <v>-1538</v>
          </cell>
          <cell r="G8648">
            <v>70</v>
          </cell>
          <cell r="H8648" t="str">
            <v>70/74</v>
          </cell>
        </row>
        <row r="8649">
          <cell r="F8649">
            <v>-1730</v>
          </cell>
          <cell r="G8649">
            <v>70</v>
          </cell>
          <cell r="H8649" t="str">
            <v>70/74</v>
          </cell>
        </row>
        <row r="8650">
          <cell r="F8650">
            <v>-258</v>
          </cell>
          <cell r="G8650">
            <v>70</v>
          </cell>
          <cell r="H8650" t="str">
            <v>70/74</v>
          </cell>
        </row>
        <row r="8651">
          <cell r="F8651">
            <v>-4113</v>
          </cell>
          <cell r="G8651">
            <v>70</v>
          </cell>
          <cell r="H8651" t="str">
            <v>70/74</v>
          </cell>
        </row>
        <row r="8652">
          <cell r="F8652">
            <v>-33690.5</v>
          </cell>
          <cell r="G8652">
            <v>70</v>
          </cell>
          <cell r="H8652" t="str">
            <v>70/74</v>
          </cell>
        </row>
        <row r="8653">
          <cell r="F8653">
            <v>-8634.2000000000007</v>
          </cell>
          <cell r="G8653">
            <v>70</v>
          </cell>
          <cell r="H8653" t="str">
            <v>70/74</v>
          </cell>
        </row>
        <row r="8654">
          <cell r="F8654">
            <v>49615.5</v>
          </cell>
          <cell r="G8654">
            <v>70</v>
          </cell>
          <cell r="H8654" t="str">
            <v>70/74</v>
          </cell>
        </row>
        <row r="8655">
          <cell r="F8655">
            <v>37117.57</v>
          </cell>
          <cell r="G8655">
            <v>70</v>
          </cell>
          <cell r="H8655" t="str">
            <v>70/74</v>
          </cell>
        </row>
        <row r="8656">
          <cell r="F8656">
            <v>394.44</v>
          </cell>
          <cell r="G8656">
            <v>70</v>
          </cell>
          <cell r="H8656" t="str">
            <v>70/74</v>
          </cell>
        </row>
        <row r="8657">
          <cell r="F8657">
            <v>12.5</v>
          </cell>
          <cell r="G8657">
            <v>70</v>
          </cell>
          <cell r="H8657" t="str">
            <v>70/74</v>
          </cell>
        </row>
        <row r="8658">
          <cell r="F8658">
            <v>0</v>
          </cell>
          <cell r="G8658">
            <v>70</v>
          </cell>
          <cell r="H8658" t="str">
            <v>70/74</v>
          </cell>
        </row>
        <row r="8659">
          <cell r="F8659">
            <v>83.95</v>
          </cell>
          <cell r="G8659">
            <v>70</v>
          </cell>
          <cell r="H8659" t="str">
            <v>70/74</v>
          </cell>
        </row>
        <row r="8660">
          <cell r="F8660">
            <v>997.5</v>
          </cell>
          <cell r="G8660">
            <v>70</v>
          </cell>
          <cell r="H8660" t="str">
            <v>70/74</v>
          </cell>
        </row>
        <row r="8661">
          <cell r="F8661">
            <v>11785</v>
          </cell>
          <cell r="G8661">
            <v>70</v>
          </cell>
          <cell r="H8661" t="str">
            <v>70/74</v>
          </cell>
        </row>
        <row r="8662">
          <cell r="F8662">
            <v>1767.39</v>
          </cell>
          <cell r="G8662">
            <v>70</v>
          </cell>
          <cell r="H8662" t="str">
            <v>70/74</v>
          </cell>
        </row>
        <row r="8663">
          <cell r="F8663">
            <v>12</v>
          </cell>
          <cell r="G8663">
            <v>70</v>
          </cell>
          <cell r="H8663" t="str">
            <v>70/74</v>
          </cell>
        </row>
        <row r="8664">
          <cell r="F8664">
            <v>865.4</v>
          </cell>
          <cell r="G8664">
            <v>70</v>
          </cell>
          <cell r="H8664" t="str">
            <v>70/74</v>
          </cell>
        </row>
        <row r="8665">
          <cell r="F8665">
            <v>108.83</v>
          </cell>
          <cell r="G8665">
            <v>70</v>
          </cell>
          <cell r="H8665" t="str">
            <v>70/74</v>
          </cell>
        </row>
        <row r="8666">
          <cell r="F8666">
            <v>36402.78</v>
          </cell>
          <cell r="G8666">
            <v>70</v>
          </cell>
          <cell r="H8666" t="str">
            <v>70/74</v>
          </cell>
        </row>
        <row r="8667">
          <cell r="F8667">
            <v>510</v>
          </cell>
          <cell r="G8667">
            <v>70</v>
          </cell>
          <cell r="H8667" t="str">
            <v>70/74</v>
          </cell>
        </row>
        <row r="8668">
          <cell r="F8668">
            <v>5367.19</v>
          </cell>
          <cell r="G8668">
            <v>70</v>
          </cell>
          <cell r="H8668" t="str">
            <v>70/74</v>
          </cell>
        </row>
        <row r="8669">
          <cell r="F8669">
            <v>71.209999999999994</v>
          </cell>
          <cell r="G8669">
            <v>70</v>
          </cell>
          <cell r="H8669" t="str">
            <v>70/74</v>
          </cell>
        </row>
        <row r="8670">
          <cell r="F8670">
            <v>360</v>
          </cell>
          <cell r="G8670">
            <v>70</v>
          </cell>
          <cell r="H8670" t="str">
            <v>70/74</v>
          </cell>
        </row>
        <row r="8671">
          <cell r="F8671">
            <v>1.4</v>
          </cell>
          <cell r="G8671">
            <v>70</v>
          </cell>
          <cell r="H8671" t="str">
            <v>70/74</v>
          </cell>
        </row>
        <row r="8672">
          <cell r="F8672">
            <v>1401.65</v>
          </cell>
          <cell r="G8672">
            <v>70</v>
          </cell>
          <cell r="H8672" t="str">
            <v>70/74</v>
          </cell>
        </row>
        <row r="8673">
          <cell r="F8673">
            <v>271</v>
          </cell>
          <cell r="G8673">
            <v>70</v>
          </cell>
          <cell r="H8673" t="str">
            <v>70/74</v>
          </cell>
        </row>
        <row r="8674">
          <cell r="F8674">
            <v>529.34</v>
          </cell>
          <cell r="G8674">
            <v>70</v>
          </cell>
          <cell r="H8674" t="str">
            <v>70/74</v>
          </cell>
        </row>
        <row r="8675">
          <cell r="F8675">
            <v>623</v>
          </cell>
          <cell r="G8675">
            <v>70</v>
          </cell>
          <cell r="H8675" t="str">
            <v>70/74</v>
          </cell>
        </row>
        <row r="8676">
          <cell r="F8676">
            <v>45</v>
          </cell>
          <cell r="G8676">
            <v>70</v>
          </cell>
          <cell r="H8676" t="str">
            <v>70/74</v>
          </cell>
        </row>
        <row r="8677">
          <cell r="F8677">
            <v>14</v>
          </cell>
          <cell r="G8677">
            <v>70</v>
          </cell>
          <cell r="H8677" t="str">
            <v>70/74</v>
          </cell>
        </row>
        <row r="8678">
          <cell r="F8678">
            <v>3.13</v>
          </cell>
          <cell r="G8678">
            <v>70</v>
          </cell>
          <cell r="H8678" t="str">
            <v>70/74</v>
          </cell>
        </row>
        <row r="8679">
          <cell r="F8679">
            <v>530</v>
          </cell>
          <cell r="G8679">
            <v>70</v>
          </cell>
          <cell r="H8679" t="str">
            <v>70/74</v>
          </cell>
        </row>
        <row r="8680">
          <cell r="F8680">
            <v>260</v>
          </cell>
          <cell r="G8680">
            <v>70</v>
          </cell>
          <cell r="H8680" t="str">
            <v>70/74</v>
          </cell>
        </row>
        <row r="8681">
          <cell r="F8681">
            <v>831.92</v>
          </cell>
          <cell r="G8681">
            <v>70</v>
          </cell>
          <cell r="H8681" t="str">
            <v>70/74</v>
          </cell>
        </row>
        <row r="8682">
          <cell r="F8682">
            <v>65</v>
          </cell>
          <cell r="G8682">
            <v>70</v>
          </cell>
          <cell r="H8682" t="str">
            <v>70/74</v>
          </cell>
        </row>
        <row r="8683">
          <cell r="F8683">
            <v>1005.8700000000001</v>
          </cell>
          <cell r="G8683">
            <v>70</v>
          </cell>
          <cell r="H8683" t="str">
            <v>70/74</v>
          </cell>
        </row>
        <row r="8684">
          <cell r="F8684">
            <v>237.09</v>
          </cell>
          <cell r="G8684">
            <v>70</v>
          </cell>
          <cell r="H8684" t="str">
            <v>70/74</v>
          </cell>
        </row>
        <row r="8685">
          <cell r="F8685">
            <v>377.94</v>
          </cell>
          <cell r="G8685">
            <v>70</v>
          </cell>
          <cell r="H8685" t="str">
            <v>70/74</v>
          </cell>
        </row>
        <row r="8686">
          <cell r="F8686">
            <v>81.8</v>
          </cell>
          <cell r="G8686">
            <v>70</v>
          </cell>
          <cell r="H8686" t="str">
            <v>70/74</v>
          </cell>
        </row>
        <row r="8687">
          <cell r="F8687">
            <v>5967.61</v>
          </cell>
          <cell r="G8687">
            <v>70</v>
          </cell>
          <cell r="H8687" t="str">
            <v>70/74</v>
          </cell>
        </row>
        <row r="8688">
          <cell r="F8688">
            <v>258</v>
          </cell>
          <cell r="G8688">
            <v>70</v>
          </cell>
          <cell r="H8688" t="str">
            <v>70/74</v>
          </cell>
        </row>
        <row r="8689">
          <cell r="F8689">
            <v>1260.8</v>
          </cell>
          <cell r="G8689">
            <v>70</v>
          </cell>
          <cell r="H8689" t="str">
            <v>70/74</v>
          </cell>
        </row>
        <row r="8690">
          <cell r="F8690">
            <v>101.5</v>
          </cell>
          <cell r="G8690">
            <v>70</v>
          </cell>
          <cell r="H8690" t="str">
            <v>70/74</v>
          </cell>
        </row>
        <row r="8691">
          <cell r="F8691">
            <v>210.78</v>
          </cell>
          <cell r="G8691">
            <v>70</v>
          </cell>
          <cell r="H8691" t="str">
            <v>70/74</v>
          </cell>
        </row>
        <row r="8692">
          <cell r="F8692">
            <v>-1744.3600000000001</v>
          </cell>
          <cell r="G8692">
            <v>70</v>
          </cell>
          <cell r="H8692" t="str">
            <v>70/74</v>
          </cell>
        </row>
        <row r="8693">
          <cell r="F8693">
            <v>83.1</v>
          </cell>
          <cell r="G8693">
            <v>70</v>
          </cell>
          <cell r="H8693" t="str">
            <v>70/74</v>
          </cell>
        </row>
        <row r="8694">
          <cell r="F8694">
            <v>-12.800000000000011</v>
          </cell>
          <cell r="G8694">
            <v>70</v>
          </cell>
          <cell r="H8694" t="str">
            <v>70/74</v>
          </cell>
        </row>
        <row r="8695">
          <cell r="F8695">
            <v>425</v>
          </cell>
          <cell r="G8695">
            <v>70</v>
          </cell>
          <cell r="H8695" t="str">
            <v>70/74</v>
          </cell>
        </row>
        <row r="8696">
          <cell r="F8696">
            <v>2556.5</v>
          </cell>
          <cell r="G8696">
            <v>70</v>
          </cell>
          <cell r="H8696" t="str">
            <v>70/74</v>
          </cell>
        </row>
        <row r="8697">
          <cell r="F8697">
            <v>1694</v>
          </cell>
          <cell r="G8697">
            <v>70</v>
          </cell>
          <cell r="H8697" t="str">
            <v>70/74</v>
          </cell>
        </row>
        <row r="8698">
          <cell r="F8698">
            <v>-1684</v>
          </cell>
          <cell r="G8698">
            <v>70</v>
          </cell>
          <cell r="H8698" t="str">
            <v>70/74</v>
          </cell>
        </row>
        <row r="8699">
          <cell r="F8699">
            <v>120</v>
          </cell>
          <cell r="G8699">
            <v>70</v>
          </cell>
          <cell r="H8699" t="str">
            <v>70/74</v>
          </cell>
        </row>
        <row r="8700">
          <cell r="F8700">
            <v>5597.41</v>
          </cell>
          <cell r="G8700">
            <v>70</v>
          </cell>
          <cell r="H8700" t="str">
            <v>70/74</v>
          </cell>
        </row>
        <row r="8701">
          <cell r="F8701">
            <v>2990.3</v>
          </cell>
          <cell r="G8701">
            <v>70</v>
          </cell>
          <cell r="H8701" t="str">
            <v>70/74</v>
          </cell>
        </row>
        <row r="8702">
          <cell r="F8702">
            <v>2918.32</v>
          </cell>
          <cell r="G8702">
            <v>70</v>
          </cell>
          <cell r="H8702" t="str">
            <v>70/74</v>
          </cell>
        </row>
        <row r="8703">
          <cell r="F8703">
            <v>1456</v>
          </cell>
          <cell r="G8703">
            <v>70</v>
          </cell>
          <cell r="H8703" t="str">
            <v>70/74</v>
          </cell>
        </row>
        <row r="8704">
          <cell r="F8704">
            <v>3360</v>
          </cell>
          <cell r="G8704">
            <v>70</v>
          </cell>
          <cell r="H8704" t="str">
            <v>70/74</v>
          </cell>
        </row>
        <row r="8705">
          <cell r="F8705">
            <v>104.24</v>
          </cell>
          <cell r="G8705">
            <v>70</v>
          </cell>
          <cell r="H8705" t="str">
            <v>70/74</v>
          </cell>
        </row>
        <row r="8706">
          <cell r="F8706">
            <v>19534.600000000002</v>
          </cell>
          <cell r="G8706">
            <v>70</v>
          </cell>
          <cell r="H8706" t="str">
            <v>70/74</v>
          </cell>
        </row>
        <row r="8707">
          <cell r="F8707">
            <v>46736.19</v>
          </cell>
          <cell r="G8707">
            <v>70</v>
          </cell>
          <cell r="H8707" t="str">
            <v>70/74</v>
          </cell>
        </row>
        <row r="8708">
          <cell r="F8708">
            <v>36525.08</v>
          </cell>
          <cell r="G8708">
            <v>70</v>
          </cell>
          <cell r="H8708" t="str">
            <v>70/74</v>
          </cell>
        </row>
        <row r="8709">
          <cell r="F8709">
            <v>716.45</v>
          </cell>
          <cell r="G8709">
            <v>70</v>
          </cell>
          <cell r="H8709" t="str">
            <v>70/74</v>
          </cell>
        </row>
        <row r="8710">
          <cell r="F8710">
            <v>306.81</v>
          </cell>
          <cell r="G8710">
            <v>70</v>
          </cell>
          <cell r="H8710" t="str">
            <v>70/74</v>
          </cell>
        </row>
        <row r="8711">
          <cell r="F8711">
            <v>34.72</v>
          </cell>
          <cell r="G8711">
            <v>70</v>
          </cell>
          <cell r="H8711" t="str">
            <v>70/74</v>
          </cell>
        </row>
        <row r="8712">
          <cell r="F8712">
            <v>-419.12</v>
          </cell>
          <cell r="G8712">
            <v>70</v>
          </cell>
          <cell r="H8712" t="str">
            <v>70/74</v>
          </cell>
        </row>
        <row r="8713">
          <cell r="F8713">
            <v>73.62</v>
          </cell>
          <cell r="G8713">
            <v>70</v>
          </cell>
          <cell r="H8713" t="str">
            <v>70/74</v>
          </cell>
        </row>
        <row r="8714">
          <cell r="F8714">
            <v>9616.7199999999993</v>
          </cell>
          <cell r="G8714">
            <v>70</v>
          </cell>
          <cell r="H8714" t="str">
            <v>70/74</v>
          </cell>
        </row>
        <row r="8715">
          <cell r="F8715">
            <v>63573.47</v>
          </cell>
          <cell r="G8715">
            <v>70</v>
          </cell>
          <cell r="H8715" t="str">
            <v>70/74</v>
          </cell>
        </row>
        <row r="8716">
          <cell r="F8716">
            <v>2058</v>
          </cell>
          <cell r="G8716">
            <v>70</v>
          </cell>
          <cell r="H8716" t="str">
            <v>70/74</v>
          </cell>
        </row>
        <row r="8717">
          <cell r="F8717">
            <v>0</v>
          </cell>
          <cell r="G8717">
            <v>70</v>
          </cell>
          <cell r="H8717" t="str">
            <v>70/74</v>
          </cell>
        </row>
        <row r="8718">
          <cell r="F8718">
            <v>570</v>
          </cell>
          <cell r="G8718">
            <v>70</v>
          </cell>
          <cell r="H8718" t="str">
            <v>70/74</v>
          </cell>
        </row>
        <row r="8719">
          <cell r="F8719">
            <v>108</v>
          </cell>
          <cell r="G8719">
            <v>70</v>
          </cell>
          <cell r="H8719" t="str">
            <v>70/74</v>
          </cell>
        </row>
        <row r="8720">
          <cell r="F8720">
            <v>750</v>
          </cell>
          <cell r="G8720">
            <v>70</v>
          </cell>
          <cell r="H8720" t="str">
            <v>70/74</v>
          </cell>
        </row>
        <row r="8721">
          <cell r="F8721">
            <v>0</v>
          </cell>
          <cell r="G8721">
            <v>70</v>
          </cell>
          <cell r="H8721" t="str">
            <v>70/74</v>
          </cell>
        </row>
        <row r="8722">
          <cell r="F8722">
            <v>1168</v>
          </cell>
          <cell r="G8722">
            <v>70</v>
          </cell>
          <cell r="H8722" t="str">
            <v>70/74</v>
          </cell>
        </row>
        <row r="8723">
          <cell r="F8723">
            <v>1800</v>
          </cell>
          <cell r="G8723">
            <v>70</v>
          </cell>
          <cell r="H8723" t="str">
            <v>70/74</v>
          </cell>
        </row>
        <row r="8724">
          <cell r="F8724">
            <v>22385.19</v>
          </cell>
          <cell r="G8724">
            <v>70</v>
          </cell>
          <cell r="H8724" t="str">
            <v>70/74</v>
          </cell>
        </row>
        <row r="8725">
          <cell r="F8725">
            <v>15300.54</v>
          </cell>
          <cell r="G8725">
            <v>70</v>
          </cell>
          <cell r="H8725" t="str">
            <v>70/74</v>
          </cell>
        </row>
        <row r="8726">
          <cell r="F8726">
            <v>40</v>
          </cell>
          <cell r="G8726">
            <v>70</v>
          </cell>
          <cell r="H8726" t="str">
            <v>70/74</v>
          </cell>
        </row>
        <row r="8727">
          <cell r="F8727">
            <v>194</v>
          </cell>
          <cell r="G8727">
            <v>70</v>
          </cell>
          <cell r="H8727" t="str">
            <v>70/74</v>
          </cell>
        </row>
        <row r="8728">
          <cell r="F8728">
            <v>1500</v>
          </cell>
          <cell r="G8728">
            <v>70</v>
          </cell>
          <cell r="H8728" t="str">
            <v>70/74</v>
          </cell>
        </row>
        <row r="8729">
          <cell r="F8729">
            <v>0</v>
          </cell>
          <cell r="G8729">
            <v>70</v>
          </cell>
          <cell r="H8729" t="str">
            <v>70/74</v>
          </cell>
        </row>
        <row r="8730">
          <cell r="F8730">
            <v>76</v>
          </cell>
          <cell r="G8730">
            <v>70</v>
          </cell>
          <cell r="H8730" t="str">
            <v>70/74</v>
          </cell>
        </row>
        <row r="8731">
          <cell r="F8731">
            <v>1090.43</v>
          </cell>
          <cell r="G8731">
            <v>70</v>
          </cell>
          <cell r="H8731" t="str">
            <v>70/74</v>
          </cell>
        </row>
        <row r="8732">
          <cell r="F8732">
            <v>6389.66</v>
          </cell>
          <cell r="G8732">
            <v>70</v>
          </cell>
          <cell r="H8732" t="str">
            <v>70/74</v>
          </cell>
        </row>
        <row r="8733">
          <cell r="F8733">
            <v>687.2</v>
          </cell>
          <cell r="G8733">
            <v>70</v>
          </cell>
          <cell r="H8733" t="str">
            <v>70/74</v>
          </cell>
        </row>
        <row r="8734">
          <cell r="F8734">
            <v>0</v>
          </cell>
          <cell r="G8734">
            <v>70</v>
          </cell>
          <cell r="H8734" t="str">
            <v>70/74</v>
          </cell>
        </row>
        <row r="8735">
          <cell r="F8735">
            <v>11131.74</v>
          </cell>
          <cell r="G8735">
            <v>70</v>
          </cell>
          <cell r="H8735" t="str">
            <v>70/74</v>
          </cell>
        </row>
        <row r="8736">
          <cell r="F8736">
            <v>8640</v>
          </cell>
          <cell r="G8736">
            <v>70</v>
          </cell>
          <cell r="H8736" t="str">
            <v>70/74</v>
          </cell>
        </row>
        <row r="8737">
          <cell r="F8737">
            <v>63890.55</v>
          </cell>
          <cell r="G8737">
            <v>70</v>
          </cell>
          <cell r="H8737" t="str">
            <v>70/74</v>
          </cell>
        </row>
        <row r="8738">
          <cell r="F8738">
            <v>280</v>
          </cell>
          <cell r="G8738">
            <v>70</v>
          </cell>
          <cell r="H8738" t="str">
            <v>70/74</v>
          </cell>
        </row>
        <row r="8739">
          <cell r="F8739">
            <v>2395.11</v>
          </cell>
          <cell r="G8739">
            <v>70</v>
          </cell>
          <cell r="H8739" t="str">
            <v>70/74</v>
          </cell>
        </row>
        <row r="8740">
          <cell r="F8740">
            <v>585</v>
          </cell>
          <cell r="G8740">
            <v>70</v>
          </cell>
          <cell r="H8740" t="str">
            <v>70/74</v>
          </cell>
        </row>
        <row r="8741">
          <cell r="F8741">
            <v>375</v>
          </cell>
          <cell r="G8741">
            <v>70</v>
          </cell>
          <cell r="H8741" t="str">
            <v>70/74</v>
          </cell>
        </row>
        <row r="8742">
          <cell r="F8742">
            <v>41627.800000000003</v>
          </cell>
          <cell r="G8742">
            <v>70</v>
          </cell>
          <cell r="H8742" t="str">
            <v>70/74</v>
          </cell>
        </row>
        <row r="8743">
          <cell r="F8743">
            <v>31987.81</v>
          </cell>
          <cell r="G8743">
            <v>70</v>
          </cell>
          <cell r="H8743" t="str">
            <v>70/74</v>
          </cell>
        </row>
        <row r="8744">
          <cell r="F8744">
            <v>23794.67</v>
          </cell>
          <cell r="G8744">
            <v>70</v>
          </cell>
          <cell r="H8744" t="str">
            <v>70/74</v>
          </cell>
        </row>
        <row r="8745">
          <cell r="F8745">
            <v>10066.9</v>
          </cell>
          <cell r="G8745">
            <v>70</v>
          </cell>
          <cell r="H8745" t="str">
            <v>70/74</v>
          </cell>
        </row>
        <row r="8746">
          <cell r="F8746">
            <v>450</v>
          </cell>
          <cell r="G8746">
            <v>70</v>
          </cell>
          <cell r="H8746" t="str">
            <v>70/74</v>
          </cell>
        </row>
        <row r="8747">
          <cell r="F8747">
            <v>0</v>
          </cell>
          <cell r="G8747">
            <v>0</v>
          </cell>
          <cell r="H8747">
            <v>0</v>
          </cell>
        </row>
        <row r="8748">
          <cell r="F8748">
            <v>0</v>
          </cell>
          <cell r="G8748">
            <v>0</v>
          </cell>
          <cell r="H8748">
            <v>0</v>
          </cell>
        </row>
        <row r="8749">
          <cell r="F8749">
            <v>0</v>
          </cell>
          <cell r="G8749">
            <v>0</v>
          </cell>
          <cell r="H8749">
            <v>0</v>
          </cell>
        </row>
        <row r="8750">
          <cell r="F8750">
            <v>-2149.7800000000002</v>
          </cell>
          <cell r="G8750">
            <v>0</v>
          </cell>
          <cell r="H8750">
            <v>0</v>
          </cell>
        </row>
        <row r="8751">
          <cell r="F8751">
            <v>-803.73</v>
          </cell>
          <cell r="G8751">
            <v>0</v>
          </cell>
          <cell r="H8751">
            <v>0</v>
          </cell>
        </row>
        <row r="8752">
          <cell r="F8752">
            <v>-2757.2</v>
          </cell>
          <cell r="G8752">
            <v>0</v>
          </cell>
          <cell r="H8752">
            <v>0</v>
          </cell>
        </row>
        <row r="8753">
          <cell r="F8753">
            <v>-4689.29</v>
          </cell>
          <cell r="G8753">
            <v>0</v>
          </cell>
          <cell r="H8753">
            <v>0</v>
          </cell>
        </row>
        <row r="8754">
          <cell r="F8754">
            <v>-8117.09</v>
          </cell>
          <cell r="G8754">
            <v>0</v>
          </cell>
          <cell r="H8754">
            <v>0</v>
          </cell>
        </row>
        <row r="8755">
          <cell r="F8755">
            <v>-8310.9599999999991</v>
          </cell>
          <cell r="G8755">
            <v>0</v>
          </cell>
          <cell r="H8755">
            <v>0</v>
          </cell>
        </row>
        <row r="8756">
          <cell r="F8756">
            <v>0</v>
          </cell>
          <cell r="G8756">
            <v>0</v>
          </cell>
          <cell r="H8756">
            <v>0</v>
          </cell>
        </row>
        <row r="8757">
          <cell r="F8757">
            <v>-234.88</v>
          </cell>
          <cell r="G8757">
            <v>0</v>
          </cell>
          <cell r="H8757">
            <v>0</v>
          </cell>
        </row>
        <row r="8758">
          <cell r="F8758">
            <v>-7849.34</v>
          </cell>
          <cell r="G8758">
            <v>0</v>
          </cell>
          <cell r="H8758">
            <v>0</v>
          </cell>
        </row>
        <row r="8759">
          <cell r="F8759">
            <v>-1914.67</v>
          </cell>
          <cell r="G8759">
            <v>0</v>
          </cell>
          <cell r="H8759">
            <v>0</v>
          </cell>
        </row>
        <row r="8760">
          <cell r="F8760">
            <v>-438.71</v>
          </cell>
          <cell r="G8760">
            <v>0</v>
          </cell>
          <cell r="H8760">
            <v>0</v>
          </cell>
        </row>
        <row r="8761">
          <cell r="F8761">
            <v>-6438.23</v>
          </cell>
          <cell r="G8761">
            <v>0</v>
          </cell>
          <cell r="H8761">
            <v>0</v>
          </cell>
        </row>
        <row r="8762">
          <cell r="F8762">
            <v>-8347.51</v>
          </cell>
          <cell r="G8762">
            <v>0</v>
          </cell>
          <cell r="H8762">
            <v>0</v>
          </cell>
        </row>
        <row r="8763">
          <cell r="F8763">
            <v>-6452.76</v>
          </cell>
          <cell r="G8763">
            <v>0</v>
          </cell>
          <cell r="H8763">
            <v>0</v>
          </cell>
        </row>
        <row r="8764">
          <cell r="F8764">
            <v>148287.66</v>
          </cell>
          <cell r="G8764">
            <v>0</v>
          </cell>
          <cell r="H8764">
            <v>0</v>
          </cell>
        </row>
        <row r="8765">
          <cell r="F8765">
            <v>-567.67000000000007</v>
          </cell>
          <cell r="G8765">
            <v>0</v>
          </cell>
          <cell r="H8765">
            <v>0</v>
          </cell>
        </row>
        <row r="8766">
          <cell r="F8766">
            <v>-172.87</v>
          </cell>
          <cell r="G8766">
            <v>0</v>
          </cell>
          <cell r="H8766">
            <v>0</v>
          </cell>
        </row>
        <row r="8767">
          <cell r="F8767">
            <v>-2977.59</v>
          </cell>
          <cell r="G8767">
            <v>0</v>
          </cell>
          <cell r="H8767">
            <v>0</v>
          </cell>
        </row>
        <row r="8768">
          <cell r="F8768">
            <v>-1484.89</v>
          </cell>
          <cell r="G8768">
            <v>0</v>
          </cell>
          <cell r="H8768">
            <v>0</v>
          </cell>
        </row>
        <row r="8769">
          <cell r="F8769">
            <v>-1294.9000000000001</v>
          </cell>
          <cell r="G8769">
            <v>0</v>
          </cell>
          <cell r="H8769">
            <v>0</v>
          </cell>
        </row>
        <row r="8770">
          <cell r="F8770">
            <v>-27830.76</v>
          </cell>
          <cell r="G8770">
            <v>0</v>
          </cell>
          <cell r="H8770">
            <v>0</v>
          </cell>
        </row>
        <row r="8771">
          <cell r="F8771">
            <v>0</v>
          </cell>
          <cell r="G8771">
            <v>0</v>
          </cell>
          <cell r="H8771">
            <v>0</v>
          </cell>
        </row>
        <row r="8772">
          <cell r="F8772">
            <v>-21.25</v>
          </cell>
          <cell r="G8772">
            <v>0</v>
          </cell>
          <cell r="H8772">
            <v>0</v>
          </cell>
        </row>
        <row r="8773">
          <cell r="F8773">
            <v>-12</v>
          </cell>
          <cell r="G8773">
            <v>0</v>
          </cell>
          <cell r="H8773">
            <v>0</v>
          </cell>
        </row>
        <row r="8774">
          <cell r="F8774">
            <v>0</v>
          </cell>
          <cell r="G8774">
            <v>0</v>
          </cell>
          <cell r="H8774">
            <v>0</v>
          </cell>
        </row>
        <row r="8775">
          <cell r="F8775">
            <v>0</v>
          </cell>
          <cell r="G8775">
            <v>0</v>
          </cell>
          <cell r="H8775">
            <v>0</v>
          </cell>
        </row>
        <row r="8776">
          <cell r="F8776">
            <v>0</v>
          </cell>
          <cell r="G8776">
            <v>0</v>
          </cell>
          <cell r="H8776">
            <v>0</v>
          </cell>
        </row>
        <row r="8777">
          <cell r="F8777">
            <v>0</v>
          </cell>
          <cell r="G8777">
            <v>0</v>
          </cell>
          <cell r="H8777">
            <v>0</v>
          </cell>
        </row>
        <row r="8778">
          <cell r="F8778">
            <v>0</v>
          </cell>
          <cell r="G8778">
            <v>0</v>
          </cell>
          <cell r="H8778">
            <v>0</v>
          </cell>
        </row>
        <row r="8779">
          <cell r="F8779">
            <v>0</v>
          </cell>
          <cell r="G8779">
            <v>0</v>
          </cell>
          <cell r="H8779">
            <v>0</v>
          </cell>
        </row>
        <row r="8780">
          <cell r="F8780">
            <v>0</v>
          </cell>
          <cell r="G8780">
            <v>0</v>
          </cell>
          <cell r="H8780">
            <v>0</v>
          </cell>
        </row>
        <row r="8781">
          <cell r="F8781">
            <v>0</v>
          </cell>
          <cell r="G8781">
            <v>0</v>
          </cell>
          <cell r="H8781">
            <v>0</v>
          </cell>
        </row>
        <row r="8782">
          <cell r="F8782">
            <v>0</v>
          </cell>
          <cell r="G8782">
            <v>0</v>
          </cell>
          <cell r="H8782">
            <v>0</v>
          </cell>
        </row>
        <row r="8783">
          <cell r="F8783">
            <v>0</v>
          </cell>
          <cell r="G8783">
            <v>0</v>
          </cell>
          <cell r="H8783">
            <v>0</v>
          </cell>
        </row>
        <row r="8784">
          <cell r="F8784">
            <v>-1206.68</v>
          </cell>
          <cell r="G8784">
            <v>0</v>
          </cell>
          <cell r="H8784">
            <v>0</v>
          </cell>
        </row>
        <row r="8785">
          <cell r="F8785">
            <v>-1289.5999999999999</v>
          </cell>
          <cell r="G8785">
            <v>0</v>
          </cell>
          <cell r="H8785">
            <v>0</v>
          </cell>
        </row>
        <row r="8786">
          <cell r="F8786">
            <v>0</v>
          </cell>
          <cell r="G8786">
            <v>0</v>
          </cell>
          <cell r="H8786">
            <v>0</v>
          </cell>
        </row>
        <row r="8787">
          <cell r="F8787">
            <v>-10045.85</v>
          </cell>
          <cell r="G8787">
            <v>0</v>
          </cell>
          <cell r="H8787">
            <v>0</v>
          </cell>
        </row>
        <row r="8788">
          <cell r="F8788">
            <v>-6357.34</v>
          </cell>
          <cell r="G8788">
            <v>0</v>
          </cell>
          <cell r="H8788">
            <v>0</v>
          </cell>
        </row>
        <row r="8789">
          <cell r="F8789">
            <v>0</v>
          </cell>
          <cell r="G8789">
            <v>0</v>
          </cell>
          <cell r="H8789">
            <v>0</v>
          </cell>
        </row>
        <row r="8790">
          <cell r="F8790">
            <v>0</v>
          </cell>
          <cell r="G8790">
            <v>0</v>
          </cell>
          <cell r="H8790">
            <v>0</v>
          </cell>
        </row>
        <row r="8791">
          <cell r="F8791">
            <v>0</v>
          </cell>
          <cell r="G8791">
            <v>0</v>
          </cell>
          <cell r="H8791">
            <v>0</v>
          </cell>
        </row>
        <row r="8792">
          <cell r="F8792">
            <v>0</v>
          </cell>
          <cell r="G8792">
            <v>0</v>
          </cell>
          <cell r="H8792">
            <v>0</v>
          </cell>
        </row>
        <row r="8793">
          <cell r="F8793">
            <v>0</v>
          </cell>
          <cell r="G8793">
            <v>0</v>
          </cell>
          <cell r="H8793">
            <v>0</v>
          </cell>
        </row>
        <row r="8794">
          <cell r="F8794">
            <v>0</v>
          </cell>
          <cell r="G8794">
            <v>0</v>
          </cell>
          <cell r="H8794">
            <v>0</v>
          </cell>
        </row>
        <row r="8795">
          <cell r="F8795">
            <v>0</v>
          </cell>
          <cell r="G8795">
            <v>0</v>
          </cell>
          <cell r="H8795">
            <v>0</v>
          </cell>
        </row>
        <row r="8796">
          <cell r="F8796">
            <v>0</v>
          </cell>
          <cell r="G8796">
            <v>0</v>
          </cell>
          <cell r="H8796">
            <v>0</v>
          </cell>
        </row>
        <row r="8797">
          <cell r="F8797">
            <v>0</v>
          </cell>
          <cell r="G8797">
            <v>0</v>
          </cell>
          <cell r="H8797">
            <v>0</v>
          </cell>
        </row>
        <row r="8798">
          <cell r="F8798">
            <v>0</v>
          </cell>
          <cell r="G8798">
            <v>0</v>
          </cell>
          <cell r="H8798">
            <v>0</v>
          </cell>
        </row>
        <row r="8799">
          <cell r="F8799">
            <v>-1885.5</v>
          </cell>
          <cell r="G8799">
            <v>0</v>
          </cell>
          <cell r="H8799">
            <v>0</v>
          </cell>
        </row>
        <row r="8800">
          <cell r="F8800">
            <v>0</v>
          </cell>
          <cell r="G8800">
            <v>0</v>
          </cell>
          <cell r="H8800">
            <v>0</v>
          </cell>
        </row>
        <row r="8801">
          <cell r="F8801">
            <v>-3975.79</v>
          </cell>
          <cell r="G8801">
            <v>0</v>
          </cell>
          <cell r="H8801">
            <v>0</v>
          </cell>
        </row>
        <row r="8802">
          <cell r="F8802">
            <v>-11973.51</v>
          </cell>
          <cell r="G8802">
            <v>0</v>
          </cell>
          <cell r="H8802">
            <v>0</v>
          </cell>
        </row>
        <row r="8803">
          <cell r="F8803">
            <v>0</v>
          </cell>
          <cell r="G8803">
            <v>0</v>
          </cell>
          <cell r="H8803">
            <v>0</v>
          </cell>
        </row>
        <row r="8804">
          <cell r="F8804">
            <v>-299.02999999999997</v>
          </cell>
          <cell r="G8804">
            <v>0</v>
          </cell>
          <cell r="H8804">
            <v>0</v>
          </cell>
        </row>
        <row r="8805">
          <cell r="F8805">
            <v>-1426</v>
          </cell>
          <cell r="G8805">
            <v>0</v>
          </cell>
          <cell r="H8805">
            <v>0</v>
          </cell>
        </row>
        <row r="8806">
          <cell r="F8806">
            <v>0</v>
          </cell>
          <cell r="G8806">
            <v>0</v>
          </cell>
          <cell r="H8806">
            <v>0</v>
          </cell>
        </row>
        <row r="8807">
          <cell r="F8807">
            <v>0</v>
          </cell>
          <cell r="G8807">
            <v>0</v>
          </cell>
          <cell r="H8807">
            <v>0</v>
          </cell>
        </row>
        <row r="8808">
          <cell r="F8808">
            <v>0</v>
          </cell>
          <cell r="G8808">
            <v>0</v>
          </cell>
          <cell r="H8808">
            <v>0</v>
          </cell>
        </row>
        <row r="8809">
          <cell r="F8809">
            <v>0</v>
          </cell>
          <cell r="G8809">
            <v>0</v>
          </cell>
          <cell r="H8809">
            <v>0</v>
          </cell>
        </row>
        <row r="8810">
          <cell r="F8810">
            <v>0</v>
          </cell>
          <cell r="G8810">
            <v>0</v>
          </cell>
          <cell r="H8810">
            <v>0</v>
          </cell>
        </row>
        <row r="8811">
          <cell r="F8811">
            <v>0</v>
          </cell>
          <cell r="G8811">
            <v>0</v>
          </cell>
          <cell r="H8811">
            <v>0</v>
          </cell>
        </row>
        <row r="8812">
          <cell r="F8812">
            <v>0</v>
          </cell>
          <cell r="G8812">
            <v>0</v>
          </cell>
          <cell r="H8812">
            <v>0</v>
          </cell>
        </row>
        <row r="8813">
          <cell r="F8813">
            <v>0</v>
          </cell>
          <cell r="G8813">
            <v>0</v>
          </cell>
          <cell r="H8813">
            <v>0</v>
          </cell>
        </row>
        <row r="8814">
          <cell r="F8814">
            <v>0</v>
          </cell>
          <cell r="G8814">
            <v>0</v>
          </cell>
          <cell r="H8814">
            <v>0</v>
          </cell>
        </row>
        <row r="8815">
          <cell r="F8815">
            <v>0</v>
          </cell>
          <cell r="G8815">
            <v>0</v>
          </cell>
          <cell r="H8815">
            <v>0</v>
          </cell>
        </row>
        <row r="8816">
          <cell r="F8816">
            <v>0</v>
          </cell>
          <cell r="G8816">
            <v>0</v>
          </cell>
          <cell r="H8816">
            <v>0</v>
          </cell>
        </row>
        <row r="8817">
          <cell r="F8817">
            <v>0</v>
          </cell>
          <cell r="G8817">
            <v>0</v>
          </cell>
          <cell r="H8817">
            <v>0</v>
          </cell>
        </row>
        <row r="8818">
          <cell r="F8818">
            <v>0</v>
          </cell>
          <cell r="G8818">
            <v>0</v>
          </cell>
          <cell r="H8818">
            <v>0</v>
          </cell>
        </row>
        <row r="8819">
          <cell r="F8819">
            <v>0</v>
          </cell>
          <cell r="G8819">
            <v>0</v>
          </cell>
          <cell r="H8819">
            <v>0</v>
          </cell>
        </row>
        <row r="8820">
          <cell r="F8820">
            <v>0</v>
          </cell>
          <cell r="G8820">
            <v>0</v>
          </cell>
          <cell r="H8820">
            <v>0</v>
          </cell>
        </row>
        <row r="8821">
          <cell r="F8821">
            <v>0</v>
          </cell>
          <cell r="G8821">
            <v>0</v>
          </cell>
          <cell r="H8821">
            <v>0</v>
          </cell>
        </row>
        <row r="8822">
          <cell r="F8822">
            <v>0</v>
          </cell>
          <cell r="G8822">
            <v>0</v>
          </cell>
          <cell r="H8822">
            <v>0</v>
          </cell>
        </row>
        <row r="8823">
          <cell r="F8823">
            <v>0</v>
          </cell>
          <cell r="G8823">
            <v>0</v>
          </cell>
          <cell r="H8823">
            <v>0</v>
          </cell>
        </row>
        <row r="8824">
          <cell r="F8824">
            <v>-184.7</v>
          </cell>
          <cell r="G8824">
            <v>0</v>
          </cell>
          <cell r="H8824">
            <v>0</v>
          </cell>
        </row>
        <row r="8825">
          <cell r="F8825">
            <v>0</v>
          </cell>
          <cell r="G8825">
            <v>0</v>
          </cell>
          <cell r="H8825">
            <v>0</v>
          </cell>
        </row>
        <row r="8826">
          <cell r="F8826">
            <v>0</v>
          </cell>
          <cell r="G8826">
            <v>0</v>
          </cell>
          <cell r="H8826">
            <v>0</v>
          </cell>
        </row>
        <row r="8827">
          <cell r="F8827">
            <v>0</v>
          </cell>
          <cell r="G8827">
            <v>0</v>
          </cell>
          <cell r="H8827">
            <v>0</v>
          </cell>
        </row>
        <row r="8828">
          <cell r="F8828">
            <v>0</v>
          </cell>
          <cell r="G8828">
            <v>0</v>
          </cell>
          <cell r="H8828">
            <v>0</v>
          </cell>
        </row>
        <row r="8829">
          <cell r="F8829">
            <v>0</v>
          </cell>
          <cell r="G8829">
            <v>0</v>
          </cell>
          <cell r="H8829">
            <v>0</v>
          </cell>
        </row>
        <row r="8830">
          <cell r="F8830">
            <v>-3147.85</v>
          </cell>
          <cell r="G8830">
            <v>0</v>
          </cell>
          <cell r="H8830">
            <v>0</v>
          </cell>
        </row>
        <row r="8831">
          <cell r="F8831">
            <v>-1761.15</v>
          </cell>
          <cell r="G8831">
            <v>0</v>
          </cell>
          <cell r="H8831">
            <v>0</v>
          </cell>
        </row>
        <row r="8832">
          <cell r="F8832">
            <v>-145.6</v>
          </cell>
          <cell r="G8832">
            <v>0</v>
          </cell>
          <cell r="H8832">
            <v>0</v>
          </cell>
        </row>
        <row r="8833">
          <cell r="F8833">
            <v>0</v>
          </cell>
          <cell r="G8833">
            <v>0</v>
          </cell>
          <cell r="H8833">
            <v>0</v>
          </cell>
        </row>
        <row r="8834">
          <cell r="F8834">
            <v>0</v>
          </cell>
          <cell r="G8834">
            <v>0</v>
          </cell>
          <cell r="H8834">
            <v>0</v>
          </cell>
        </row>
        <row r="8835">
          <cell r="F8835">
            <v>-2074.46</v>
          </cell>
          <cell r="G8835">
            <v>0</v>
          </cell>
          <cell r="H8835">
            <v>0</v>
          </cell>
        </row>
        <row r="8836">
          <cell r="F8836">
            <v>-336</v>
          </cell>
          <cell r="G8836">
            <v>0</v>
          </cell>
          <cell r="H8836">
            <v>0</v>
          </cell>
        </row>
        <row r="8837">
          <cell r="F8837">
            <v>0</v>
          </cell>
          <cell r="G8837">
            <v>0</v>
          </cell>
          <cell r="H8837">
            <v>0</v>
          </cell>
        </row>
        <row r="8838">
          <cell r="F8838">
            <v>-118.15</v>
          </cell>
          <cell r="G8838">
            <v>0</v>
          </cell>
          <cell r="H8838">
            <v>0</v>
          </cell>
        </row>
        <row r="8839">
          <cell r="F8839">
            <v>0</v>
          </cell>
          <cell r="G8839">
            <v>0</v>
          </cell>
          <cell r="H8839">
            <v>0</v>
          </cell>
        </row>
        <row r="8840">
          <cell r="F8840">
            <v>0</v>
          </cell>
          <cell r="G8840">
            <v>0</v>
          </cell>
          <cell r="H8840">
            <v>0</v>
          </cell>
        </row>
        <row r="8841">
          <cell r="F8841">
            <v>0</v>
          </cell>
          <cell r="G8841">
            <v>0</v>
          </cell>
          <cell r="H8841">
            <v>0</v>
          </cell>
        </row>
        <row r="8842">
          <cell r="F8842">
            <v>0</v>
          </cell>
          <cell r="G8842">
            <v>0</v>
          </cell>
          <cell r="H8842">
            <v>0</v>
          </cell>
        </row>
        <row r="8843">
          <cell r="F8843">
            <v>0</v>
          </cell>
          <cell r="G8843">
            <v>0</v>
          </cell>
          <cell r="H8843">
            <v>0</v>
          </cell>
        </row>
        <row r="8844">
          <cell r="F8844">
            <v>0</v>
          </cell>
          <cell r="G8844">
            <v>0</v>
          </cell>
          <cell r="H8844">
            <v>0</v>
          </cell>
        </row>
        <row r="8845">
          <cell r="F8845">
            <v>0</v>
          </cell>
          <cell r="G8845">
            <v>0</v>
          </cell>
          <cell r="H8845">
            <v>0</v>
          </cell>
        </row>
        <row r="8846">
          <cell r="F8846">
            <v>0</v>
          </cell>
          <cell r="G8846">
            <v>0</v>
          </cell>
          <cell r="H8846">
            <v>0</v>
          </cell>
        </row>
        <row r="8847">
          <cell r="F8847">
            <v>-2183.41</v>
          </cell>
          <cell r="G8847">
            <v>0</v>
          </cell>
          <cell r="H8847">
            <v>0</v>
          </cell>
        </row>
        <row r="8848">
          <cell r="F8848">
            <v>-6116.05</v>
          </cell>
          <cell r="G8848">
            <v>0</v>
          </cell>
          <cell r="H8848">
            <v>0</v>
          </cell>
        </row>
        <row r="8849">
          <cell r="F8849">
            <v>0</v>
          </cell>
          <cell r="G8849">
            <v>0</v>
          </cell>
          <cell r="H8849">
            <v>0</v>
          </cell>
        </row>
        <row r="8850">
          <cell r="F8850">
            <v>0</v>
          </cell>
          <cell r="G8850">
            <v>0</v>
          </cell>
          <cell r="H8850">
            <v>0</v>
          </cell>
        </row>
        <row r="8851">
          <cell r="F8851">
            <v>0</v>
          </cell>
          <cell r="G8851">
            <v>0</v>
          </cell>
          <cell r="H8851">
            <v>0</v>
          </cell>
        </row>
        <row r="8852">
          <cell r="F8852">
            <v>0</v>
          </cell>
          <cell r="G8852">
            <v>0</v>
          </cell>
          <cell r="H8852">
            <v>0</v>
          </cell>
        </row>
        <row r="8853">
          <cell r="F8853">
            <v>0</v>
          </cell>
          <cell r="G8853">
            <v>0</v>
          </cell>
          <cell r="H8853">
            <v>0</v>
          </cell>
        </row>
        <row r="8854">
          <cell r="F8854">
            <v>0</v>
          </cell>
          <cell r="G8854">
            <v>0</v>
          </cell>
          <cell r="H8854">
            <v>0</v>
          </cell>
        </row>
        <row r="8855">
          <cell r="F8855">
            <v>0</v>
          </cell>
          <cell r="G8855">
            <v>0</v>
          </cell>
          <cell r="H8855">
            <v>0</v>
          </cell>
        </row>
        <row r="8856">
          <cell r="F8856">
            <v>0</v>
          </cell>
          <cell r="G8856">
            <v>0</v>
          </cell>
          <cell r="H8856">
            <v>0</v>
          </cell>
        </row>
        <row r="8857">
          <cell r="F8857">
            <v>0</v>
          </cell>
          <cell r="G8857">
            <v>0</v>
          </cell>
          <cell r="H8857">
            <v>0</v>
          </cell>
        </row>
        <row r="8858">
          <cell r="F8858">
            <v>0</v>
          </cell>
          <cell r="G8858">
            <v>0</v>
          </cell>
          <cell r="H8858">
            <v>0</v>
          </cell>
        </row>
        <row r="8859">
          <cell r="F8859">
            <v>0</v>
          </cell>
          <cell r="G8859">
            <v>0</v>
          </cell>
          <cell r="H8859">
            <v>0</v>
          </cell>
        </row>
        <row r="8860">
          <cell r="F8860">
            <v>0</v>
          </cell>
          <cell r="G8860">
            <v>0</v>
          </cell>
          <cell r="H8860">
            <v>0</v>
          </cell>
        </row>
        <row r="8861">
          <cell r="F8861">
            <v>0</v>
          </cell>
          <cell r="G8861">
            <v>0</v>
          </cell>
          <cell r="H8861">
            <v>0</v>
          </cell>
        </row>
        <row r="8862">
          <cell r="F8862">
            <v>0</v>
          </cell>
          <cell r="G8862">
            <v>0</v>
          </cell>
          <cell r="H8862">
            <v>0</v>
          </cell>
        </row>
        <row r="8863">
          <cell r="F8863">
            <v>0</v>
          </cell>
          <cell r="G8863">
            <v>0</v>
          </cell>
          <cell r="H8863">
            <v>0</v>
          </cell>
        </row>
        <row r="8864">
          <cell r="F8864">
            <v>0</v>
          </cell>
          <cell r="G8864">
            <v>0</v>
          </cell>
          <cell r="H8864">
            <v>0</v>
          </cell>
        </row>
        <row r="8865">
          <cell r="F8865">
            <v>0</v>
          </cell>
          <cell r="G8865">
            <v>0</v>
          </cell>
          <cell r="H8865">
            <v>0</v>
          </cell>
        </row>
        <row r="8866">
          <cell r="F8866">
            <v>0</v>
          </cell>
          <cell r="G8866">
            <v>0</v>
          </cell>
          <cell r="H8866">
            <v>0</v>
          </cell>
        </row>
        <row r="8867">
          <cell r="F8867">
            <v>0</v>
          </cell>
          <cell r="G8867">
            <v>0</v>
          </cell>
          <cell r="H8867">
            <v>0</v>
          </cell>
        </row>
        <row r="8868">
          <cell r="F8868">
            <v>0</v>
          </cell>
          <cell r="G8868">
            <v>0</v>
          </cell>
          <cell r="H8868">
            <v>0</v>
          </cell>
        </row>
        <row r="8869">
          <cell r="F8869">
            <v>0</v>
          </cell>
          <cell r="G8869">
            <v>0</v>
          </cell>
          <cell r="H8869">
            <v>0</v>
          </cell>
        </row>
        <row r="8870">
          <cell r="F8870">
            <v>0</v>
          </cell>
          <cell r="G8870">
            <v>0</v>
          </cell>
          <cell r="H8870">
            <v>0</v>
          </cell>
        </row>
        <row r="8871">
          <cell r="F8871">
            <v>0</v>
          </cell>
          <cell r="G8871">
            <v>0</v>
          </cell>
          <cell r="H8871">
            <v>0</v>
          </cell>
        </row>
        <row r="8872">
          <cell r="F8872">
            <v>0</v>
          </cell>
          <cell r="G8872">
            <v>0</v>
          </cell>
          <cell r="H8872">
            <v>0</v>
          </cell>
        </row>
        <row r="8873">
          <cell r="F8873">
            <v>0</v>
          </cell>
          <cell r="G8873">
            <v>0</v>
          </cell>
          <cell r="H8873">
            <v>0</v>
          </cell>
        </row>
        <row r="8874">
          <cell r="F8874">
            <v>-291.83</v>
          </cell>
          <cell r="G8874">
            <v>0</v>
          </cell>
          <cell r="H8874">
            <v>0</v>
          </cell>
        </row>
        <row r="8875">
          <cell r="F8875">
            <v>0</v>
          </cell>
          <cell r="G8875">
            <v>0</v>
          </cell>
          <cell r="H8875">
            <v>0</v>
          </cell>
        </row>
        <row r="8876">
          <cell r="F8876">
            <v>-505.52</v>
          </cell>
          <cell r="G8876">
            <v>0</v>
          </cell>
          <cell r="H8876">
            <v>0</v>
          </cell>
        </row>
        <row r="8877">
          <cell r="F8877">
            <v>0</v>
          </cell>
          <cell r="G8877">
            <v>0</v>
          </cell>
          <cell r="H8877">
            <v>0</v>
          </cell>
        </row>
        <row r="8878">
          <cell r="F8878">
            <v>0</v>
          </cell>
          <cell r="G8878">
            <v>0</v>
          </cell>
          <cell r="H8878">
            <v>0</v>
          </cell>
        </row>
        <row r="8879">
          <cell r="F8879">
            <v>0</v>
          </cell>
          <cell r="G8879">
            <v>0</v>
          </cell>
          <cell r="H8879">
            <v>0</v>
          </cell>
        </row>
        <row r="8880">
          <cell r="F8880">
            <v>0</v>
          </cell>
          <cell r="G8880">
            <v>0</v>
          </cell>
          <cell r="H8880">
            <v>0</v>
          </cell>
        </row>
        <row r="8881">
          <cell r="F8881">
            <v>0</v>
          </cell>
          <cell r="G8881">
            <v>0</v>
          </cell>
          <cell r="H8881">
            <v>0</v>
          </cell>
        </row>
        <row r="8882">
          <cell r="F8882">
            <v>0</v>
          </cell>
          <cell r="G8882">
            <v>0</v>
          </cell>
          <cell r="H8882">
            <v>0</v>
          </cell>
        </row>
        <row r="8883">
          <cell r="F8883">
            <v>0</v>
          </cell>
          <cell r="G8883">
            <v>0</v>
          </cell>
          <cell r="H8883">
            <v>0</v>
          </cell>
        </row>
        <row r="8884">
          <cell r="F8884">
            <v>0</v>
          </cell>
          <cell r="G8884">
            <v>0</v>
          </cell>
          <cell r="H8884">
            <v>0</v>
          </cell>
        </row>
        <row r="8885">
          <cell r="F8885">
            <v>0</v>
          </cell>
          <cell r="G8885">
            <v>0</v>
          </cell>
          <cell r="H8885">
            <v>0</v>
          </cell>
        </row>
        <row r="8886">
          <cell r="F8886">
            <v>-97.56</v>
          </cell>
          <cell r="G8886">
            <v>0</v>
          </cell>
          <cell r="H8886">
            <v>0</v>
          </cell>
        </row>
        <row r="8887">
          <cell r="F8887">
            <v>0</v>
          </cell>
          <cell r="G8887">
            <v>70</v>
          </cell>
          <cell r="H8887" t="str">
            <v>70/74</v>
          </cell>
        </row>
        <row r="8888">
          <cell r="F8888">
            <v>0</v>
          </cell>
          <cell r="G8888">
            <v>70</v>
          </cell>
          <cell r="H8888" t="str">
            <v>70/74</v>
          </cell>
        </row>
        <row r="8889">
          <cell r="F8889">
            <v>0</v>
          </cell>
          <cell r="G8889">
            <v>70</v>
          </cell>
          <cell r="H8889" t="str">
            <v>70/74</v>
          </cell>
        </row>
        <row r="8890">
          <cell r="F8890">
            <v>4450.38</v>
          </cell>
          <cell r="G8890">
            <v>73</v>
          </cell>
          <cell r="H8890" t="str">
            <v>70/74</v>
          </cell>
        </row>
        <row r="8891">
          <cell r="F8891">
            <v>5000</v>
          </cell>
          <cell r="G8891">
            <v>73</v>
          </cell>
          <cell r="H8891" t="str">
            <v>70/74</v>
          </cell>
        </row>
        <row r="8892">
          <cell r="F8892">
            <v>26112.07</v>
          </cell>
          <cell r="G8892">
            <v>73</v>
          </cell>
          <cell r="H8892" t="str">
            <v>70/74</v>
          </cell>
        </row>
        <row r="8893">
          <cell r="F8893">
            <v>30000</v>
          </cell>
          <cell r="G8893">
            <v>73</v>
          </cell>
          <cell r="H8893" t="str">
            <v>70/74</v>
          </cell>
        </row>
        <row r="8894">
          <cell r="F8894">
            <v>24.78</v>
          </cell>
          <cell r="G8894">
            <v>73</v>
          </cell>
          <cell r="H8894" t="str">
            <v>70/74</v>
          </cell>
        </row>
        <row r="8895">
          <cell r="F8895">
            <v>-850</v>
          </cell>
          <cell r="G8895">
            <v>73</v>
          </cell>
          <cell r="H8895" t="str">
            <v>70/74</v>
          </cell>
        </row>
        <row r="8896">
          <cell r="F8896">
            <v>200</v>
          </cell>
          <cell r="G8896">
            <v>73</v>
          </cell>
          <cell r="H8896" t="str">
            <v>70/74</v>
          </cell>
        </row>
        <row r="8897">
          <cell r="F8897">
            <v>10</v>
          </cell>
          <cell r="G8897">
            <v>73</v>
          </cell>
          <cell r="H8897" t="str">
            <v>70/74</v>
          </cell>
        </row>
        <row r="8898">
          <cell r="F8898">
            <v>2600</v>
          </cell>
          <cell r="G8898">
            <v>73</v>
          </cell>
          <cell r="H8898" t="str">
            <v>70/74</v>
          </cell>
        </row>
        <row r="8899">
          <cell r="F8899">
            <v>1250.17</v>
          </cell>
          <cell r="G8899">
            <v>73</v>
          </cell>
          <cell r="H8899" t="str">
            <v>70/74</v>
          </cell>
        </row>
        <row r="8900">
          <cell r="F8900">
            <v>0</v>
          </cell>
          <cell r="G8900">
            <v>73</v>
          </cell>
          <cell r="H8900" t="str">
            <v>70/74</v>
          </cell>
        </row>
        <row r="8901">
          <cell r="F8901">
            <v>164</v>
          </cell>
          <cell r="G8901">
            <v>73</v>
          </cell>
          <cell r="H8901" t="str">
            <v>70/74</v>
          </cell>
        </row>
        <row r="8902">
          <cell r="F8902">
            <v>25446.73</v>
          </cell>
          <cell r="G8902">
            <v>73</v>
          </cell>
          <cell r="H8902" t="str">
            <v>70/74</v>
          </cell>
        </row>
        <row r="8903">
          <cell r="F8903">
            <v>0</v>
          </cell>
          <cell r="G8903">
            <v>73</v>
          </cell>
          <cell r="H8903" t="str">
            <v>70/74</v>
          </cell>
        </row>
        <row r="8904">
          <cell r="F8904">
            <v>0</v>
          </cell>
          <cell r="G8904">
            <v>73</v>
          </cell>
          <cell r="H8904" t="str">
            <v>70/74</v>
          </cell>
        </row>
        <row r="8905">
          <cell r="F8905">
            <v>1619.9999999999991</v>
          </cell>
          <cell r="G8905">
            <v>73</v>
          </cell>
          <cell r="H8905" t="str">
            <v>70/74</v>
          </cell>
        </row>
        <row r="8906">
          <cell r="F8906">
            <v>13035.22</v>
          </cell>
          <cell r="G8906">
            <v>73</v>
          </cell>
          <cell r="H8906" t="str">
            <v>70/74</v>
          </cell>
        </row>
        <row r="8907">
          <cell r="F8907">
            <v>6534.3899999999994</v>
          </cell>
          <cell r="G8907">
            <v>73</v>
          </cell>
          <cell r="H8907" t="str">
            <v>70/74</v>
          </cell>
        </row>
        <row r="8908">
          <cell r="F8908">
            <v>5690.16</v>
          </cell>
          <cell r="G8908">
            <v>73</v>
          </cell>
          <cell r="H8908" t="str">
            <v>70/74</v>
          </cell>
        </row>
        <row r="8909">
          <cell r="F8909">
            <v>890.5</v>
          </cell>
          <cell r="G8909">
            <v>73</v>
          </cell>
          <cell r="H8909" t="str">
            <v>70/74</v>
          </cell>
        </row>
        <row r="8910">
          <cell r="F8910">
            <v>351</v>
          </cell>
          <cell r="G8910">
            <v>73</v>
          </cell>
          <cell r="H8910" t="str">
            <v>70/74</v>
          </cell>
        </row>
        <row r="8911">
          <cell r="F8911">
            <v>1400</v>
          </cell>
          <cell r="G8911">
            <v>73</v>
          </cell>
          <cell r="H8911" t="str">
            <v>70/74</v>
          </cell>
        </row>
        <row r="8912">
          <cell r="F8912">
            <v>2941.27</v>
          </cell>
          <cell r="G8912">
            <v>73</v>
          </cell>
          <cell r="H8912" t="str">
            <v>70/74</v>
          </cell>
        </row>
        <row r="8913">
          <cell r="F8913">
            <v>3195</v>
          </cell>
          <cell r="G8913">
            <v>73</v>
          </cell>
          <cell r="H8913" t="str">
            <v>70/74</v>
          </cell>
        </row>
        <row r="8914">
          <cell r="F8914">
            <v>27.5</v>
          </cell>
          <cell r="G8914">
            <v>73</v>
          </cell>
          <cell r="H8914" t="str">
            <v>70/74</v>
          </cell>
        </row>
        <row r="8915">
          <cell r="F8915">
            <v>1422.89</v>
          </cell>
          <cell r="G8915">
            <v>73</v>
          </cell>
          <cell r="H8915" t="str">
            <v>70/74</v>
          </cell>
        </row>
        <row r="8916">
          <cell r="F8916">
            <v>6334.63</v>
          </cell>
          <cell r="G8916">
            <v>73</v>
          </cell>
          <cell r="H8916" t="str">
            <v>70/74</v>
          </cell>
        </row>
        <row r="8917">
          <cell r="F8917">
            <v>17367.52</v>
          </cell>
          <cell r="G8917">
            <v>73</v>
          </cell>
          <cell r="H8917" t="str">
            <v>70/74</v>
          </cell>
        </row>
        <row r="8918">
          <cell r="F8918">
            <v>7712</v>
          </cell>
          <cell r="G8918">
            <v>73</v>
          </cell>
          <cell r="H8918" t="str">
            <v>70/74</v>
          </cell>
        </row>
        <row r="8919">
          <cell r="F8919">
            <v>198.68</v>
          </cell>
          <cell r="G8919">
            <v>73</v>
          </cell>
          <cell r="H8919" t="str">
            <v>70/74</v>
          </cell>
        </row>
        <row r="8920">
          <cell r="F8920">
            <v>171.05</v>
          </cell>
          <cell r="G8920">
            <v>73</v>
          </cell>
          <cell r="H8920" t="str">
            <v>70/74</v>
          </cell>
        </row>
        <row r="8921">
          <cell r="F8921">
            <v>50</v>
          </cell>
          <cell r="G8921">
            <v>73</v>
          </cell>
          <cell r="H8921" t="str">
            <v>70/74</v>
          </cell>
        </row>
        <row r="8922">
          <cell r="F8922">
            <v>1033.96</v>
          </cell>
          <cell r="G8922">
            <v>73</v>
          </cell>
          <cell r="H8922" t="str">
            <v>70/74</v>
          </cell>
        </row>
        <row r="8923">
          <cell r="F8923">
            <v>50</v>
          </cell>
          <cell r="G8923">
            <v>73</v>
          </cell>
          <cell r="H8923" t="str">
            <v>70/74</v>
          </cell>
        </row>
        <row r="8924">
          <cell r="F8924">
            <v>0</v>
          </cell>
          <cell r="G8924">
            <v>73</v>
          </cell>
          <cell r="H8924" t="str">
            <v>70/74</v>
          </cell>
        </row>
        <row r="8925">
          <cell r="F8925">
            <v>516</v>
          </cell>
          <cell r="G8925">
            <v>73</v>
          </cell>
          <cell r="H8925" t="str">
            <v>70/74</v>
          </cell>
        </row>
        <row r="8926">
          <cell r="F8926">
            <v>390</v>
          </cell>
          <cell r="G8926">
            <v>73</v>
          </cell>
          <cell r="H8926" t="str">
            <v>70/74</v>
          </cell>
        </row>
        <row r="8927">
          <cell r="F8927">
            <v>390</v>
          </cell>
          <cell r="G8927">
            <v>73</v>
          </cell>
          <cell r="H8927" t="str">
            <v>70/74</v>
          </cell>
        </row>
        <row r="8928">
          <cell r="F8928">
            <v>390</v>
          </cell>
          <cell r="G8928">
            <v>73</v>
          </cell>
          <cell r="H8928" t="str">
            <v>70/74</v>
          </cell>
        </row>
        <row r="8929">
          <cell r="F8929">
            <v>500</v>
          </cell>
          <cell r="G8929">
            <v>73</v>
          </cell>
          <cell r="H8929" t="str">
            <v>70/74</v>
          </cell>
        </row>
        <row r="8930">
          <cell r="F8930">
            <v>300</v>
          </cell>
          <cell r="G8930">
            <v>73</v>
          </cell>
          <cell r="H8930" t="str">
            <v>70/74</v>
          </cell>
        </row>
        <row r="8931">
          <cell r="F8931">
            <v>194.16</v>
          </cell>
          <cell r="G8931">
            <v>73</v>
          </cell>
          <cell r="H8931" t="str">
            <v>70/74</v>
          </cell>
        </row>
        <row r="8932">
          <cell r="F8932">
            <v>540</v>
          </cell>
          <cell r="G8932">
            <v>73</v>
          </cell>
          <cell r="H8932" t="str">
            <v>70/74</v>
          </cell>
        </row>
        <row r="8933">
          <cell r="F8933">
            <v>20</v>
          </cell>
          <cell r="G8933">
            <v>73</v>
          </cell>
          <cell r="H8933" t="str">
            <v>70/74</v>
          </cell>
        </row>
        <row r="8934">
          <cell r="F8934">
            <v>2200</v>
          </cell>
          <cell r="G8934">
            <v>73</v>
          </cell>
          <cell r="H8934" t="str">
            <v>70/74</v>
          </cell>
        </row>
        <row r="8935">
          <cell r="F8935">
            <v>4203.04</v>
          </cell>
          <cell r="G8935">
            <v>73</v>
          </cell>
          <cell r="H8935" t="str">
            <v>70/74</v>
          </cell>
        </row>
        <row r="8936">
          <cell r="F8936">
            <v>64.48</v>
          </cell>
          <cell r="G8936">
            <v>73</v>
          </cell>
          <cell r="H8936" t="str">
            <v>70/74</v>
          </cell>
        </row>
        <row r="8937">
          <cell r="F8937">
            <v>100</v>
          </cell>
          <cell r="G8937">
            <v>73</v>
          </cell>
          <cell r="H8937" t="str">
            <v>70/74</v>
          </cell>
        </row>
        <row r="8938">
          <cell r="F8938">
            <v>3300</v>
          </cell>
          <cell r="G8938">
            <v>73</v>
          </cell>
          <cell r="H8938" t="str">
            <v>70/74</v>
          </cell>
        </row>
        <row r="8939">
          <cell r="F8939">
            <v>134.16000000000008</v>
          </cell>
          <cell r="G8939">
            <v>73</v>
          </cell>
          <cell r="H8939" t="str">
            <v>70/74</v>
          </cell>
        </row>
        <row r="8940">
          <cell r="F8940">
            <v>-780</v>
          </cell>
          <cell r="G8940">
            <v>73</v>
          </cell>
          <cell r="H8940" t="str">
            <v>70/74</v>
          </cell>
        </row>
        <row r="8941">
          <cell r="F8941">
            <v>14788.05</v>
          </cell>
          <cell r="G8941">
            <v>73</v>
          </cell>
          <cell r="H8941" t="str">
            <v>70/74</v>
          </cell>
        </row>
        <row r="8942">
          <cell r="F8942">
            <v>4475</v>
          </cell>
          <cell r="G8942">
            <v>73</v>
          </cell>
          <cell r="H8942" t="str">
            <v>70/74</v>
          </cell>
        </row>
        <row r="8943">
          <cell r="F8943">
            <v>0</v>
          </cell>
          <cell r="G8943">
            <v>73</v>
          </cell>
          <cell r="H8943" t="str">
            <v>70/74</v>
          </cell>
        </row>
        <row r="8944">
          <cell r="F8944">
            <v>84.789999999999964</v>
          </cell>
          <cell r="G8944">
            <v>73</v>
          </cell>
          <cell r="H8944" t="str">
            <v>70/74</v>
          </cell>
        </row>
        <row r="8945">
          <cell r="F8945">
            <v>-164.13</v>
          </cell>
          <cell r="G8945">
            <v>73</v>
          </cell>
          <cell r="H8945" t="str">
            <v>70/74</v>
          </cell>
        </row>
        <row r="8946">
          <cell r="F8946">
            <v>2761</v>
          </cell>
          <cell r="G8946">
            <v>73</v>
          </cell>
          <cell r="H8946" t="str">
            <v>70/74</v>
          </cell>
        </row>
        <row r="8947">
          <cell r="F8947">
            <v>4040.51</v>
          </cell>
          <cell r="G8947">
            <v>73</v>
          </cell>
          <cell r="H8947" t="str">
            <v>70/74</v>
          </cell>
        </row>
        <row r="8948">
          <cell r="F8948">
            <v>1500</v>
          </cell>
          <cell r="G8948">
            <v>73</v>
          </cell>
          <cell r="H8948" t="str">
            <v>70/74</v>
          </cell>
        </row>
        <row r="8949">
          <cell r="F8949">
            <v>25552.02</v>
          </cell>
          <cell r="G8949">
            <v>73</v>
          </cell>
          <cell r="H8949" t="str">
            <v>70/74</v>
          </cell>
        </row>
        <row r="8950">
          <cell r="F8950">
            <v>1285.06</v>
          </cell>
          <cell r="G8950">
            <v>73</v>
          </cell>
          <cell r="H8950" t="str">
            <v>70/74</v>
          </cell>
        </row>
        <row r="8951">
          <cell r="F8951">
            <v>4655.37</v>
          </cell>
          <cell r="G8951">
            <v>73</v>
          </cell>
          <cell r="H8951" t="str">
            <v>70/74</v>
          </cell>
        </row>
        <row r="8952">
          <cell r="F8952">
            <v>0</v>
          </cell>
          <cell r="G8952">
            <v>0</v>
          </cell>
          <cell r="H8952">
            <v>0</v>
          </cell>
        </row>
        <row r="8953">
          <cell r="F8953">
            <v>0</v>
          </cell>
          <cell r="G8953">
            <v>0</v>
          </cell>
          <cell r="H8953">
            <v>0</v>
          </cell>
        </row>
        <row r="8954">
          <cell r="F8954">
            <v>0</v>
          </cell>
          <cell r="G8954">
            <v>0</v>
          </cell>
          <cell r="H8954">
            <v>0</v>
          </cell>
        </row>
        <row r="8955">
          <cell r="F8955">
            <v>0</v>
          </cell>
          <cell r="G8955">
            <v>0</v>
          </cell>
          <cell r="H8955">
            <v>0</v>
          </cell>
        </row>
        <row r="8956">
          <cell r="F8956">
            <v>0</v>
          </cell>
          <cell r="G8956">
            <v>0</v>
          </cell>
          <cell r="H8956">
            <v>0</v>
          </cell>
        </row>
        <row r="8957">
          <cell r="F8957">
            <v>0</v>
          </cell>
          <cell r="G8957">
            <v>0</v>
          </cell>
          <cell r="H8957">
            <v>0</v>
          </cell>
        </row>
        <row r="8958">
          <cell r="F8958">
            <v>0</v>
          </cell>
          <cell r="G8958">
            <v>0</v>
          </cell>
          <cell r="H8958">
            <v>0</v>
          </cell>
        </row>
        <row r="8959">
          <cell r="F8959">
            <v>0</v>
          </cell>
          <cell r="G8959">
            <v>0</v>
          </cell>
          <cell r="H8959">
            <v>0</v>
          </cell>
        </row>
        <row r="8960">
          <cell r="F8960">
            <v>-935.42</v>
          </cell>
          <cell r="G8960">
            <v>0</v>
          </cell>
          <cell r="H8960">
            <v>0</v>
          </cell>
        </row>
        <row r="8961">
          <cell r="F8961">
            <v>-1520.06</v>
          </cell>
          <cell r="G8961">
            <v>0</v>
          </cell>
          <cell r="H8961">
            <v>0</v>
          </cell>
        </row>
        <row r="8962">
          <cell r="F8962">
            <v>-47493.56</v>
          </cell>
          <cell r="G8962">
            <v>0</v>
          </cell>
          <cell r="H8962">
            <v>0</v>
          </cell>
        </row>
        <row r="8963">
          <cell r="F8963">
            <v>-104414.48</v>
          </cell>
          <cell r="G8963">
            <v>0</v>
          </cell>
          <cell r="H8963">
            <v>0</v>
          </cell>
        </row>
        <row r="8964">
          <cell r="F8964">
            <v>-7286.27</v>
          </cell>
          <cell r="G8964">
            <v>0</v>
          </cell>
          <cell r="H8964">
            <v>0</v>
          </cell>
        </row>
        <row r="8965">
          <cell r="F8965">
            <v>-11737.98</v>
          </cell>
          <cell r="G8965">
            <v>0</v>
          </cell>
          <cell r="H8965">
            <v>0</v>
          </cell>
        </row>
        <row r="8966">
          <cell r="F8966">
            <v>-12976.67</v>
          </cell>
          <cell r="G8966">
            <v>0</v>
          </cell>
          <cell r="H8966">
            <v>0</v>
          </cell>
        </row>
        <row r="8967">
          <cell r="F8967">
            <v>-9501.3799999999992</v>
          </cell>
          <cell r="G8967">
            <v>0</v>
          </cell>
          <cell r="H8967">
            <v>0</v>
          </cell>
        </row>
        <row r="8968">
          <cell r="F8968">
            <v>-7316.7900000000009</v>
          </cell>
          <cell r="G8968">
            <v>0</v>
          </cell>
          <cell r="H8968">
            <v>0</v>
          </cell>
        </row>
        <row r="8969">
          <cell r="F8969">
            <v>-6789.92</v>
          </cell>
          <cell r="G8969">
            <v>0</v>
          </cell>
          <cell r="H8969">
            <v>0</v>
          </cell>
        </row>
        <row r="8970">
          <cell r="F8970">
            <v>-11611.84</v>
          </cell>
          <cell r="G8970">
            <v>0</v>
          </cell>
          <cell r="H8970">
            <v>0</v>
          </cell>
        </row>
        <row r="8971">
          <cell r="F8971">
            <v>0</v>
          </cell>
          <cell r="G8971">
            <v>0</v>
          </cell>
          <cell r="H8971">
            <v>0</v>
          </cell>
        </row>
        <row r="8972">
          <cell r="F8972">
            <v>0</v>
          </cell>
          <cell r="G8972">
            <v>0</v>
          </cell>
          <cell r="H8972">
            <v>0</v>
          </cell>
        </row>
        <row r="8973">
          <cell r="F8973">
            <v>0</v>
          </cell>
          <cell r="G8973">
            <v>0</v>
          </cell>
          <cell r="H8973">
            <v>0</v>
          </cell>
        </row>
        <row r="8974">
          <cell r="F8974">
            <v>0</v>
          </cell>
          <cell r="G8974">
            <v>0</v>
          </cell>
          <cell r="H8974">
            <v>0</v>
          </cell>
        </row>
        <row r="8975">
          <cell r="F8975">
            <v>0</v>
          </cell>
          <cell r="G8975">
            <v>0</v>
          </cell>
          <cell r="H8975">
            <v>0</v>
          </cell>
        </row>
        <row r="8976">
          <cell r="F8976">
            <v>0</v>
          </cell>
          <cell r="G8976">
            <v>0</v>
          </cell>
          <cell r="H8976">
            <v>0</v>
          </cell>
        </row>
        <row r="8977">
          <cell r="F8977">
            <v>-3262.5</v>
          </cell>
          <cell r="G8977">
            <v>0</v>
          </cell>
          <cell r="H8977">
            <v>0</v>
          </cell>
        </row>
        <row r="8978">
          <cell r="F8978">
            <v>-711.31</v>
          </cell>
          <cell r="G8978">
            <v>0</v>
          </cell>
          <cell r="H8978">
            <v>0</v>
          </cell>
        </row>
        <row r="8979">
          <cell r="F8979">
            <v>-56674.13</v>
          </cell>
          <cell r="G8979">
            <v>0</v>
          </cell>
          <cell r="H8979">
            <v>0</v>
          </cell>
        </row>
        <row r="8980">
          <cell r="F8980">
            <v>-53984.42</v>
          </cell>
          <cell r="G8980">
            <v>0</v>
          </cell>
          <cell r="H8980">
            <v>0</v>
          </cell>
        </row>
        <row r="8981">
          <cell r="F8981">
            <v>-14850.85</v>
          </cell>
          <cell r="G8981">
            <v>0</v>
          </cell>
          <cell r="H8981">
            <v>0</v>
          </cell>
        </row>
        <row r="8982">
          <cell r="F8982">
            <v>-10221.74</v>
          </cell>
          <cell r="G8982">
            <v>0</v>
          </cell>
          <cell r="H8982">
            <v>0</v>
          </cell>
        </row>
        <row r="8983">
          <cell r="F8983">
            <v>-16752.82</v>
          </cell>
          <cell r="G8983">
            <v>0</v>
          </cell>
          <cell r="H8983">
            <v>0</v>
          </cell>
        </row>
        <row r="8984">
          <cell r="F8984">
            <v>-110366.21</v>
          </cell>
          <cell r="G8984">
            <v>0</v>
          </cell>
          <cell r="H8984">
            <v>0</v>
          </cell>
        </row>
        <row r="8985">
          <cell r="F8985">
            <v>-19328.61</v>
          </cell>
          <cell r="G8985">
            <v>0</v>
          </cell>
          <cell r="H8985">
            <v>0</v>
          </cell>
        </row>
        <row r="8986">
          <cell r="F8986">
            <v>-11045.51</v>
          </cell>
          <cell r="G8986">
            <v>0</v>
          </cell>
          <cell r="H8986">
            <v>0</v>
          </cell>
        </row>
        <row r="8987">
          <cell r="F8987">
            <v>-9452.3700000000008</v>
          </cell>
          <cell r="G8987">
            <v>0</v>
          </cell>
          <cell r="H8987">
            <v>0</v>
          </cell>
        </row>
        <row r="8988">
          <cell r="F8988">
            <v>-23681.67</v>
          </cell>
          <cell r="G8988">
            <v>0</v>
          </cell>
          <cell r="H8988">
            <v>0</v>
          </cell>
        </row>
        <row r="8989">
          <cell r="F8989">
            <v>-130113.61</v>
          </cell>
          <cell r="G8989">
            <v>0</v>
          </cell>
          <cell r="H8989">
            <v>0</v>
          </cell>
        </row>
        <row r="8990">
          <cell r="F8990">
            <v>-2791.34</v>
          </cell>
          <cell r="G8990">
            <v>0</v>
          </cell>
          <cell r="H8990">
            <v>0</v>
          </cell>
        </row>
        <row r="8991">
          <cell r="F8991">
            <v>0</v>
          </cell>
          <cell r="G8991">
            <v>0</v>
          </cell>
          <cell r="H8991">
            <v>0</v>
          </cell>
        </row>
        <row r="8992">
          <cell r="F8992">
            <v>0</v>
          </cell>
          <cell r="G8992">
            <v>0</v>
          </cell>
          <cell r="H8992">
            <v>0</v>
          </cell>
        </row>
        <row r="8993">
          <cell r="F8993">
            <v>0</v>
          </cell>
          <cell r="G8993">
            <v>0</v>
          </cell>
          <cell r="H8993">
            <v>0</v>
          </cell>
        </row>
        <row r="8994">
          <cell r="F8994">
            <v>-726.64</v>
          </cell>
          <cell r="G8994">
            <v>0</v>
          </cell>
          <cell r="H8994">
            <v>0</v>
          </cell>
        </row>
        <row r="8995">
          <cell r="F8995">
            <v>-62258.58</v>
          </cell>
          <cell r="G8995">
            <v>0</v>
          </cell>
          <cell r="H8995">
            <v>0</v>
          </cell>
        </row>
        <row r="8996">
          <cell r="F8996">
            <v>-39953.11</v>
          </cell>
          <cell r="G8996">
            <v>0</v>
          </cell>
          <cell r="H8996">
            <v>0</v>
          </cell>
        </row>
        <row r="8997">
          <cell r="F8997">
            <v>-42060.55</v>
          </cell>
          <cell r="G8997">
            <v>0</v>
          </cell>
          <cell r="H8997">
            <v>0</v>
          </cell>
        </row>
        <row r="8998">
          <cell r="F8998">
            <v>-35617.300000000003</v>
          </cell>
          <cell r="G8998">
            <v>0</v>
          </cell>
          <cell r="H8998">
            <v>0</v>
          </cell>
        </row>
        <row r="8999">
          <cell r="F8999">
            <v>-143245.01</v>
          </cell>
          <cell r="G8999">
            <v>0</v>
          </cell>
          <cell r="H8999">
            <v>0</v>
          </cell>
        </row>
        <row r="9000">
          <cell r="F9000">
            <v>-21441.13</v>
          </cell>
          <cell r="G9000">
            <v>0</v>
          </cell>
          <cell r="H9000">
            <v>0</v>
          </cell>
        </row>
        <row r="9001">
          <cell r="F9001">
            <v>-4803.7299999999996</v>
          </cell>
          <cell r="G9001">
            <v>0</v>
          </cell>
          <cell r="H9001">
            <v>0</v>
          </cell>
        </row>
        <row r="9002">
          <cell r="F9002">
            <v>-25211.65</v>
          </cell>
          <cell r="G9002">
            <v>0</v>
          </cell>
          <cell r="H9002">
            <v>0</v>
          </cell>
        </row>
        <row r="9003">
          <cell r="F9003">
            <v>-65882.75</v>
          </cell>
          <cell r="G9003">
            <v>0</v>
          </cell>
          <cell r="H9003">
            <v>0</v>
          </cell>
        </row>
        <row r="9004">
          <cell r="F9004">
            <v>-21555.82</v>
          </cell>
          <cell r="G9004">
            <v>0</v>
          </cell>
          <cell r="H9004">
            <v>0</v>
          </cell>
        </row>
        <row r="9005">
          <cell r="F9005">
            <v>-23400.27</v>
          </cell>
          <cell r="G9005">
            <v>0</v>
          </cell>
          <cell r="H9005">
            <v>0</v>
          </cell>
        </row>
        <row r="9006">
          <cell r="F9006">
            <v>-10944.779999999999</v>
          </cell>
          <cell r="G9006">
            <v>0</v>
          </cell>
          <cell r="H9006">
            <v>0</v>
          </cell>
        </row>
        <row r="9007">
          <cell r="F9007">
            <v>0</v>
          </cell>
          <cell r="G9007">
            <v>0</v>
          </cell>
          <cell r="H9007">
            <v>0</v>
          </cell>
        </row>
        <row r="9008">
          <cell r="F9008">
            <v>0</v>
          </cell>
          <cell r="G9008">
            <v>0</v>
          </cell>
          <cell r="H9008">
            <v>0</v>
          </cell>
        </row>
        <row r="9009">
          <cell r="F9009">
            <v>0</v>
          </cell>
          <cell r="G9009">
            <v>0</v>
          </cell>
          <cell r="H9009">
            <v>0</v>
          </cell>
        </row>
        <row r="9010">
          <cell r="F9010">
            <v>3673038.87</v>
          </cell>
          <cell r="G9010">
            <v>0</v>
          </cell>
          <cell r="H9010">
            <v>0</v>
          </cell>
        </row>
        <row r="9011">
          <cell r="F9011">
            <v>-78785.58</v>
          </cell>
          <cell r="G9011">
            <v>0</v>
          </cell>
          <cell r="H9011">
            <v>0</v>
          </cell>
        </row>
        <row r="9012">
          <cell r="F9012">
            <v>-123024.15</v>
          </cell>
          <cell r="G9012">
            <v>0</v>
          </cell>
          <cell r="H9012">
            <v>0</v>
          </cell>
        </row>
        <row r="9013">
          <cell r="F9013">
            <v>-118112.82</v>
          </cell>
          <cell r="G9013">
            <v>0</v>
          </cell>
          <cell r="H9013">
            <v>0</v>
          </cell>
        </row>
        <row r="9014">
          <cell r="F9014">
            <v>-33729.07</v>
          </cell>
          <cell r="G9014">
            <v>0</v>
          </cell>
          <cell r="H9014">
            <v>0</v>
          </cell>
        </row>
        <row r="9015">
          <cell r="F9015">
            <v>-21004.05</v>
          </cell>
          <cell r="G9015">
            <v>0</v>
          </cell>
          <cell r="H9015">
            <v>0</v>
          </cell>
        </row>
        <row r="9016">
          <cell r="F9016">
            <v>-44093.3</v>
          </cell>
          <cell r="G9016">
            <v>0</v>
          </cell>
          <cell r="H9016">
            <v>0</v>
          </cell>
        </row>
        <row r="9017">
          <cell r="F9017">
            <v>-14294.1</v>
          </cell>
          <cell r="G9017">
            <v>0</v>
          </cell>
          <cell r="H9017">
            <v>0</v>
          </cell>
        </row>
        <row r="9018">
          <cell r="F9018">
            <v>-3283.68</v>
          </cell>
          <cell r="G9018">
            <v>0</v>
          </cell>
          <cell r="H9018">
            <v>0</v>
          </cell>
        </row>
        <row r="9019">
          <cell r="F9019">
            <v>-27121.38</v>
          </cell>
          <cell r="G9019">
            <v>0</v>
          </cell>
          <cell r="H9019">
            <v>0</v>
          </cell>
        </row>
        <row r="9020">
          <cell r="F9020">
            <v>-12768.58</v>
          </cell>
          <cell r="G9020">
            <v>0</v>
          </cell>
          <cell r="H9020">
            <v>0</v>
          </cell>
        </row>
        <row r="9021">
          <cell r="F9021">
            <v>-7949.56</v>
          </cell>
          <cell r="G9021">
            <v>0</v>
          </cell>
          <cell r="H9021">
            <v>0</v>
          </cell>
        </row>
        <row r="9022">
          <cell r="F9022">
            <v>-20214.399999999998</v>
          </cell>
          <cell r="G9022">
            <v>0</v>
          </cell>
          <cell r="H9022">
            <v>0</v>
          </cell>
        </row>
        <row r="9023">
          <cell r="F9023">
            <v>-20284.07</v>
          </cell>
          <cell r="G9023">
            <v>0</v>
          </cell>
          <cell r="H9023">
            <v>0</v>
          </cell>
        </row>
        <row r="9024">
          <cell r="F9024">
            <v>0</v>
          </cell>
          <cell r="G9024">
            <v>0</v>
          </cell>
          <cell r="H9024">
            <v>0</v>
          </cell>
        </row>
        <row r="9025">
          <cell r="F9025">
            <v>0</v>
          </cell>
          <cell r="G9025">
            <v>0</v>
          </cell>
          <cell r="H9025">
            <v>0</v>
          </cell>
        </row>
        <row r="9026">
          <cell r="F9026">
            <v>0</v>
          </cell>
          <cell r="G9026">
            <v>0</v>
          </cell>
          <cell r="H9026">
            <v>0</v>
          </cell>
        </row>
        <row r="9027">
          <cell r="F9027">
            <v>0</v>
          </cell>
          <cell r="G9027">
            <v>0</v>
          </cell>
          <cell r="H9027">
            <v>0</v>
          </cell>
        </row>
        <row r="9028">
          <cell r="F9028">
            <v>0</v>
          </cell>
          <cell r="G9028">
            <v>0</v>
          </cell>
          <cell r="H9028">
            <v>0</v>
          </cell>
        </row>
        <row r="9029">
          <cell r="F9029">
            <v>0</v>
          </cell>
          <cell r="G9029">
            <v>0</v>
          </cell>
          <cell r="H9029">
            <v>0</v>
          </cell>
        </row>
        <row r="9030">
          <cell r="F9030">
            <v>-7081.4</v>
          </cell>
          <cell r="G9030">
            <v>0</v>
          </cell>
          <cell r="H9030">
            <v>0</v>
          </cell>
        </row>
        <row r="9031">
          <cell r="F9031">
            <v>-72990.83</v>
          </cell>
          <cell r="G9031">
            <v>0</v>
          </cell>
          <cell r="H9031">
            <v>0</v>
          </cell>
        </row>
        <row r="9032">
          <cell r="F9032">
            <v>-48871.59</v>
          </cell>
          <cell r="G9032">
            <v>0</v>
          </cell>
          <cell r="H9032">
            <v>0</v>
          </cell>
        </row>
        <row r="9033">
          <cell r="F9033">
            <v>-40491.31</v>
          </cell>
          <cell r="G9033">
            <v>0</v>
          </cell>
          <cell r="H9033">
            <v>0</v>
          </cell>
        </row>
        <row r="9034">
          <cell r="F9034">
            <v>-19653</v>
          </cell>
          <cell r="G9034">
            <v>0</v>
          </cell>
          <cell r="H9034">
            <v>0</v>
          </cell>
        </row>
        <row r="9035">
          <cell r="F9035">
            <v>-6336.3899999999994</v>
          </cell>
          <cell r="G9035">
            <v>0</v>
          </cell>
          <cell r="H9035">
            <v>0</v>
          </cell>
        </row>
        <row r="9036">
          <cell r="F9036">
            <v>-15716.05</v>
          </cell>
          <cell r="G9036">
            <v>0</v>
          </cell>
          <cell r="H9036">
            <v>0</v>
          </cell>
        </row>
        <row r="9037">
          <cell r="F9037">
            <v>-19979.23</v>
          </cell>
          <cell r="G9037">
            <v>0</v>
          </cell>
          <cell r="H9037">
            <v>0</v>
          </cell>
        </row>
        <row r="9038">
          <cell r="F9038">
            <v>-2900.52</v>
          </cell>
          <cell r="G9038">
            <v>0</v>
          </cell>
          <cell r="H9038">
            <v>0</v>
          </cell>
        </row>
        <row r="9039">
          <cell r="F9039">
            <v>0</v>
          </cell>
          <cell r="G9039">
            <v>0</v>
          </cell>
          <cell r="H9039">
            <v>0</v>
          </cell>
        </row>
        <row r="9040">
          <cell r="F9040">
            <v>0</v>
          </cell>
          <cell r="G9040">
            <v>0</v>
          </cell>
          <cell r="H9040">
            <v>0</v>
          </cell>
        </row>
        <row r="9041">
          <cell r="F9041">
            <v>0</v>
          </cell>
          <cell r="G9041">
            <v>0</v>
          </cell>
          <cell r="H9041">
            <v>0</v>
          </cell>
        </row>
        <row r="9042">
          <cell r="F9042">
            <v>0</v>
          </cell>
          <cell r="G9042">
            <v>0</v>
          </cell>
          <cell r="H9042">
            <v>0</v>
          </cell>
        </row>
        <row r="9043">
          <cell r="F9043">
            <v>0</v>
          </cell>
          <cell r="G9043">
            <v>0</v>
          </cell>
          <cell r="H9043">
            <v>0</v>
          </cell>
        </row>
        <row r="9044">
          <cell r="F9044">
            <v>-11793.15</v>
          </cell>
          <cell r="G9044">
            <v>0</v>
          </cell>
          <cell r="H9044">
            <v>0</v>
          </cell>
        </row>
        <row r="9045">
          <cell r="F9045">
            <v>-114184.06</v>
          </cell>
          <cell r="G9045">
            <v>0</v>
          </cell>
          <cell r="H9045">
            <v>0</v>
          </cell>
        </row>
        <row r="9046">
          <cell r="F9046">
            <v>-22835.26</v>
          </cell>
          <cell r="G9046">
            <v>0</v>
          </cell>
          <cell r="H9046">
            <v>0</v>
          </cell>
        </row>
        <row r="9047">
          <cell r="F9047">
            <v>-40701.17</v>
          </cell>
          <cell r="G9047">
            <v>0</v>
          </cell>
          <cell r="H9047">
            <v>0</v>
          </cell>
        </row>
        <row r="9048">
          <cell r="F9048">
            <v>-95109.440000000002</v>
          </cell>
          <cell r="G9048">
            <v>0</v>
          </cell>
          <cell r="H9048">
            <v>0</v>
          </cell>
        </row>
        <row r="9049">
          <cell r="F9049">
            <v>-57689.71</v>
          </cell>
          <cell r="G9049">
            <v>0</v>
          </cell>
          <cell r="H9049">
            <v>0</v>
          </cell>
        </row>
        <row r="9050">
          <cell r="F9050">
            <v>-80047.48</v>
          </cell>
          <cell r="G9050">
            <v>0</v>
          </cell>
          <cell r="H9050">
            <v>0</v>
          </cell>
        </row>
        <row r="9051">
          <cell r="F9051">
            <v>-55769.760000000002</v>
          </cell>
          <cell r="G9051">
            <v>0</v>
          </cell>
          <cell r="H9051">
            <v>0</v>
          </cell>
        </row>
        <row r="9052">
          <cell r="F9052">
            <v>-35937.72</v>
          </cell>
          <cell r="G9052">
            <v>0</v>
          </cell>
          <cell r="H9052">
            <v>0</v>
          </cell>
        </row>
        <row r="9053">
          <cell r="F9053">
            <v>-78020.28</v>
          </cell>
          <cell r="G9053">
            <v>0</v>
          </cell>
          <cell r="H9053">
            <v>0</v>
          </cell>
        </row>
        <row r="9054">
          <cell r="F9054">
            <v>-22040.97</v>
          </cell>
          <cell r="G9054">
            <v>0</v>
          </cell>
          <cell r="H9054">
            <v>0</v>
          </cell>
        </row>
        <row r="9055">
          <cell r="F9055">
            <v>-11113.36</v>
          </cell>
          <cell r="G9055">
            <v>0</v>
          </cell>
          <cell r="H9055">
            <v>0</v>
          </cell>
        </row>
        <row r="9056">
          <cell r="F9056">
            <v>0</v>
          </cell>
          <cell r="G9056">
            <v>0</v>
          </cell>
          <cell r="H9056">
            <v>0</v>
          </cell>
        </row>
        <row r="9057">
          <cell r="F9057">
            <v>0</v>
          </cell>
          <cell r="G9057">
            <v>0</v>
          </cell>
          <cell r="H9057">
            <v>0</v>
          </cell>
        </row>
        <row r="9058">
          <cell r="F9058">
            <v>0</v>
          </cell>
          <cell r="G9058">
            <v>0</v>
          </cell>
          <cell r="H9058">
            <v>0</v>
          </cell>
        </row>
        <row r="9059">
          <cell r="F9059">
            <v>-68730.69</v>
          </cell>
          <cell r="G9059">
            <v>0</v>
          </cell>
          <cell r="H9059">
            <v>0</v>
          </cell>
        </row>
        <row r="9060">
          <cell r="F9060">
            <v>-5909.05</v>
          </cell>
          <cell r="G9060">
            <v>0</v>
          </cell>
          <cell r="H9060">
            <v>0</v>
          </cell>
        </row>
        <row r="9061">
          <cell r="F9061">
            <v>-49098.38</v>
          </cell>
          <cell r="G9061">
            <v>0</v>
          </cell>
          <cell r="H9061">
            <v>0</v>
          </cell>
        </row>
        <row r="9062">
          <cell r="F9062">
            <v>-5373.59</v>
          </cell>
          <cell r="G9062">
            <v>0</v>
          </cell>
          <cell r="H9062">
            <v>0</v>
          </cell>
        </row>
        <row r="9063">
          <cell r="F9063">
            <v>-6728.66</v>
          </cell>
          <cell r="G9063">
            <v>0</v>
          </cell>
          <cell r="H9063">
            <v>0</v>
          </cell>
        </row>
        <row r="9064">
          <cell r="F9064">
            <v>-51893.01</v>
          </cell>
          <cell r="G9064">
            <v>0</v>
          </cell>
          <cell r="H9064">
            <v>0</v>
          </cell>
        </row>
        <row r="9065">
          <cell r="F9065">
            <v>-5237.9799999999996</v>
          </cell>
          <cell r="G9065">
            <v>0</v>
          </cell>
          <cell r="H9065">
            <v>0</v>
          </cell>
        </row>
        <row r="9066">
          <cell r="F9066">
            <v>-192309.18</v>
          </cell>
          <cell r="G9066">
            <v>0</v>
          </cell>
          <cell r="H9066">
            <v>0</v>
          </cell>
        </row>
        <row r="9067">
          <cell r="F9067">
            <v>-83454.52</v>
          </cell>
          <cell r="G9067">
            <v>0</v>
          </cell>
          <cell r="H9067">
            <v>0</v>
          </cell>
        </row>
        <row r="9068">
          <cell r="F9068">
            <v>-20421.95</v>
          </cell>
          <cell r="G9068">
            <v>0</v>
          </cell>
          <cell r="H9068">
            <v>0</v>
          </cell>
        </row>
        <row r="9069">
          <cell r="F9069">
            <v>-8843.2799999999988</v>
          </cell>
          <cell r="G9069">
            <v>0</v>
          </cell>
          <cell r="H9069">
            <v>0</v>
          </cell>
        </row>
        <row r="9070">
          <cell r="F9070">
            <v>-10527.14</v>
          </cell>
          <cell r="G9070">
            <v>0</v>
          </cell>
          <cell r="H9070">
            <v>0</v>
          </cell>
        </row>
        <row r="9071">
          <cell r="F9071">
            <v>-14502.59</v>
          </cell>
          <cell r="G9071">
            <v>0</v>
          </cell>
          <cell r="H9071">
            <v>0</v>
          </cell>
        </row>
        <row r="9072">
          <cell r="F9072">
            <v>-42381.71</v>
          </cell>
          <cell r="G9072">
            <v>0</v>
          </cell>
          <cell r="H9072">
            <v>0</v>
          </cell>
        </row>
        <row r="9073">
          <cell r="F9073">
            <v>-37815.39</v>
          </cell>
          <cell r="G9073">
            <v>0</v>
          </cell>
          <cell r="H9073">
            <v>0</v>
          </cell>
        </row>
        <row r="9074">
          <cell r="F9074">
            <v>-81081.3</v>
          </cell>
          <cell r="G9074">
            <v>0</v>
          </cell>
          <cell r="H9074">
            <v>0</v>
          </cell>
        </row>
        <row r="9075">
          <cell r="F9075">
            <v>-49719.73</v>
          </cell>
          <cell r="G9075">
            <v>0</v>
          </cell>
          <cell r="H9075">
            <v>0</v>
          </cell>
        </row>
        <row r="9076">
          <cell r="F9076">
            <v>-33866.870000000003</v>
          </cell>
          <cell r="G9076">
            <v>0</v>
          </cell>
          <cell r="H9076">
            <v>0</v>
          </cell>
        </row>
        <row r="9077">
          <cell r="F9077">
            <v>-61057.279999999999</v>
          </cell>
          <cell r="G9077">
            <v>0</v>
          </cell>
          <cell r="H9077">
            <v>0</v>
          </cell>
        </row>
        <row r="9078">
          <cell r="F9078">
            <v>-15999.18</v>
          </cell>
          <cell r="G9078">
            <v>0</v>
          </cell>
          <cell r="H9078">
            <v>0</v>
          </cell>
        </row>
        <row r="9079">
          <cell r="F9079">
            <v>-14169.62</v>
          </cell>
          <cell r="G9079">
            <v>0</v>
          </cell>
          <cell r="H9079">
            <v>0</v>
          </cell>
        </row>
        <row r="9080">
          <cell r="F9080">
            <v>-118032.34</v>
          </cell>
          <cell r="G9080">
            <v>0</v>
          </cell>
          <cell r="H9080">
            <v>0</v>
          </cell>
        </row>
        <row r="9081">
          <cell r="F9081">
            <v>0</v>
          </cell>
          <cell r="G9081">
            <v>0</v>
          </cell>
          <cell r="H9081">
            <v>0</v>
          </cell>
        </row>
        <row r="9082">
          <cell r="F9082">
            <v>-26807.7</v>
          </cell>
          <cell r="G9082">
            <v>0</v>
          </cell>
          <cell r="H9082">
            <v>0</v>
          </cell>
        </row>
        <row r="9083">
          <cell r="F9083">
            <v>-2900.06</v>
          </cell>
          <cell r="G9083">
            <v>0</v>
          </cell>
          <cell r="H9083">
            <v>0</v>
          </cell>
        </row>
        <row r="9084">
          <cell r="F9084">
            <v>0</v>
          </cell>
          <cell r="G9084">
            <v>0</v>
          </cell>
          <cell r="H9084">
            <v>0</v>
          </cell>
        </row>
        <row r="9085">
          <cell r="F9085">
            <v>0</v>
          </cell>
          <cell r="G9085">
            <v>0</v>
          </cell>
          <cell r="H9085">
            <v>0</v>
          </cell>
        </row>
        <row r="9086">
          <cell r="F9086">
            <v>0</v>
          </cell>
          <cell r="G9086">
            <v>0</v>
          </cell>
          <cell r="H9086">
            <v>0</v>
          </cell>
        </row>
        <row r="9087">
          <cell r="F9087">
            <v>-3422.11</v>
          </cell>
          <cell r="G9087">
            <v>0</v>
          </cell>
          <cell r="H9087">
            <v>0</v>
          </cell>
        </row>
        <row r="9088">
          <cell r="F9088">
            <v>72212.31</v>
          </cell>
          <cell r="G9088">
            <v>0</v>
          </cell>
          <cell r="H9088">
            <v>0</v>
          </cell>
        </row>
        <row r="9089">
          <cell r="F9089">
            <v>-169117.67</v>
          </cell>
          <cell r="G9089">
            <v>0</v>
          </cell>
          <cell r="H9089">
            <v>0</v>
          </cell>
        </row>
        <row r="9090">
          <cell r="F9090">
            <v>1707.8400000000001</v>
          </cell>
          <cell r="G9090">
            <v>73</v>
          </cell>
          <cell r="H9090" t="str">
            <v>70/74</v>
          </cell>
        </row>
        <row r="9091">
          <cell r="F9091">
            <v>3945.44</v>
          </cell>
          <cell r="G9091">
            <v>73</v>
          </cell>
          <cell r="H9091" t="str">
            <v>70/74</v>
          </cell>
        </row>
        <row r="9092">
          <cell r="F9092">
            <v>9515</v>
          </cell>
          <cell r="G9092">
            <v>73</v>
          </cell>
          <cell r="H9092" t="str">
            <v>70/74</v>
          </cell>
        </row>
        <row r="9093">
          <cell r="F9093">
            <v>3415.6400000000003</v>
          </cell>
          <cell r="G9093">
            <v>73</v>
          </cell>
          <cell r="H9093" t="str">
            <v>70/74</v>
          </cell>
        </row>
        <row r="9094">
          <cell r="F9094">
            <v>5813.5599999999995</v>
          </cell>
          <cell r="G9094">
            <v>73</v>
          </cell>
          <cell r="H9094" t="str">
            <v>70/74</v>
          </cell>
        </row>
        <row r="9095">
          <cell r="F9095">
            <v>46175.29</v>
          </cell>
          <cell r="G9095">
            <v>73</v>
          </cell>
          <cell r="H9095" t="str">
            <v>70/74</v>
          </cell>
        </row>
        <row r="9096">
          <cell r="F9096">
            <v>7947.5999999999995</v>
          </cell>
          <cell r="G9096">
            <v>73</v>
          </cell>
          <cell r="H9096" t="str">
            <v>70/74</v>
          </cell>
        </row>
        <row r="9097">
          <cell r="F9097">
            <v>4838.04</v>
          </cell>
          <cell r="G9097">
            <v>73</v>
          </cell>
          <cell r="H9097" t="str">
            <v>70/74</v>
          </cell>
        </row>
        <row r="9098">
          <cell r="F9098">
            <v>3110.08</v>
          </cell>
          <cell r="G9098">
            <v>73</v>
          </cell>
          <cell r="H9098" t="str">
            <v>70/74</v>
          </cell>
        </row>
        <row r="9099">
          <cell r="F9099">
            <v>2027.48</v>
          </cell>
          <cell r="G9099">
            <v>73</v>
          </cell>
          <cell r="H9099" t="str">
            <v>70/74</v>
          </cell>
        </row>
        <row r="9100">
          <cell r="F9100">
            <v>45550.32</v>
          </cell>
          <cell r="G9100">
            <v>73</v>
          </cell>
          <cell r="H9100" t="str">
            <v>70/74</v>
          </cell>
        </row>
        <row r="9101">
          <cell r="F9101">
            <v>942.3</v>
          </cell>
          <cell r="G9101">
            <v>73</v>
          </cell>
          <cell r="H9101" t="str">
            <v>70/74</v>
          </cell>
        </row>
        <row r="9102">
          <cell r="F9102">
            <v>10789.94</v>
          </cell>
          <cell r="G9102">
            <v>73</v>
          </cell>
          <cell r="H9102" t="str">
            <v>70/74</v>
          </cell>
        </row>
        <row r="9103">
          <cell r="F9103">
            <v>12119.2</v>
          </cell>
          <cell r="G9103">
            <v>73</v>
          </cell>
          <cell r="H9103" t="str">
            <v>70/74</v>
          </cell>
        </row>
        <row r="9104">
          <cell r="F9104">
            <v>32937.699999999997</v>
          </cell>
          <cell r="G9104">
            <v>73</v>
          </cell>
          <cell r="H9104" t="str">
            <v>70/74</v>
          </cell>
        </row>
        <row r="9105">
          <cell r="F9105">
            <v>15883.4</v>
          </cell>
          <cell r="G9105">
            <v>73</v>
          </cell>
          <cell r="H9105" t="str">
            <v>70/74</v>
          </cell>
        </row>
        <row r="9106">
          <cell r="F9106">
            <v>8898.84</v>
          </cell>
          <cell r="G9106">
            <v>73</v>
          </cell>
          <cell r="H9106" t="str">
            <v>70/74</v>
          </cell>
        </row>
        <row r="9107">
          <cell r="F9107">
            <v>18591</v>
          </cell>
          <cell r="G9107">
            <v>73</v>
          </cell>
          <cell r="H9107" t="str">
            <v>70/74</v>
          </cell>
        </row>
        <row r="9108">
          <cell r="F9108">
            <v>14112.84</v>
          </cell>
          <cell r="G9108">
            <v>73</v>
          </cell>
          <cell r="H9108" t="str">
            <v>70/74</v>
          </cell>
        </row>
        <row r="9109">
          <cell r="F9109">
            <v>4000</v>
          </cell>
          <cell r="G9109">
            <v>73</v>
          </cell>
          <cell r="H9109" t="str">
            <v>70/74</v>
          </cell>
        </row>
        <row r="9110">
          <cell r="F9110">
            <v>22755.15</v>
          </cell>
          <cell r="G9110">
            <v>73</v>
          </cell>
          <cell r="H9110" t="str">
            <v>70/74</v>
          </cell>
        </row>
        <row r="9111">
          <cell r="F9111">
            <v>3778.3199999999997</v>
          </cell>
          <cell r="G9111">
            <v>73</v>
          </cell>
          <cell r="H9111" t="str">
            <v>70/74</v>
          </cell>
        </row>
        <row r="9112">
          <cell r="F9112">
            <v>0</v>
          </cell>
          <cell r="G9112">
            <v>73</v>
          </cell>
          <cell r="H9112" t="str">
            <v>70/74</v>
          </cell>
        </row>
        <row r="9113">
          <cell r="F9113">
            <v>3437.38</v>
          </cell>
          <cell r="G9113">
            <v>73</v>
          </cell>
          <cell r="H9113" t="str">
            <v>70/74</v>
          </cell>
        </row>
        <row r="9114">
          <cell r="F9114">
            <v>3437.38</v>
          </cell>
          <cell r="G9114">
            <v>73</v>
          </cell>
          <cell r="H9114" t="str">
            <v>70/74</v>
          </cell>
        </row>
        <row r="9115">
          <cell r="F9115">
            <v>5322</v>
          </cell>
          <cell r="G9115">
            <v>73</v>
          </cell>
          <cell r="H9115" t="str">
            <v>70/74</v>
          </cell>
        </row>
        <row r="9116">
          <cell r="F9116">
            <v>640.23</v>
          </cell>
          <cell r="G9116">
            <v>73</v>
          </cell>
          <cell r="H9116" t="str">
            <v>70/74</v>
          </cell>
        </row>
        <row r="9117">
          <cell r="F9117">
            <v>49.77</v>
          </cell>
          <cell r="G9117">
            <v>73</v>
          </cell>
          <cell r="H9117" t="str">
            <v>70/74</v>
          </cell>
        </row>
        <row r="9118">
          <cell r="F9118">
            <v>570</v>
          </cell>
          <cell r="G9118">
            <v>73</v>
          </cell>
          <cell r="H9118" t="str">
            <v>70/74</v>
          </cell>
        </row>
        <row r="9119">
          <cell r="F9119">
            <v>1740</v>
          </cell>
          <cell r="G9119">
            <v>73</v>
          </cell>
          <cell r="H9119" t="str">
            <v>70/74</v>
          </cell>
        </row>
        <row r="9120">
          <cell r="F9120">
            <v>5696.44</v>
          </cell>
          <cell r="G9120">
            <v>73</v>
          </cell>
          <cell r="H9120" t="str">
            <v>70/74</v>
          </cell>
        </row>
        <row r="9121">
          <cell r="F9121">
            <v>253.56</v>
          </cell>
          <cell r="G9121">
            <v>73</v>
          </cell>
          <cell r="H9121" t="str">
            <v>70/74</v>
          </cell>
        </row>
        <row r="9122">
          <cell r="F9122">
            <v>7585.48</v>
          </cell>
          <cell r="G9122">
            <v>73</v>
          </cell>
          <cell r="H9122" t="str">
            <v>70/74</v>
          </cell>
        </row>
        <row r="9123">
          <cell r="F9123">
            <v>5000</v>
          </cell>
          <cell r="G9123">
            <v>73</v>
          </cell>
          <cell r="H9123" t="str">
            <v>70/74</v>
          </cell>
        </row>
        <row r="9124">
          <cell r="F9124">
            <v>36.28</v>
          </cell>
          <cell r="G9124">
            <v>73</v>
          </cell>
          <cell r="H9124" t="str">
            <v>70/74</v>
          </cell>
        </row>
        <row r="9125">
          <cell r="F9125">
            <v>563.53</v>
          </cell>
          <cell r="G9125">
            <v>73</v>
          </cell>
          <cell r="H9125" t="str">
            <v>70/74</v>
          </cell>
        </row>
        <row r="9126">
          <cell r="F9126">
            <v>2411.4</v>
          </cell>
          <cell r="G9126">
            <v>73</v>
          </cell>
          <cell r="H9126" t="str">
            <v>70/74</v>
          </cell>
        </row>
        <row r="9127">
          <cell r="F9127">
            <v>7277.08</v>
          </cell>
          <cell r="G9127">
            <v>73</v>
          </cell>
          <cell r="H9127" t="str">
            <v>70/74</v>
          </cell>
        </row>
        <row r="9128">
          <cell r="F9128">
            <v>274343.09000000003</v>
          </cell>
          <cell r="G9128">
            <v>73</v>
          </cell>
          <cell r="H9128" t="str">
            <v>70/74</v>
          </cell>
        </row>
        <row r="9129">
          <cell r="F9129">
            <v>335911.26</v>
          </cell>
          <cell r="G9129">
            <v>73</v>
          </cell>
          <cell r="H9129" t="str">
            <v>70/74</v>
          </cell>
        </row>
        <row r="9130">
          <cell r="F9130">
            <v>714417.15</v>
          </cell>
          <cell r="G9130">
            <v>73</v>
          </cell>
          <cell r="H9130" t="str">
            <v>70/74</v>
          </cell>
        </row>
        <row r="9131">
          <cell r="F9131">
            <v>21255.77</v>
          </cell>
          <cell r="G9131">
            <v>73</v>
          </cell>
          <cell r="H9131" t="str">
            <v>70/74</v>
          </cell>
        </row>
        <row r="9132">
          <cell r="F9132">
            <v>472480.43</v>
          </cell>
          <cell r="G9132">
            <v>73</v>
          </cell>
          <cell r="H9132" t="str">
            <v>70/74</v>
          </cell>
        </row>
        <row r="9133">
          <cell r="F9133">
            <v>615657.12</v>
          </cell>
          <cell r="G9133">
            <v>73</v>
          </cell>
          <cell r="H9133" t="str">
            <v>70/74</v>
          </cell>
        </row>
        <row r="9134">
          <cell r="F9134">
            <v>403009.11</v>
          </cell>
          <cell r="G9134">
            <v>73</v>
          </cell>
          <cell r="H9134" t="str">
            <v>70/74</v>
          </cell>
        </row>
        <row r="9135">
          <cell r="F9135">
            <v>218333.27</v>
          </cell>
          <cell r="G9135">
            <v>73</v>
          </cell>
          <cell r="H9135" t="str">
            <v>70/74</v>
          </cell>
        </row>
        <row r="9136">
          <cell r="F9136">
            <v>316353.03999999998</v>
          </cell>
          <cell r="G9136">
            <v>73</v>
          </cell>
          <cell r="H9136" t="str">
            <v>70/74</v>
          </cell>
        </row>
        <row r="9137">
          <cell r="F9137">
            <v>675890.11</v>
          </cell>
          <cell r="G9137">
            <v>73</v>
          </cell>
          <cell r="H9137" t="str">
            <v>70/74</v>
          </cell>
        </row>
        <row r="9138">
          <cell r="F9138">
            <v>361005.97</v>
          </cell>
          <cell r="G9138">
            <v>73</v>
          </cell>
          <cell r="H9138" t="str">
            <v>70/74</v>
          </cell>
        </row>
        <row r="9139">
          <cell r="F9139">
            <v>509990.87</v>
          </cell>
          <cell r="G9139">
            <v>73</v>
          </cell>
          <cell r="H9139" t="str">
            <v>70/74</v>
          </cell>
        </row>
        <row r="9140">
          <cell r="F9140">
            <v>230556.01</v>
          </cell>
          <cell r="G9140">
            <v>73</v>
          </cell>
          <cell r="H9140" t="str">
            <v>70/74</v>
          </cell>
        </row>
        <row r="9141">
          <cell r="F9141">
            <v>43555.92</v>
          </cell>
          <cell r="G9141">
            <v>73</v>
          </cell>
          <cell r="H9141" t="str">
            <v>70/74</v>
          </cell>
        </row>
        <row r="9142">
          <cell r="F9142">
            <v>103564.94</v>
          </cell>
          <cell r="G9142">
            <v>73</v>
          </cell>
          <cell r="H9142" t="str">
            <v>70/74</v>
          </cell>
        </row>
        <row r="9143">
          <cell r="F9143">
            <v>66166.81</v>
          </cell>
          <cell r="G9143">
            <v>73</v>
          </cell>
          <cell r="H9143" t="str">
            <v>70/74</v>
          </cell>
        </row>
        <row r="9144">
          <cell r="F9144">
            <v>285422.58</v>
          </cell>
          <cell r="G9144">
            <v>73</v>
          </cell>
          <cell r="H9144" t="str">
            <v>70/74</v>
          </cell>
        </row>
        <row r="9145">
          <cell r="F9145">
            <v>395232.64</v>
          </cell>
          <cell r="G9145">
            <v>73</v>
          </cell>
          <cell r="H9145" t="str">
            <v>70/74</v>
          </cell>
        </row>
        <row r="9146">
          <cell r="F9146">
            <v>263464.63</v>
          </cell>
          <cell r="G9146">
            <v>73</v>
          </cell>
          <cell r="H9146" t="str">
            <v>70/74</v>
          </cell>
        </row>
        <row r="9147">
          <cell r="F9147">
            <v>219225.56</v>
          </cell>
          <cell r="G9147">
            <v>73</v>
          </cell>
          <cell r="H9147" t="str">
            <v>70/74</v>
          </cell>
        </row>
        <row r="9148">
          <cell r="F9148">
            <v>-467440.85</v>
          </cell>
          <cell r="G9148">
            <v>73</v>
          </cell>
          <cell r="H9148" t="str">
            <v>70/74</v>
          </cell>
        </row>
        <row r="9149">
          <cell r="F9149">
            <v>739130.51</v>
          </cell>
          <cell r="G9149">
            <v>73</v>
          </cell>
          <cell r="H9149" t="str">
            <v>70/74</v>
          </cell>
        </row>
        <row r="9150">
          <cell r="F9150">
            <v>764561.31</v>
          </cell>
          <cell r="G9150">
            <v>73</v>
          </cell>
          <cell r="H9150" t="str">
            <v>70/74</v>
          </cell>
        </row>
        <row r="9151">
          <cell r="F9151">
            <v>76339.009999999995</v>
          </cell>
          <cell r="G9151">
            <v>73</v>
          </cell>
          <cell r="H9151" t="str">
            <v>70/74</v>
          </cell>
        </row>
        <row r="9152">
          <cell r="F9152">
            <v>307432.8</v>
          </cell>
          <cell r="G9152">
            <v>73</v>
          </cell>
          <cell r="H9152" t="str">
            <v>70/74</v>
          </cell>
        </row>
        <row r="9153">
          <cell r="F9153">
            <v>524851.51</v>
          </cell>
          <cell r="G9153">
            <v>73</v>
          </cell>
          <cell r="H9153" t="str">
            <v>70/74</v>
          </cell>
        </row>
        <row r="9154">
          <cell r="F9154">
            <v>108443.75</v>
          </cell>
          <cell r="G9154">
            <v>73</v>
          </cell>
          <cell r="H9154" t="str">
            <v>70/74</v>
          </cell>
        </row>
        <row r="9155">
          <cell r="F9155">
            <v>366860.39</v>
          </cell>
          <cell r="G9155">
            <v>73</v>
          </cell>
          <cell r="H9155" t="str">
            <v>70/74</v>
          </cell>
        </row>
        <row r="9156">
          <cell r="F9156">
            <v>147815.88</v>
          </cell>
          <cell r="G9156">
            <v>73</v>
          </cell>
          <cell r="H9156" t="str">
            <v>70/74</v>
          </cell>
        </row>
        <row r="9157">
          <cell r="F9157">
            <v>1094723.3600000001</v>
          </cell>
          <cell r="G9157">
            <v>73</v>
          </cell>
          <cell r="H9157" t="str">
            <v>70/74</v>
          </cell>
        </row>
        <row r="9158">
          <cell r="F9158">
            <v>518159.09</v>
          </cell>
          <cell r="G9158">
            <v>73</v>
          </cell>
          <cell r="H9158" t="str">
            <v>70/74</v>
          </cell>
        </row>
        <row r="9159">
          <cell r="F9159">
            <v>321843.62</v>
          </cell>
          <cell r="G9159">
            <v>73</v>
          </cell>
          <cell r="H9159" t="str">
            <v>70/74</v>
          </cell>
        </row>
        <row r="9160">
          <cell r="F9160">
            <v>317821.38</v>
          </cell>
          <cell r="G9160">
            <v>73</v>
          </cell>
          <cell r="H9160" t="str">
            <v>70/74</v>
          </cell>
        </row>
        <row r="9161">
          <cell r="F9161">
            <v>272264.2</v>
          </cell>
          <cell r="G9161">
            <v>73</v>
          </cell>
          <cell r="H9161" t="str">
            <v>70/74</v>
          </cell>
        </row>
        <row r="9162">
          <cell r="F9162">
            <v>34783.72</v>
          </cell>
          <cell r="G9162">
            <v>73</v>
          </cell>
          <cell r="H9162" t="str">
            <v>70/74</v>
          </cell>
        </row>
        <row r="9163">
          <cell r="F9163">
            <v>96131.43</v>
          </cell>
          <cell r="G9163">
            <v>73</v>
          </cell>
          <cell r="H9163" t="str">
            <v>70/74</v>
          </cell>
        </row>
        <row r="9164">
          <cell r="F9164">
            <v>796353.55</v>
          </cell>
          <cell r="G9164">
            <v>73</v>
          </cell>
          <cell r="H9164" t="str">
            <v>70/74</v>
          </cell>
        </row>
        <row r="9165">
          <cell r="F9165">
            <v>927246.32</v>
          </cell>
          <cell r="G9165">
            <v>73</v>
          </cell>
          <cell r="H9165" t="str">
            <v>70/74</v>
          </cell>
        </row>
        <row r="9166">
          <cell r="F9166">
            <v>258622.57</v>
          </cell>
          <cell r="G9166">
            <v>73</v>
          </cell>
          <cell r="H9166" t="str">
            <v>70/74</v>
          </cell>
        </row>
        <row r="9167">
          <cell r="F9167">
            <v>373434.1</v>
          </cell>
          <cell r="G9167">
            <v>73</v>
          </cell>
          <cell r="H9167" t="str">
            <v>70/74</v>
          </cell>
        </row>
        <row r="9168">
          <cell r="F9168">
            <v>244784.72</v>
          </cell>
          <cell r="G9168">
            <v>73</v>
          </cell>
          <cell r="H9168" t="str">
            <v>70/74</v>
          </cell>
        </row>
        <row r="9169">
          <cell r="F9169">
            <v>47165.120000000003</v>
          </cell>
          <cell r="G9169">
            <v>73</v>
          </cell>
          <cell r="H9169" t="str">
            <v>70/74</v>
          </cell>
        </row>
        <row r="9170">
          <cell r="F9170">
            <v>125116.98</v>
          </cell>
          <cell r="G9170">
            <v>73</v>
          </cell>
          <cell r="H9170" t="str">
            <v>70/74</v>
          </cell>
        </row>
        <row r="9171">
          <cell r="F9171">
            <v>31095.4</v>
          </cell>
          <cell r="G9171">
            <v>73</v>
          </cell>
          <cell r="H9171" t="str">
            <v>70/74</v>
          </cell>
        </row>
        <row r="9172">
          <cell r="F9172">
            <v>262106.44</v>
          </cell>
          <cell r="G9172">
            <v>73</v>
          </cell>
          <cell r="H9172" t="str">
            <v>70/74</v>
          </cell>
        </row>
        <row r="9173">
          <cell r="F9173">
            <v>92527.74</v>
          </cell>
          <cell r="G9173">
            <v>73</v>
          </cell>
          <cell r="H9173" t="str">
            <v>70/74</v>
          </cell>
        </row>
        <row r="9174">
          <cell r="F9174">
            <v>138791.60999999999</v>
          </cell>
          <cell r="G9174">
            <v>73</v>
          </cell>
          <cell r="H9174" t="str">
            <v>70/74</v>
          </cell>
        </row>
        <row r="9175">
          <cell r="F9175">
            <v>135962.21</v>
          </cell>
          <cell r="G9175">
            <v>73</v>
          </cell>
          <cell r="H9175" t="str">
            <v>70/74</v>
          </cell>
        </row>
        <row r="9176">
          <cell r="F9176">
            <v>277912.84000000003</v>
          </cell>
          <cell r="G9176">
            <v>73</v>
          </cell>
          <cell r="H9176" t="str">
            <v>70/74</v>
          </cell>
        </row>
        <row r="9177">
          <cell r="F9177">
            <v>182821.41</v>
          </cell>
          <cell r="G9177">
            <v>73</v>
          </cell>
          <cell r="H9177" t="str">
            <v>70/74</v>
          </cell>
        </row>
        <row r="9178">
          <cell r="F9178">
            <v>6850</v>
          </cell>
          <cell r="G9178">
            <v>73</v>
          </cell>
          <cell r="H9178" t="str">
            <v>70/74</v>
          </cell>
        </row>
        <row r="9179">
          <cell r="F9179">
            <v>54710.82</v>
          </cell>
          <cell r="G9179">
            <v>73</v>
          </cell>
          <cell r="H9179" t="str">
            <v>70/74</v>
          </cell>
        </row>
        <row r="9180">
          <cell r="F9180">
            <v>6000</v>
          </cell>
          <cell r="G9180">
            <v>73</v>
          </cell>
          <cell r="H9180" t="str">
            <v>70/74</v>
          </cell>
        </row>
        <row r="9181">
          <cell r="F9181">
            <v>3284.44</v>
          </cell>
          <cell r="G9181">
            <v>73</v>
          </cell>
          <cell r="H9181" t="str">
            <v>70/74</v>
          </cell>
        </row>
        <row r="9182">
          <cell r="F9182">
            <v>31486.35</v>
          </cell>
          <cell r="G9182">
            <v>73</v>
          </cell>
          <cell r="H9182" t="str">
            <v>70/74</v>
          </cell>
        </row>
        <row r="9183">
          <cell r="F9183">
            <v>65913.58</v>
          </cell>
          <cell r="G9183">
            <v>73</v>
          </cell>
          <cell r="H9183" t="str">
            <v>70/74</v>
          </cell>
        </row>
        <row r="9184">
          <cell r="F9184">
            <v>50853.77</v>
          </cell>
          <cell r="G9184">
            <v>73</v>
          </cell>
          <cell r="H9184" t="str">
            <v>70/74</v>
          </cell>
        </row>
        <row r="9185">
          <cell r="F9185">
            <v>151648.65</v>
          </cell>
          <cell r="G9185">
            <v>73</v>
          </cell>
          <cell r="H9185" t="str">
            <v>70/74</v>
          </cell>
        </row>
        <row r="9186">
          <cell r="F9186">
            <v>59577.16</v>
          </cell>
          <cell r="G9186">
            <v>73</v>
          </cell>
          <cell r="H9186" t="str">
            <v>70/74</v>
          </cell>
        </row>
        <row r="9187">
          <cell r="F9187">
            <v>59678.6</v>
          </cell>
          <cell r="G9187">
            <v>73</v>
          </cell>
          <cell r="H9187" t="str">
            <v>70/74</v>
          </cell>
        </row>
        <row r="9188">
          <cell r="F9188">
            <v>30913.1</v>
          </cell>
          <cell r="G9188">
            <v>73</v>
          </cell>
          <cell r="H9188" t="str">
            <v>70/74</v>
          </cell>
        </row>
        <row r="9189">
          <cell r="F9189">
            <v>8348.82</v>
          </cell>
          <cell r="G9189">
            <v>73</v>
          </cell>
          <cell r="H9189" t="str">
            <v>70/74</v>
          </cell>
        </row>
        <row r="9190">
          <cell r="F9190">
            <v>165647.04000000001</v>
          </cell>
          <cell r="G9190">
            <v>73</v>
          </cell>
          <cell r="H9190" t="str">
            <v>70/74</v>
          </cell>
        </row>
        <row r="9191">
          <cell r="F9191">
            <v>101609.65</v>
          </cell>
          <cell r="G9191">
            <v>73</v>
          </cell>
          <cell r="H9191" t="str">
            <v>70/74</v>
          </cell>
        </row>
        <row r="9192">
          <cell r="F9192">
            <v>23987.7</v>
          </cell>
          <cell r="G9192">
            <v>73</v>
          </cell>
          <cell r="H9192" t="str">
            <v>70/74</v>
          </cell>
        </row>
        <row r="9193">
          <cell r="F9193">
            <v>55973.57</v>
          </cell>
          <cell r="G9193">
            <v>73</v>
          </cell>
          <cell r="H9193" t="str">
            <v>70/74</v>
          </cell>
        </row>
        <row r="9194">
          <cell r="F9194">
            <v>38647.03</v>
          </cell>
          <cell r="G9194">
            <v>73</v>
          </cell>
          <cell r="H9194" t="str">
            <v>70/74</v>
          </cell>
        </row>
        <row r="9195">
          <cell r="F9195">
            <v>1242443.54</v>
          </cell>
          <cell r="G9195">
            <v>73</v>
          </cell>
          <cell r="H9195" t="str">
            <v>70/74</v>
          </cell>
        </row>
        <row r="9196">
          <cell r="F9196">
            <v>3945.76</v>
          </cell>
          <cell r="G9196">
            <v>73</v>
          </cell>
          <cell r="H9196" t="str">
            <v>70/74</v>
          </cell>
        </row>
        <row r="9197">
          <cell r="F9197">
            <v>320280.05</v>
          </cell>
          <cell r="G9197">
            <v>73</v>
          </cell>
          <cell r="H9197" t="str">
            <v>70/74</v>
          </cell>
        </row>
        <row r="9198">
          <cell r="F9198">
            <v>5753.33</v>
          </cell>
          <cell r="G9198">
            <v>73</v>
          </cell>
          <cell r="H9198" t="str">
            <v>70/74</v>
          </cell>
        </row>
        <row r="9199">
          <cell r="F9199">
            <v>13112.63</v>
          </cell>
          <cell r="G9199">
            <v>73</v>
          </cell>
          <cell r="H9199" t="str">
            <v>70/74</v>
          </cell>
        </row>
        <row r="9200">
          <cell r="F9200">
            <v>33000</v>
          </cell>
          <cell r="G9200">
            <v>73</v>
          </cell>
          <cell r="H9200" t="str">
            <v>70/74</v>
          </cell>
        </row>
        <row r="9201">
          <cell r="F9201">
            <v>0</v>
          </cell>
          <cell r="G9201">
            <v>73</v>
          </cell>
          <cell r="H9201" t="str">
            <v>70/74</v>
          </cell>
        </row>
        <row r="9202">
          <cell r="F9202">
            <v>9800</v>
          </cell>
          <cell r="G9202">
            <v>73</v>
          </cell>
          <cell r="H9202" t="str">
            <v>70/74</v>
          </cell>
        </row>
        <row r="9203">
          <cell r="F9203">
            <v>21030.49</v>
          </cell>
          <cell r="G9203">
            <v>73</v>
          </cell>
          <cell r="H9203" t="str">
            <v>70/74</v>
          </cell>
        </row>
        <row r="9204">
          <cell r="F9204">
            <v>0</v>
          </cell>
          <cell r="G9204">
            <v>73</v>
          </cell>
          <cell r="H9204" t="str">
            <v>70/74</v>
          </cell>
        </row>
        <row r="9205">
          <cell r="F9205">
            <v>125.41</v>
          </cell>
          <cell r="G9205">
            <v>73</v>
          </cell>
          <cell r="H9205" t="str">
            <v>70/74</v>
          </cell>
        </row>
        <row r="9206">
          <cell r="F9206">
            <v>4697.04</v>
          </cell>
          <cell r="G9206">
            <v>73</v>
          </cell>
          <cell r="H9206" t="str">
            <v>70/74</v>
          </cell>
        </row>
        <row r="9207">
          <cell r="F9207">
            <v>1666.13</v>
          </cell>
          <cell r="G9207">
            <v>73</v>
          </cell>
          <cell r="H9207" t="str">
            <v>70/74</v>
          </cell>
        </row>
        <row r="9208">
          <cell r="F9208">
            <v>3865.27</v>
          </cell>
          <cell r="G9208">
            <v>73</v>
          </cell>
          <cell r="H9208" t="str">
            <v>70/74</v>
          </cell>
        </row>
        <row r="9209">
          <cell r="F9209">
            <v>6853.43</v>
          </cell>
          <cell r="G9209">
            <v>73</v>
          </cell>
          <cell r="H9209" t="str">
            <v>70/74</v>
          </cell>
        </row>
        <row r="9210">
          <cell r="F9210">
            <v>0</v>
          </cell>
          <cell r="G9210">
            <v>73</v>
          </cell>
          <cell r="H9210" t="str">
            <v>70/74</v>
          </cell>
        </row>
        <row r="9211">
          <cell r="F9211">
            <v>24361.03</v>
          </cell>
          <cell r="G9211">
            <v>73</v>
          </cell>
          <cell r="H9211" t="str">
            <v>70/74</v>
          </cell>
        </row>
        <row r="9212">
          <cell r="F9212">
            <v>30704.68</v>
          </cell>
          <cell r="G9212">
            <v>73</v>
          </cell>
          <cell r="H9212" t="str">
            <v>70/74</v>
          </cell>
        </row>
        <row r="9213">
          <cell r="F9213">
            <v>395315</v>
          </cell>
          <cell r="G9213">
            <v>73</v>
          </cell>
          <cell r="H9213" t="str">
            <v>70/74</v>
          </cell>
        </row>
        <row r="9214">
          <cell r="F9214">
            <v>1652526.54</v>
          </cell>
          <cell r="G9214">
            <v>73</v>
          </cell>
          <cell r="H9214" t="str">
            <v>70/74</v>
          </cell>
        </row>
        <row r="9215">
          <cell r="F9215">
            <v>103975.78</v>
          </cell>
          <cell r="G9215">
            <v>73</v>
          </cell>
          <cell r="H9215" t="str">
            <v>70/74</v>
          </cell>
        </row>
        <row r="9216">
          <cell r="F9216">
            <v>277328.36</v>
          </cell>
          <cell r="G9216">
            <v>73</v>
          </cell>
          <cell r="H9216" t="str">
            <v>70/74</v>
          </cell>
        </row>
        <row r="9217">
          <cell r="F9217">
            <v>242450.37</v>
          </cell>
          <cell r="G9217">
            <v>73</v>
          </cell>
          <cell r="H9217" t="str">
            <v>70/74</v>
          </cell>
        </row>
        <row r="9218">
          <cell r="F9218">
            <v>155866.18</v>
          </cell>
          <cell r="G9218">
            <v>73</v>
          </cell>
          <cell r="H9218" t="str">
            <v>70/74</v>
          </cell>
        </row>
        <row r="9219">
          <cell r="F9219">
            <v>104515.43</v>
          </cell>
          <cell r="G9219">
            <v>73</v>
          </cell>
          <cell r="H9219" t="str">
            <v>70/74</v>
          </cell>
        </row>
        <row r="9220">
          <cell r="F9220">
            <v>121500.22</v>
          </cell>
          <cell r="G9220">
            <v>73</v>
          </cell>
          <cell r="H9220" t="str">
            <v>70/74</v>
          </cell>
        </row>
        <row r="9221">
          <cell r="F9221">
            <v>172876.66</v>
          </cell>
          <cell r="G9221">
            <v>73</v>
          </cell>
          <cell r="H9221" t="str">
            <v>70/74</v>
          </cell>
        </row>
        <row r="9222">
          <cell r="F9222">
            <v>129117.63</v>
          </cell>
          <cell r="G9222">
            <v>73</v>
          </cell>
          <cell r="H9222" t="str">
            <v>70/74</v>
          </cell>
        </row>
        <row r="9223">
          <cell r="F9223">
            <v>121563.37</v>
          </cell>
          <cell r="G9223">
            <v>73</v>
          </cell>
          <cell r="H9223" t="str">
            <v>70/74</v>
          </cell>
        </row>
        <row r="9224">
          <cell r="F9224">
            <v>216183</v>
          </cell>
          <cell r="G9224">
            <v>73</v>
          </cell>
          <cell r="H9224" t="str">
            <v>70/74</v>
          </cell>
        </row>
        <row r="9225">
          <cell r="F9225">
            <v>918000</v>
          </cell>
          <cell r="G9225">
            <v>73</v>
          </cell>
          <cell r="H9225" t="str">
            <v>70/74</v>
          </cell>
        </row>
        <row r="9226">
          <cell r="F9226">
            <v>2441.36</v>
          </cell>
          <cell r="G9226">
            <v>73</v>
          </cell>
          <cell r="H9226" t="str">
            <v>70/74</v>
          </cell>
        </row>
        <row r="9227">
          <cell r="F9227">
            <v>4247.2299999999996</v>
          </cell>
          <cell r="G9227">
            <v>73</v>
          </cell>
          <cell r="H9227" t="str">
            <v>70/74</v>
          </cell>
        </row>
        <row r="9228">
          <cell r="F9228">
            <v>24809.75</v>
          </cell>
          <cell r="G9228">
            <v>73</v>
          </cell>
          <cell r="H9228" t="str">
            <v>70/74</v>
          </cell>
        </row>
        <row r="9229">
          <cell r="F9229">
            <v>100128.02</v>
          </cell>
          <cell r="G9229">
            <v>73</v>
          </cell>
          <cell r="H9229" t="str">
            <v>70/74</v>
          </cell>
        </row>
        <row r="9230">
          <cell r="F9230">
            <v>571.54</v>
          </cell>
          <cell r="G9230">
            <v>73</v>
          </cell>
          <cell r="H9230" t="str">
            <v>70/74</v>
          </cell>
        </row>
        <row r="9231">
          <cell r="F9231">
            <v>65981.570000000007</v>
          </cell>
          <cell r="G9231">
            <v>73</v>
          </cell>
          <cell r="H9231" t="str">
            <v>70/74</v>
          </cell>
        </row>
        <row r="9232">
          <cell r="F9232">
            <v>224641</v>
          </cell>
          <cell r="G9232">
            <v>73</v>
          </cell>
          <cell r="H9232" t="str">
            <v>70/74</v>
          </cell>
        </row>
        <row r="9233">
          <cell r="F9233">
            <v>462874.5</v>
          </cell>
          <cell r="G9233">
            <v>73</v>
          </cell>
          <cell r="H9233" t="str">
            <v>70/74</v>
          </cell>
        </row>
        <row r="9234">
          <cell r="F9234">
            <v>1431250</v>
          </cell>
          <cell r="G9234">
            <v>73</v>
          </cell>
          <cell r="H9234" t="str">
            <v>70/74</v>
          </cell>
        </row>
        <row r="9235">
          <cell r="F9235">
            <v>31900.25</v>
          </cell>
          <cell r="G9235">
            <v>73</v>
          </cell>
          <cell r="H9235" t="str">
            <v>70/74</v>
          </cell>
        </row>
        <row r="9236">
          <cell r="F9236">
            <v>858223</v>
          </cell>
          <cell r="G9236">
            <v>73</v>
          </cell>
          <cell r="H9236" t="str">
            <v>70/74</v>
          </cell>
        </row>
        <row r="9237">
          <cell r="F9237">
            <v>724710</v>
          </cell>
          <cell r="G9237">
            <v>73</v>
          </cell>
          <cell r="H9237" t="str">
            <v>70/74</v>
          </cell>
        </row>
        <row r="9238">
          <cell r="F9238">
            <v>756037.77</v>
          </cell>
          <cell r="G9238">
            <v>73</v>
          </cell>
          <cell r="H9238" t="str">
            <v>70/74</v>
          </cell>
        </row>
        <row r="9239">
          <cell r="F9239">
            <v>237114</v>
          </cell>
          <cell r="G9239">
            <v>73</v>
          </cell>
          <cell r="H9239" t="str">
            <v>70/74</v>
          </cell>
        </row>
        <row r="9240">
          <cell r="F9240">
            <v>87445.57</v>
          </cell>
          <cell r="G9240">
            <v>73</v>
          </cell>
          <cell r="H9240" t="str">
            <v>70/74</v>
          </cell>
        </row>
        <row r="9241">
          <cell r="F9241">
            <v>142743</v>
          </cell>
          <cell r="G9241">
            <v>73</v>
          </cell>
          <cell r="H9241" t="str">
            <v>70/74</v>
          </cell>
        </row>
        <row r="9242">
          <cell r="F9242">
            <v>294884.74</v>
          </cell>
          <cell r="G9242">
            <v>73</v>
          </cell>
          <cell r="H9242" t="str">
            <v>70/74</v>
          </cell>
        </row>
        <row r="9243">
          <cell r="F9243">
            <v>298335</v>
          </cell>
          <cell r="G9243">
            <v>73</v>
          </cell>
          <cell r="H9243" t="str">
            <v>70/74</v>
          </cell>
        </row>
        <row r="9244">
          <cell r="F9244">
            <v>159528.32999999999</v>
          </cell>
          <cell r="G9244">
            <v>73</v>
          </cell>
          <cell r="H9244" t="str">
            <v>70/74</v>
          </cell>
        </row>
        <row r="9245">
          <cell r="F9245">
            <v>140454</v>
          </cell>
          <cell r="G9245">
            <v>73</v>
          </cell>
          <cell r="H9245" t="str">
            <v>70/74</v>
          </cell>
        </row>
        <row r="9246">
          <cell r="F9246">
            <v>127730.07999999999</v>
          </cell>
          <cell r="G9246">
            <v>73</v>
          </cell>
          <cell r="H9246" t="str">
            <v>70/74</v>
          </cell>
        </row>
        <row r="9247">
          <cell r="F9247">
            <v>122247</v>
          </cell>
          <cell r="G9247">
            <v>73</v>
          </cell>
          <cell r="H9247" t="str">
            <v>70/74</v>
          </cell>
        </row>
        <row r="9248">
          <cell r="F9248">
            <v>74689.149999999994</v>
          </cell>
          <cell r="G9248">
            <v>73</v>
          </cell>
          <cell r="H9248" t="str">
            <v>70/74</v>
          </cell>
        </row>
        <row r="9249">
          <cell r="F9249">
            <v>257403</v>
          </cell>
          <cell r="G9249">
            <v>73</v>
          </cell>
          <cell r="H9249" t="str">
            <v>70/74</v>
          </cell>
        </row>
        <row r="9250">
          <cell r="F9250">
            <v>65000</v>
          </cell>
          <cell r="G9250">
            <v>73</v>
          </cell>
          <cell r="H9250" t="str">
            <v>70/74</v>
          </cell>
        </row>
        <row r="9251">
          <cell r="F9251">
            <v>31905.67</v>
          </cell>
          <cell r="G9251">
            <v>73</v>
          </cell>
          <cell r="H9251" t="str">
            <v>70/74</v>
          </cell>
        </row>
        <row r="9252">
          <cell r="F9252">
            <v>15000</v>
          </cell>
          <cell r="G9252">
            <v>73</v>
          </cell>
          <cell r="H9252" t="str">
            <v>70/74</v>
          </cell>
        </row>
        <row r="9253">
          <cell r="F9253">
            <v>23807.45</v>
          </cell>
          <cell r="G9253">
            <v>73</v>
          </cell>
          <cell r="H9253" t="str">
            <v>70/74</v>
          </cell>
        </row>
        <row r="9254">
          <cell r="F9254">
            <v>14125.07</v>
          </cell>
          <cell r="G9254">
            <v>73</v>
          </cell>
          <cell r="H9254" t="str">
            <v>70/74</v>
          </cell>
        </row>
        <row r="9255">
          <cell r="F9255">
            <v>20206.12</v>
          </cell>
          <cell r="G9255">
            <v>73</v>
          </cell>
          <cell r="H9255" t="str">
            <v>70/74</v>
          </cell>
        </row>
        <row r="9256">
          <cell r="F9256">
            <v>9457.56</v>
          </cell>
          <cell r="G9256">
            <v>73</v>
          </cell>
          <cell r="H9256" t="str">
            <v>70/74</v>
          </cell>
        </row>
        <row r="9257">
          <cell r="F9257">
            <v>4149.25</v>
          </cell>
          <cell r="G9257">
            <v>73</v>
          </cell>
          <cell r="H9257" t="str">
            <v>70/74</v>
          </cell>
        </row>
        <row r="9258">
          <cell r="F9258">
            <v>4064.67</v>
          </cell>
          <cell r="G9258">
            <v>73</v>
          </cell>
          <cell r="H9258" t="str">
            <v>70/74</v>
          </cell>
        </row>
        <row r="9259">
          <cell r="F9259">
            <v>929.61</v>
          </cell>
          <cell r="G9259">
            <v>73</v>
          </cell>
          <cell r="H9259" t="str">
            <v>70/74</v>
          </cell>
        </row>
        <row r="9260">
          <cell r="F9260">
            <v>12048.19</v>
          </cell>
          <cell r="G9260">
            <v>73</v>
          </cell>
          <cell r="H9260" t="str">
            <v>70/74</v>
          </cell>
        </row>
        <row r="9261">
          <cell r="F9261">
            <v>8201.65</v>
          </cell>
          <cell r="G9261">
            <v>73</v>
          </cell>
          <cell r="H9261" t="str">
            <v>70/74</v>
          </cell>
        </row>
        <row r="9262">
          <cell r="F9262">
            <v>2766.17</v>
          </cell>
          <cell r="G9262">
            <v>73</v>
          </cell>
          <cell r="H9262" t="str">
            <v>70/74</v>
          </cell>
        </row>
        <row r="9263">
          <cell r="F9263">
            <v>6527.2</v>
          </cell>
          <cell r="G9263">
            <v>73</v>
          </cell>
          <cell r="H9263" t="str">
            <v>70/74</v>
          </cell>
        </row>
        <row r="9264">
          <cell r="F9264">
            <v>1302.1300000000001</v>
          </cell>
          <cell r="G9264">
            <v>73</v>
          </cell>
          <cell r="H9264" t="str">
            <v>70/74</v>
          </cell>
        </row>
        <row r="9265">
          <cell r="F9265">
            <v>295721.76</v>
          </cell>
          <cell r="G9265">
            <v>73</v>
          </cell>
          <cell r="H9265" t="str">
            <v>70/74</v>
          </cell>
        </row>
        <row r="9266">
          <cell r="F9266">
            <v>-13974.43</v>
          </cell>
          <cell r="G9266">
            <v>73</v>
          </cell>
          <cell r="H9266" t="str">
            <v>70/74</v>
          </cell>
        </row>
        <row r="9267">
          <cell r="F9267">
            <v>1039.8800000000001</v>
          </cell>
          <cell r="G9267">
            <v>73</v>
          </cell>
          <cell r="H9267" t="str">
            <v>70/74</v>
          </cell>
        </row>
        <row r="9268">
          <cell r="F9268">
            <v>11815.71</v>
          </cell>
          <cell r="G9268">
            <v>73</v>
          </cell>
          <cell r="H9268" t="str">
            <v>70/74</v>
          </cell>
        </row>
        <row r="9269">
          <cell r="F9269">
            <v>11164.03</v>
          </cell>
          <cell r="G9269">
            <v>73</v>
          </cell>
          <cell r="H9269" t="str">
            <v>70/74</v>
          </cell>
        </row>
        <row r="9270">
          <cell r="F9270">
            <v>15246.48</v>
          </cell>
          <cell r="G9270">
            <v>73</v>
          </cell>
          <cell r="H9270" t="str">
            <v>70/74</v>
          </cell>
        </row>
        <row r="9271">
          <cell r="F9271">
            <v>2873.91</v>
          </cell>
          <cell r="G9271">
            <v>73</v>
          </cell>
          <cell r="H9271" t="str">
            <v>70/74</v>
          </cell>
        </row>
        <row r="9272">
          <cell r="F9272">
            <v>6553.88</v>
          </cell>
          <cell r="G9272">
            <v>73</v>
          </cell>
          <cell r="H9272" t="str">
            <v>70/74</v>
          </cell>
        </row>
        <row r="9273">
          <cell r="F9273">
            <v>3740.44</v>
          </cell>
          <cell r="G9273">
            <v>73</v>
          </cell>
          <cell r="H9273" t="str">
            <v>70/74</v>
          </cell>
        </row>
        <row r="9274">
          <cell r="F9274">
            <v>8532.8700000000008</v>
          </cell>
          <cell r="G9274">
            <v>73</v>
          </cell>
          <cell r="H9274" t="str">
            <v>70/74</v>
          </cell>
        </row>
        <row r="9275">
          <cell r="F9275">
            <v>18405.43</v>
          </cell>
          <cell r="G9275">
            <v>73</v>
          </cell>
          <cell r="H9275" t="str">
            <v>70/74</v>
          </cell>
        </row>
        <row r="9276">
          <cell r="F9276">
            <v>9621.7099999999991</v>
          </cell>
          <cell r="G9276">
            <v>73</v>
          </cell>
          <cell r="H9276" t="str">
            <v>70/74</v>
          </cell>
        </row>
        <row r="9277">
          <cell r="F9277">
            <v>7731.67</v>
          </cell>
          <cell r="G9277">
            <v>73</v>
          </cell>
          <cell r="H9277" t="str">
            <v>70/74</v>
          </cell>
        </row>
        <row r="9278">
          <cell r="F9278">
            <v>1978.09</v>
          </cell>
          <cell r="G9278">
            <v>73</v>
          </cell>
          <cell r="H9278" t="str">
            <v>70/74</v>
          </cell>
        </row>
        <row r="9279">
          <cell r="F9279">
            <v>10967.5</v>
          </cell>
          <cell r="G9279">
            <v>73</v>
          </cell>
          <cell r="H9279" t="str">
            <v>70/74</v>
          </cell>
        </row>
        <row r="9280">
          <cell r="F9280">
            <v>8139.49</v>
          </cell>
          <cell r="G9280">
            <v>73</v>
          </cell>
          <cell r="H9280" t="str">
            <v>70/74</v>
          </cell>
        </row>
        <row r="9281">
          <cell r="F9281">
            <v>7876.43</v>
          </cell>
          <cell r="G9281">
            <v>73</v>
          </cell>
          <cell r="H9281" t="str">
            <v>70/74</v>
          </cell>
        </row>
        <row r="9282">
          <cell r="F9282">
            <v>3096.14</v>
          </cell>
          <cell r="G9282">
            <v>73</v>
          </cell>
          <cell r="H9282" t="str">
            <v>70/74</v>
          </cell>
        </row>
        <row r="9283">
          <cell r="F9283">
            <v>7835.83</v>
          </cell>
          <cell r="G9283">
            <v>73</v>
          </cell>
          <cell r="H9283" t="str">
            <v>70/74</v>
          </cell>
        </row>
        <row r="9284">
          <cell r="F9284">
            <v>10792.48</v>
          </cell>
          <cell r="G9284">
            <v>73</v>
          </cell>
          <cell r="H9284" t="str">
            <v>70/74</v>
          </cell>
        </row>
        <row r="9285">
          <cell r="F9285">
            <v>10042.26</v>
          </cell>
          <cell r="G9285">
            <v>73</v>
          </cell>
          <cell r="H9285" t="str">
            <v>70/74</v>
          </cell>
        </row>
        <row r="9286">
          <cell r="F9286">
            <v>6892.61</v>
          </cell>
          <cell r="G9286">
            <v>73</v>
          </cell>
          <cell r="H9286" t="str">
            <v>70/74</v>
          </cell>
        </row>
        <row r="9287">
          <cell r="F9287">
            <v>22857</v>
          </cell>
          <cell r="G9287">
            <v>73</v>
          </cell>
          <cell r="H9287" t="str">
            <v>70/74</v>
          </cell>
        </row>
        <row r="9288">
          <cell r="F9288">
            <v>9501.4599999999991</v>
          </cell>
          <cell r="G9288">
            <v>73</v>
          </cell>
          <cell r="H9288" t="str">
            <v>70/74</v>
          </cell>
        </row>
        <row r="9289">
          <cell r="F9289">
            <v>27720.57</v>
          </cell>
          <cell r="G9289">
            <v>73</v>
          </cell>
          <cell r="H9289" t="str">
            <v>70/74</v>
          </cell>
        </row>
        <row r="9290">
          <cell r="F9290">
            <v>9190.8799999999992</v>
          </cell>
          <cell r="G9290">
            <v>73</v>
          </cell>
          <cell r="H9290" t="str">
            <v>70/74</v>
          </cell>
        </row>
        <row r="9291">
          <cell r="F9291">
            <v>7317.98</v>
          </cell>
          <cell r="G9291">
            <v>73</v>
          </cell>
          <cell r="H9291" t="str">
            <v>70/74</v>
          </cell>
        </row>
        <row r="9292">
          <cell r="F9292">
            <v>1410.03</v>
          </cell>
          <cell r="G9292">
            <v>73</v>
          </cell>
          <cell r="H9292" t="str">
            <v>70/74</v>
          </cell>
        </row>
        <row r="9293">
          <cell r="F9293">
            <v>635.46</v>
          </cell>
          <cell r="G9293">
            <v>73</v>
          </cell>
          <cell r="H9293" t="str">
            <v>70/74</v>
          </cell>
        </row>
        <row r="9294">
          <cell r="F9294">
            <v>8308.36</v>
          </cell>
          <cell r="G9294">
            <v>73</v>
          </cell>
          <cell r="H9294" t="str">
            <v>70/74</v>
          </cell>
        </row>
        <row r="9295">
          <cell r="F9295">
            <v>21357.919999999998</v>
          </cell>
          <cell r="G9295">
            <v>73</v>
          </cell>
          <cell r="H9295" t="str">
            <v>70/74</v>
          </cell>
        </row>
        <row r="9296">
          <cell r="F9296">
            <v>21750</v>
          </cell>
          <cell r="G9296">
            <v>73</v>
          </cell>
          <cell r="H9296" t="str">
            <v>70/74</v>
          </cell>
        </row>
        <row r="9297">
          <cell r="F9297">
            <v>10133.76</v>
          </cell>
          <cell r="G9297">
            <v>73</v>
          </cell>
          <cell r="H9297" t="str">
            <v>70/74</v>
          </cell>
        </row>
        <row r="9298">
          <cell r="F9298">
            <v>22096.73</v>
          </cell>
          <cell r="G9298">
            <v>73</v>
          </cell>
          <cell r="H9298" t="str">
            <v>70/74</v>
          </cell>
        </row>
        <row r="9299">
          <cell r="F9299">
            <v>3241.99</v>
          </cell>
          <cell r="G9299">
            <v>73</v>
          </cell>
          <cell r="H9299" t="str">
            <v>70/74</v>
          </cell>
        </row>
        <row r="9300">
          <cell r="F9300">
            <v>4419.04</v>
          </cell>
          <cell r="G9300">
            <v>73</v>
          </cell>
          <cell r="H9300" t="str">
            <v>70/74</v>
          </cell>
        </row>
        <row r="9301">
          <cell r="F9301">
            <v>6236.16</v>
          </cell>
          <cell r="G9301">
            <v>73</v>
          </cell>
          <cell r="H9301" t="str">
            <v>70/74</v>
          </cell>
        </row>
        <row r="9302">
          <cell r="F9302">
            <v>15690.74</v>
          </cell>
          <cell r="G9302">
            <v>73</v>
          </cell>
          <cell r="H9302" t="str">
            <v>70/74</v>
          </cell>
        </row>
        <row r="9303">
          <cell r="F9303">
            <v>32727.39</v>
          </cell>
          <cell r="G9303">
            <v>73</v>
          </cell>
          <cell r="H9303" t="str">
            <v>70/74</v>
          </cell>
        </row>
        <row r="9304">
          <cell r="F9304">
            <v>15490.66</v>
          </cell>
          <cell r="G9304">
            <v>73</v>
          </cell>
          <cell r="H9304" t="str">
            <v>70/74</v>
          </cell>
        </row>
        <row r="9305">
          <cell r="F9305">
            <v>2282.1999999999998</v>
          </cell>
          <cell r="G9305">
            <v>73</v>
          </cell>
          <cell r="H9305" t="str">
            <v>70/74</v>
          </cell>
        </row>
        <row r="9306">
          <cell r="F9306">
            <v>41211.040000000001</v>
          </cell>
          <cell r="G9306">
            <v>73</v>
          </cell>
          <cell r="H9306" t="str">
            <v>70/74</v>
          </cell>
        </row>
        <row r="9307">
          <cell r="F9307">
            <v>53735.71</v>
          </cell>
          <cell r="G9307">
            <v>73</v>
          </cell>
          <cell r="H9307" t="str">
            <v>70/74</v>
          </cell>
        </row>
        <row r="9308">
          <cell r="F9308">
            <v>24739.4</v>
          </cell>
          <cell r="G9308">
            <v>73</v>
          </cell>
          <cell r="H9308" t="str">
            <v>70/74</v>
          </cell>
        </row>
        <row r="9309">
          <cell r="F9309">
            <v>14612</v>
          </cell>
          <cell r="G9309">
            <v>73</v>
          </cell>
          <cell r="H9309" t="str">
            <v>70/74</v>
          </cell>
        </row>
        <row r="9310">
          <cell r="F9310">
            <v>0</v>
          </cell>
          <cell r="G9310">
            <v>73</v>
          </cell>
          <cell r="H9310" t="str">
            <v>70/74</v>
          </cell>
        </row>
        <row r="9311">
          <cell r="F9311">
            <v>16000</v>
          </cell>
          <cell r="G9311">
            <v>73</v>
          </cell>
          <cell r="H9311" t="str">
            <v>70/74</v>
          </cell>
        </row>
        <row r="9312">
          <cell r="F9312">
            <v>39964.399999999994</v>
          </cell>
          <cell r="G9312">
            <v>73</v>
          </cell>
          <cell r="H9312" t="str">
            <v>70/74</v>
          </cell>
        </row>
        <row r="9313">
          <cell r="F9313">
            <v>1092.94</v>
          </cell>
          <cell r="G9313">
            <v>0</v>
          </cell>
          <cell r="H9313" t="str">
            <v>70/74</v>
          </cell>
        </row>
        <row r="9314">
          <cell r="F9314">
            <v>319.5</v>
          </cell>
          <cell r="G9314">
            <v>0</v>
          </cell>
          <cell r="H9314" t="str">
            <v>70/74</v>
          </cell>
        </row>
        <row r="9315">
          <cell r="F9315">
            <v>29.6</v>
          </cell>
          <cell r="G9315">
            <v>0</v>
          </cell>
          <cell r="H9315" t="str">
            <v>70/74</v>
          </cell>
        </row>
        <row r="9316">
          <cell r="F9316">
            <v>32</v>
          </cell>
          <cell r="G9316">
            <v>0</v>
          </cell>
          <cell r="H9316" t="str">
            <v>70/74</v>
          </cell>
        </row>
        <row r="9317">
          <cell r="F9317">
            <v>1</v>
          </cell>
          <cell r="G9317">
            <v>0</v>
          </cell>
          <cell r="H9317" t="str">
            <v>70/74</v>
          </cell>
        </row>
        <row r="9318">
          <cell r="F9318">
            <v>2.79</v>
          </cell>
          <cell r="G9318">
            <v>0</v>
          </cell>
          <cell r="H9318" t="str">
            <v>70/74</v>
          </cell>
        </row>
        <row r="9319">
          <cell r="F9319">
            <v>-8.23</v>
          </cell>
          <cell r="G9319">
            <v>0</v>
          </cell>
          <cell r="H9319" t="str">
            <v>70/74</v>
          </cell>
        </row>
        <row r="9320">
          <cell r="F9320">
            <v>3.37</v>
          </cell>
          <cell r="G9320">
            <v>0</v>
          </cell>
          <cell r="H9320" t="str">
            <v>70/74</v>
          </cell>
        </row>
        <row r="9321">
          <cell r="F9321">
            <v>320</v>
          </cell>
          <cell r="G9321">
            <v>0</v>
          </cell>
          <cell r="H9321" t="str">
            <v>70/74</v>
          </cell>
        </row>
        <row r="9322">
          <cell r="F9322">
            <v>35.1</v>
          </cell>
          <cell r="G9322">
            <v>0</v>
          </cell>
          <cell r="H9322" t="str">
            <v>70/74</v>
          </cell>
        </row>
        <row r="9323">
          <cell r="F9323">
            <v>744.2700000000001</v>
          </cell>
          <cell r="G9323">
            <v>0</v>
          </cell>
          <cell r="H9323" t="str">
            <v>70/74</v>
          </cell>
        </row>
        <row r="9324">
          <cell r="F9324">
            <v>4.8499999999999996</v>
          </cell>
          <cell r="G9324">
            <v>0</v>
          </cell>
          <cell r="H9324" t="str">
            <v>70/74</v>
          </cell>
        </row>
        <row r="9325">
          <cell r="F9325">
            <v>77.349999999999994</v>
          </cell>
          <cell r="G9325">
            <v>0</v>
          </cell>
          <cell r="H9325" t="str">
            <v>70/74</v>
          </cell>
        </row>
        <row r="9326">
          <cell r="F9326">
            <v>35.44</v>
          </cell>
          <cell r="G9326">
            <v>0</v>
          </cell>
          <cell r="H9326" t="str">
            <v>70/74</v>
          </cell>
        </row>
        <row r="9327">
          <cell r="F9327">
            <v>416.93</v>
          </cell>
          <cell r="G9327">
            <v>0</v>
          </cell>
          <cell r="H9327" t="str">
            <v>70/74</v>
          </cell>
        </row>
        <row r="9328">
          <cell r="F9328">
            <v>759.72</v>
          </cell>
          <cell r="G9328">
            <v>0</v>
          </cell>
          <cell r="H9328" t="str">
            <v>70/74</v>
          </cell>
        </row>
        <row r="9329">
          <cell r="F9329">
            <v>44.65</v>
          </cell>
          <cell r="G9329">
            <v>0</v>
          </cell>
          <cell r="H9329" t="str">
            <v>70/74</v>
          </cell>
        </row>
        <row r="9330">
          <cell r="F9330">
            <v>10.28</v>
          </cell>
          <cell r="G9330">
            <v>0</v>
          </cell>
          <cell r="H9330" t="str">
            <v>70/74</v>
          </cell>
        </row>
        <row r="9331">
          <cell r="F9331">
            <v>26</v>
          </cell>
          <cell r="G9331">
            <v>0</v>
          </cell>
          <cell r="H9331" t="str">
            <v>70/74</v>
          </cell>
        </row>
        <row r="9332">
          <cell r="F9332">
            <v>43</v>
          </cell>
          <cell r="G9332">
            <v>0</v>
          </cell>
          <cell r="H9332" t="str">
            <v>70/74</v>
          </cell>
        </row>
        <row r="9333">
          <cell r="F9333">
            <v>1349.85</v>
          </cell>
          <cell r="G9333">
            <v>0</v>
          </cell>
          <cell r="H9333" t="str">
            <v>70/74</v>
          </cell>
        </row>
        <row r="9334">
          <cell r="F9334">
            <v>8.59</v>
          </cell>
          <cell r="G9334">
            <v>0</v>
          </cell>
          <cell r="H9334" t="str">
            <v>70/74</v>
          </cell>
        </row>
        <row r="9335">
          <cell r="F9335">
            <v>725.74</v>
          </cell>
          <cell r="G9335">
            <v>0</v>
          </cell>
          <cell r="H9335" t="str">
            <v>70/74</v>
          </cell>
        </row>
        <row r="9336">
          <cell r="F9336">
            <v>25</v>
          </cell>
          <cell r="G9336">
            <v>0</v>
          </cell>
          <cell r="H9336" t="str">
            <v>70/74</v>
          </cell>
        </row>
        <row r="9337">
          <cell r="F9337">
            <v>425</v>
          </cell>
          <cell r="G9337">
            <v>0</v>
          </cell>
          <cell r="H9337" t="str">
            <v>70/74</v>
          </cell>
        </row>
        <row r="9338">
          <cell r="F9338">
            <v>70</v>
          </cell>
          <cell r="G9338">
            <v>0</v>
          </cell>
          <cell r="H9338" t="str">
            <v>70/74</v>
          </cell>
        </row>
        <row r="9339">
          <cell r="F9339">
            <v>4.07</v>
          </cell>
          <cell r="G9339">
            <v>0</v>
          </cell>
          <cell r="H9339" t="str">
            <v>70/74</v>
          </cell>
        </row>
        <row r="9340">
          <cell r="F9340">
            <v>80</v>
          </cell>
          <cell r="G9340">
            <v>0</v>
          </cell>
          <cell r="H9340" t="str">
            <v>70/74</v>
          </cell>
        </row>
        <row r="9341">
          <cell r="F9341">
            <v>14.78</v>
          </cell>
          <cell r="G9341">
            <v>0</v>
          </cell>
          <cell r="H9341" t="str">
            <v>70/74</v>
          </cell>
        </row>
        <row r="9342">
          <cell r="F9342">
            <v>279.86</v>
          </cell>
          <cell r="G9342">
            <v>0</v>
          </cell>
          <cell r="H9342" t="str">
            <v>70/74</v>
          </cell>
        </row>
        <row r="9343">
          <cell r="F9343">
            <v>23.42</v>
          </cell>
          <cell r="G9343">
            <v>0</v>
          </cell>
          <cell r="H9343" t="str">
            <v>70/74</v>
          </cell>
        </row>
        <row r="9344">
          <cell r="F9344">
            <v>67.22</v>
          </cell>
          <cell r="G9344">
            <v>0</v>
          </cell>
          <cell r="H9344" t="str">
            <v>70/74</v>
          </cell>
        </row>
        <row r="9345">
          <cell r="F9345">
            <v>40</v>
          </cell>
          <cell r="G9345">
            <v>0</v>
          </cell>
          <cell r="H9345" t="str">
            <v>70/74</v>
          </cell>
        </row>
        <row r="9346">
          <cell r="F9346">
            <v>437.28</v>
          </cell>
          <cell r="G9346">
            <v>0</v>
          </cell>
          <cell r="H9346" t="str">
            <v>70/74</v>
          </cell>
        </row>
        <row r="9347">
          <cell r="F9347">
            <v>275</v>
          </cell>
          <cell r="G9347">
            <v>0</v>
          </cell>
          <cell r="H9347" t="str">
            <v>70/74</v>
          </cell>
        </row>
        <row r="9348">
          <cell r="F9348">
            <v>26.37</v>
          </cell>
          <cell r="G9348">
            <v>0</v>
          </cell>
          <cell r="H9348" t="str">
            <v>70/74</v>
          </cell>
        </row>
        <row r="9349">
          <cell r="F9349">
            <v>658.02</v>
          </cell>
          <cell r="G9349">
            <v>0</v>
          </cell>
          <cell r="H9349" t="str">
            <v>70/74</v>
          </cell>
        </row>
        <row r="9350">
          <cell r="F9350">
            <v>0.42</v>
          </cell>
          <cell r="G9350">
            <v>0</v>
          </cell>
          <cell r="H9350" t="str">
            <v>70/74</v>
          </cell>
        </row>
        <row r="9351">
          <cell r="F9351">
            <v>5</v>
          </cell>
          <cell r="G9351">
            <v>0</v>
          </cell>
          <cell r="H9351" t="str">
            <v>70/74</v>
          </cell>
        </row>
        <row r="9352">
          <cell r="F9352">
            <v>34.74</v>
          </cell>
          <cell r="G9352">
            <v>0</v>
          </cell>
          <cell r="H9352" t="str">
            <v>70/74</v>
          </cell>
        </row>
        <row r="9353">
          <cell r="F9353">
            <v>4</v>
          </cell>
          <cell r="G9353">
            <v>0</v>
          </cell>
          <cell r="H9353" t="str">
            <v>70/74</v>
          </cell>
        </row>
        <row r="9354">
          <cell r="F9354">
            <v>7730.89</v>
          </cell>
          <cell r="G9354">
            <v>0</v>
          </cell>
          <cell r="H9354" t="str">
            <v>70/74</v>
          </cell>
        </row>
        <row r="9355">
          <cell r="F9355">
            <v>371.84</v>
          </cell>
          <cell r="G9355">
            <v>0</v>
          </cell>
          <cell r="H9355" t="str">
            <v>70/74</v>
          </cell>
        </row>
        <row r="9356">
          <cell r="F9356">
            <v>95.24</v>
          </cell>
          <cell r="G9356">
            <v>0</v>
          </cell>
          <cell r="H9356" t="str">
            <v>70/74</v>
          </cell>
        </row>
        <row r="9357">
          <cell r="F9357">
            <v>31.64</v>
          </cell>
          <cell r="G9357">
            <v>0</v>
          </cell>
          <cell r="H9357" t="str">
            <v>70/74</v>
          </cell>
        </row>
        <row r="9358">
          <cell r="F9358">
            <v>293.89</v>
          </cell>
          <cell r="G9358">
            <v>0</v>
          </cell>
          <cell r="H9358" t="str">
            <v>70/74</v>
          </cell>
        </row>
        <row r="9359">
          <cell r="F9359">
            <v>8.3699999999999992</v>
          </cell>
          <cell r="G9359">
            <v>0</v>
          </cell>
          <cell r="H9359" t="str">
            <v>70/74</v>
          </cell>
        </row>
        <row r="9360">
          <cell r="F9360">
            <v>760.77</v>
          </cell>
          <cell r="G9360">
            <v>0</v>
          </cell>
          <cell r="H9360" t="str">
            <v>70/74</v>
          </cell>
        </row>
        <row r="9361">
          <cell r="F9361">
            <v>889.30000000000007</v>
          </cell>
          <cell r="G9361">
            <v>0</v>
          </cell>
          <cell r="H9361" t="str">
            <v>70/74</v>
          </cell>
        </row>
        <row r="9362">
          <cell r="F9362">
            <v>2322.35</v>
          </cell>
          <cell r="G9362">
            <v>0</v>
          </cell>
          <cell r="H9362" t="str">
            <v>70/74</v>
          </cell>
        </row>
        <row r="9363">
          <cell r="F9363">
            <v>10984.59</v>
          </cell>
          <cell r="G9363">
            <v>0</v>
          </cell>
          <cell r="H9363" t="str">
            <v>70/74</v>
          </cell>
        </row>
        <row r="9364">
          <cell r="F9364">
            <v>102.41</v>
          </cell>
          <cell r="G9364">
            <v>0</v>
          </cell>
          <cell r="H9364" t="str">
            <v>70/74</v>
          </cell>
        </row>
        <row r="9365">
          <cell r="F9365">
            <v>125</v>
          </cell>
          <cell r="G9365">
            <v>0</v>
          </cell>
          <cell r="H9365" t="str">
            <v>70/74</v>
          </cell>
        </row>
        <row r="9366">
          <cell r="F9366">
            <v>40.690000000000055</v>
          </cell>
          <cell r="G9366">
            <v>0</v>
          </cell>
          <cell r="H9366" t="str">
            <v>70/74</v>
          </cell>
        </row>
        <row r="9367">
          <cell r="F9367">
            <v>21.069999999999993</v>
          </cell>
          <cell r="G9367">
            <v>0</v>
          </cell>
          <cell r="H9367" t="str">
            <v>70/74</v>
          </cell>
        </row>
        <row r="9368">
          <cell r="F9368">
            <v>41.6</v>
          </cell>
          <cell r="G9368">
            <v>0</v>
          </cell>
          <cell r="H9368" t="str">
            <v>70/74</v>
          </cell>
        </row>
        <row r="9369">
          <cell r="F9369">
            <v>4.5999999999999996</v>
          </cell>
          <cell r="G9369">
            <v>0</v>
          </cell>
          <cell r="H9369" t="str">
            <v>70/74</v>
          </cell>
        </row>
        <row r="9370">
          <cell r="F9370">
            <v>4.4000000000000004</v>
          </cell>
          <cell r="G9370">
            <v>0</v>
          </cell>
          <cell r="H9370" t="str">
            <v>70/74</v>
          </cell>
        </row>
        <row r="9371">
          <cell r="F9371">
            <v>667.71</v>
          </cell>
          <cell r="G9371">
            <v>0</v>
          </cell>
          <cell r="H9371" t="str">
            <v>70/74</v>
          </cell>
        </row>
        <row r="9372">
          <cell r="F9372">
            <v>715.51</v>
          </cell>
          <cell r="G9372">
            <v>0</v>
          </cell>
          <cell r="H9372" t="str">
            <v>70/74</v>
          </cell>
        </row>
        <row r="9373">
          <cell r="F9373">
            <v>59.95</v>
          </cell>
          <cell r="G9373">
            <v>0</v>
          </cell>
          <cell r="H9373" t="str">
            <v>70/74</v>
          </cell>
        </row>
        <row r="9374">
          <cell r="F9374">
            <v>342.04</v>
          </cell>
          <cell r="G9374">
            <v>0</v>
          </cell>
          <cell r="H9374" t="str">
            <v>70/74</v>
          </cell>
        </row>
        <row r="9375">
          <cell r="F9375">
            <v>185.55</v>
          </cell>
          <cell r="G9375">
            <v>0</v>
          </cell>
          <cell r="H9375" t="str">
            <v>70/74</v>
          </cell>
        </row>
        <row r="9376">
          <cell r="F9376">
            <v>22.7</v>
          </cell>
          <cell r="G9376">
            <v>0</v>
          </cell>
          <cell r="H9376" t="str">
            <v>70/74</v>
          </cell>
        </row>
        <row r="9377">
          <cell r="F9377">
            <v>387.93</v>
          </cell>
          <cell r="G9377">
            <v>0</v>
          </cell>
          <cell r="H9377" t="str">
            <v>70/74</v>
          </cell>
        </row>
        <row r="9378">
          <cell r="F9378">
            <v>124.4</v>
          </cell>
          <cell r="G9378">
            <v>0</v>
          </cell>
          <cell r="H9378" t="str">
            <v>70/74</v>
          </cell>
        </row>
        <row r="9379">
          <cell r="F9379">
            <v>181.36</v>
          </cell>
          <cell r="G9379">
            <v>0</v>
          </cell>
          <cell r="H9379" t="str">
            <v>70/74</v>
          </cell>
        </row>
        <row r="9380">
          <cell r="F9380">
            <v>2310.44</v>
          </cell>
          <cell r="G9380">
            <v>0</v>
          </cell>
          <cell r="H9380" t="str">
            <v>70/74</v>
          </cell>
        </row>
        <row r="9381">
          <cell r="F9381">
            <v>182.49</v>
          </cell>
          <cell r="G9381">
            <v>0</v>
          </cell>
          <cell r="H9381" t="str">
            <v>70/74</v>
          </cell>
        </row>
        <row r="9382">
          <cell r="F9382">
            <v>15.87</v>
          </cell>
          <cell r="G9382">
            <v>0</v>
          </cell>
          <cell r="H9382" t="str">
            <v>70/74</v>
          </cell>
        </row>
        <row r="9383">
          <cell r="F9383">
            <v>709.93</v>
          </cell>
          <cell r="G9383">
            <v>0</v>
          </cell>
          <cell r="H9383" t="str">
            <v>70/74</v>
          </cell>
        </row>
        <row r="9384">
          <cell r="F9384">
            <v>611.61</v>
          </cell>
          <cell r="G9384">
            <v>0</v>
          </cell>
          <cell r="H9384" t="str">
            <v>70/74</v>
          </cell>
        </row>
        <row r="9385">
          <cell r="F9385">
            <v>874.22</v>
          </cell>
          <cell r="G9385">
            <v>0</v>
          </cell>
          <cell r="H9385" t="str">
            <v>70/74</v>
          </cell>
        </row>
        <row r="9386">
          <cell r="F9386">
            <v>426.38</v>
          </cell>
          <cell r="G9386">
            <v>0</v>
          </cell>
          <cell r="H9386" t="str">
            <v>70/74</v>
          </cell>
        </row>
        <row r="9387">
          <cell r="F9387">
            <v>91.25</v>
          </cell>
          <cell r="G9387">
            <v>0</v>
          </cell>
          <cell r="H9387" t="str">
            <v>70/74</v>
          </cell>
        </row>
        <row r="9388">
          <cell r="F9388">
            <v>183.01</v>
          </cell>
          <cell r="G9388">
            <v>0</v>
          </cell>
          <cell r="H9388" t="str">
            <v>70/74</v>
          </cell>
        </row>
        <row r="9389">
          <cell r="F9389">
            <v>316.79000000000002</v>
          </cell>
          <cell r="G9389">
            <v>0</v>
          </cell>
          <cell r="H9389" t="str">
            <v>70/74</v>
          </cell>
        </row>
        <row r="9390">
          <cell r="F9390">
            <v>1648.83</v>
          </cell>
          <cell r="G9390">
            <v>0</v>
          </cell>
          <cell r="H9390" t="str">
            <v>70/74</v>
          </cell>
        </row>
        <row r="9391">
          <cell r="F9391">
            <v>519.99</v>
          </cell>
          <cell r="G9391">
            <v>0</v>
          </cell>
          <cell r="H9391" t="str">
            <v>70/74</v>
          </cell>
        </row>
        <row r="9392">
          <cell r="F9392">
            <v>65.239999999999995</v>
          </cell>
          <cell r="G9392">
            <v>0</v>
          </cell>
          <cell r="H9392" t="str">
            <v>70/74</v>
          </cell>
        </row>
        <row r="9393">
          <cell r="F9393">
            <v>0</v>
          </cell>
          <cell r="G9393">
            <v>0</v>
          </cell>
          <cell r="H9393" t="str">
            <v>70/74</v>
          </cell>
        </row>
        <row r="9394">
          <cell r="F9394">
            <v>54.39</v>
          </cell>
          <cell r="G9394">
            <v>0</v>
          </cell>
          <cell r="H9394" t="str">
            <v>70/74</v>
          </cell>
        </row>
        <row r="9395">
          <cell r="F9395">
            <v>202.92</v>
          </cell>
          <cell r="G9395">
            <v>0</v>
          </cell>
          <cell r="H9395" t="str">
            <v>70/74</v>
          </cell>
        </row>
        <row r="9396">
          <cell r="F9396">
            <v>1344.24</v>
          </cell>
          <cell r="G9396">
            <v>0</v>
          </cell>
          <cell r="H9396" t="str">
            <v>70/74</v>
          </cell>
        </row>
        <row r="9397">
          <cell r="F9397">
            <v>251.61</v>
          </cell>
          <cell r="G9397">
            <v>0</v>
          </cell>
          <cell r="H9397" t="str">
            <v>70/74</v>
          </cell>
        </row>
        <row r="9398">
          <cell r="F9398">
            <v>42.74</v>
          </cell>
          <cell r="G9398">
            <v>0</v>
          </cell>
          <cell r="H9398" t="str">
            <v>70/74</v>
          </cell>
        </row>
        <row r="9399">
          <cell r="F9399">
            <v>249.62</v>
          </cell>
          <cell r="G9399">
            <v>0</v>
          </cell>
          <cell r="H9399" t="str">
            <v>70/74</v>
          </cell>
        </row>
        <row r="9400">
          <cell r="F9400">
            <v>52.08</v>
          </cell>
          <cell r="G9400">
            <v>0</v>
          </cell>
          <cell r="H9400" t="str">
            <v>70/74</v>
          </cell>
        </row>
        <row r="9401">
          <cell r="F9401">
            <v>36.14</v>
          </cell>
          <cell r="G9401">
            <v>0</v>
          </cell>
          <cell r="H9401" t="str">
            <v>70/74</v>
          </cell>
        </row>
        <row r="9402">
          <cell r="F9402">
            <v>4.2699999999999996</v>
          </cell>
          <cell r="G9402">
            <v>0</v>
          </cell>
          <cell r="H9402" t="str">
            <v>70/74</v>
          </cell>
        </row>
        <row r="9403">
          <cell r="F9403">
            <v>12.03</v>
          </cell>
          <cell r="G9403">
            <v>0</v>
          </cell>
          <cell r="H9403" t="str">
            <v>70/74</v>
          </cell>
        </row>
        <row r="9404">
          <cell r="F9404">
            <v>989.61</v>
          </cell>
          <cell r="G9404">
            <v>0</v>
          </cell>
          <cell r="H9404" t="str">
            <v>70/74</v>
          </cell>
        </row>
        <row r="9405">
          <cell r="F9405">
            <v>741.6</v>
          </cell>
          <cell r="G9405">
            <v>0</v>
          </cell>
          <cell r="H9405" t="str">
            <v>70/74</v>
          </cell>
        </row>
        <row r="9406">
          <cell r="F9406">
            <v>140.38000000000002</v>
          </cell>
          <cell r="G9406">
            <v>0</v>
          </cell>
          <cell r="H9406" t="str">
            <v>70/74</v>
          </cell>
        </row>
        <row r="9407">
          <cell r="F9407">
            <v>113.7</v>
          </cell>
          <cell r="G9407">
            <v>0</v>
          </cell>
          <cell r="H9407" t="str">
            <v>70/74</v>
          </cell>
        </row>
        <row r="9408">
          <cell r="F9408">
            <v>15.37</v>
          </cell>
          <cell r="G9408">
            <v>0</v>
          </cell>
          <cell r="H9408" t="str">
            <v>70/74</v>
          </cell>
        </row>
        <row r="9409">
          <cell r="F9409">
            <v>32.01</v>
          </cell>
          <cell r="G9409">
            <v>0</v>
          </cell>
          <cell r="H9409" t="str">
            <v>70/74</v>
          </cell>
        </row>
        <row r="9410">
          <cell r="F9410">
            <v>27.88</v>
          </cell>
          <cell r="G9410">
            <v>0</v>
          </cell>
          <cell r="H9410" t="str">
            <v>70/74</v>
          </cell>
        </row>
        <row r="9411">
          <cell r="F9411">
            <v>105.46</v>
          </cell>
          <cell r="G9411">
            <v>0</v>
          </cell>
          <cell r="H9411" t="str">
            <v>70/74</v>
          </cell>
        </row>
        <row r="9412">
          <cell r="F9412">
            <v>41.57</v>
          </cell>
          <cell r="G9412">
            <v>0</v>
          </cell>
          <cell r="H9412" t="str">
            <v>70/74</v>
          </cell>
        </row>
        <row r="9413">
          <cell r="F9413">
            <v>1622.82</v>
          </cell>
          <cell r="G9413">
            <v>0</v>
          </cell>
          <cell r="H9413" t="str">
            <v>70/74</v>
          </cell>
        </row>
        <row r="9414">
          <cell r="F9414">
            <v>239.56</v>
          </cell>
          <cell r="G9414">
            <v>0</v>
          </cell>
          <cell r="H9414" t="str">
            <v>70/74</v>
          </cell>
        </row>
        <row r="9415">
          <cell r="F9415">
            <v>74.72</v>
          </cell>
          <cell r="G9415">
            <v>0</v>
          </cell>
          <cell r="H9415" t="str">
            <v>70/74</v>
          </cell>
        </row>
        <row r="9416">
          <cell r="F9416">
            <v>1482.44</v>
          </cell>
          <cell r="G9416">
            <v>0</v>
          </cell>
          <cell r="H9416" t="str">
            <v>70/74</v>
          </cell>
        </row>
        <row r="9417">
          <cell r="F9417">
            <v>569.38</v>
          </cell>
          <cell r="G9417">
            <v>0</v>
          </cell>
          <cell r="H9417" t="str">
            <v>70/74</v>
          </cell>
        </row>
        <row r="9418">
          <cell r="F9418">
            <v>699.68</v>
          </cell>
          <cell r="G9418">
            <v>0</v>
          </cell>
          <cell r="H9418" t="str">
            <v>70/74</v>
          </cell>
        </row>
        <row r="9419">
          <cell r="F9419">
            <v>839.79</v>
          </cell>
          <cell r="G9419">
            <v>0</v>
          </cell>
          <cell r="H9419" t="str">
            <v>70/74</v>
          </cell>
        </row>
        <row r="9420">
          <cell r="F9420">
            <v>167.64</v>
          </cell>
          <cell r="G9420">
            <v>0</v>
          </cell>
          <cell r="H9420" t="str">
            <v>70/74</v>
          </cell>
        </row>
        <row r="9421">
          <cell r="F9421">
            <v>53.32</v>
          </cell>
          <cell r="G9421">
            <v>0</v>
          </cell>
          <cell r="H9421" t="str">
            <v>70/74</v>
          </cell>
        </row>
        <row r="9422">
          <cell r="F9422">
            <v>1195.44</v>
          </cell>
          <cell r="G9422">
            <v>0</v>
          </cell>
          <cell r="H9422" t="str">
            <v>70/74</v>
          </cell>
        </row>
        <row r="9423">
          <cell r="F9423">
            <v>1130.52</v>
          </cell>
          <cell r="G9423">
            <v>0</v>
          </cell>
          <cell r="H9423" t="str">
            <v>70/74</v>
          </cell>
        </row>
        <row r="9424">
          <cell r="F9424">
            <v>101.15</v>
          </cell>
          <cell r="G9424">
            <v>0</v>
          </cell>
          <cell r="H9424" t="str">
            <v>70/74</v>
          </cell>
        </row>
        <row r="9425">
          <cell r="F9425">
            <v>58.6</v>
          </cell>
          <cell r="G9425">
            <v>0</v>
          </cell>
          <cell r="H9425" t="str">
            <v>70/74</v>
          </cell>
        </row>
        <row r="9426">
          <cell r="F9426">
            <v>19.55</v>
          </cell>
          <cell r="G9426">
            <v>0</v>
          </cell>
          <cell r="H9426" t="str">
            <v>70/74</v>
          </cell>
        </row>
        <row r="9427">
          <cell r="F9427">
            <v>101.96</v>
          </cell>
          <cell r="G9427">
            <v>0</v>
          </cell>
          <cell r="H9427" t="str">
            <v>70/74</v>
          </cell>
        </row>
        <row r="9428">
          <cell r="F9428">
            <v>1515.31</v>
          </cell>
          <cell r="G9428">
            <v>0</v>
          </cell>
          <cell r="H9428" t="str">
            <v>70/74</v>
          </cell>
        </row>
        <row r="9429">
          <cell r="F9429">
            <v>365.18</v>
          </cell>
          <cell r="G9429">
            <v>0</v>
          </cell>
          <cell r="H9429" t="str">
            <v>70/74</v>
          </cell>
        </row>
        <row r="9430">
          <cell r="F9430">
            <v>235.33</v>
          </cell>
          <cell r="G9430">
            <v>0</v>
          </cell>
          <cell r="H9430" t="str">
            <v>70/74</v>
          </cell>
        </row>
        <row r="9431">
          <cell r="F9431">
            <v>385.06</v>
          </cell>
          <cell r="G9431">
            <v>0</v>
          </cell>
          <cell r="H9431" t="str">
            <v>70/74</v>
          </cell>
        </row>
        <row r="9432">
          <cell r="F9432">
            <v>155.24</v>
          </cell>
          <cell r="G9432">
            <v>0</v>
          </cell>
          <cell r="H9432" t="str">
            <v>70/74</v>
          </cell>
        </row>
        <row r="9433">
          <cell r="F9433">
            <v>48.59</v>
          </cell>
          <cell r="G9433">
            <v>0</v>
          </cell>
          <cell r="H9433" t="str">
            <v>70/74</v>
          </cell>
        </row>
        <row r="9434">
          <cell r="F9434">
            <v>56.379999999999995</v>
          </cell>
          <cell r="G9434">
            <v>0</v>
          </cell>
          <cell r="H9434" t="str">
            <v>70/74</v>
          </cell>
        </row>
        <row r="9435">
          <cell r="F9435">
            <v>30.28</v>
          </cell>
          <cell r="G9435">
            <v>0</v>
          </cell>
          <cell r="H9435" t="str">
            <v>70/74</v>
          </cell>
        </row>
        <row r="9436">
          <cell r="F9436">
            <v>190.79</v>
          </cell>
          <cell r="G9436">
            <v>0</v>
          </cell>
          <cell r="H9436" t="str">
            <v>70/74</v>
          </cell>
        </row>
        <row r="9437">
          <cell r="F9437">
            <v>215.98</v>
          </cell>
          <cell r="G9437">
            <v>0</v>
          </cell>
          <cell r="H9437" t="str">
            <v>70/74</v>
          </cell>
        </row>
        <row r="9438">
          <cell r="F9438">
            <v>329.53</v>
          </cell>
          <cell r="G9438">
            <v>0</v>
          </cell>
          <cell r="H9438" t="str">
            <v>70/74</v>
          </cell>
        </row>
        <row r="9439">
          <cell r="F9439">
            <v>931.25</v>
          </cell>
          <cell r="G9439">
            <v>0</v>
          </cell>
          <cell r="H9439" t="str">
            <v>70/74</v>
          </cell>
        </row>
        <row r="9440">
          <cell r="F9440">
            <v>222.63</v>
          </cell>
          <cell r="G9440">
            <v>0</v>
          </cell>
          <cell r="H9440" t="str">
            <v>70/74</v>
          </cell>
        </row>
        <row r="9441">
          <cell r="F9441">
            <v>167.55</v>
          </cell>
          <cell r="G9441">
            <v>0</v>
          </cell>
          <cell r="H9441" t="str">
            <v>70/74</v>
          </cell>
        </row>
        <row r="9442">
          <cell r="F9442">
            <v>575.33000000000004</v>
          </cell>
          <cell r="G9442">
            <v>0</v>
          </cell>
          <cell r="H9442" t="str">
            <v>70/74</v>
          </cell>
        </row>
        <row r="9443">
          <cell r="F9443">
            <v>6375.81</v>
          </cell>
          <cell r="G9443">
            <v>0</v>
          </cell>
          <cell r="H9443" t="str">
            <v>70/74</v>
          </cell>
        </row>
        <row r="9444">
          <cell r="F9444">
            <v>924.84</v>
          </cell>
          <cell r="G9444">
            <v>0</v>
          </cell>
          <cell r="H9444" t="str">
            <v>70/74</v>
          </cell>
        </row>
        <row r="9445">
          <cell r="F9445">
            <v>14312.89</v>
          </cell>
          <cell r="G9445">
            <v>0</v>
          </cell>
          <cell r="H9445" t="str">
            <v>70/74</v>
          </cell>
        </row>
        <row r="9446">
          <cell r="F9446">
            <v>389.83</v>
          </cell>
          <cell r="G9446">
            <v>0</v>
          </cell>
          <cell r="H9446" t="str">
            <v>70/74</v>
          </cell>
        </row>
        <row r="9447">
          <cell r="F9447">
            <v>471.74</v>
          </cell>
          <cell r="G9447">
            <v>0</v>
          </cell>
          <cell r="H9447" t="str">
            <v>70/74</v>
          </cell>
        </row>
        <row r="9448">
          <cell r="F9448">
            <v>419.11</v>
          </cell>
          <cell r="G9448">
            <v>0</v>
          </cell>
          <cell r="H9448" t="str">
            <v>70/74</v>
          </cell>
        </row>
        <row r="9449">
          <cell r="F9449">
            <v>643.09</v>
          </cell>
          <cell r="G9449">
            <v>0</v>
          </cell>
          <cell r="H9449" t="str">
            <v>70/74</v>
          </cell>
        </row>
        <row r="9450">
          <cell r="F9450">
            <v>344.07</v>
          </cell>
          <cell r="G9450">
            <v>0</v>
          </cell>
          <cell r="H9450" t="str">
            <v>70/74</v>
          </cell>
        </row>
        <row r="9451">
          <cell r="F9451">
            <v>29.01</v>
          </cell>
          <cell r="G9451">
            <v>0</v>
          </cell>
          <cell r="H9451" t="str">
            <v>70/74</v>
          </cell>
        </row>
        <row r="9452">
          <cell r="F9452">
            <v>490.51</v>
          </cell>
          <cell r="G9452">
            <v>0</v>
          </cell>
          <cell r="H9452" t="str">
            <v>70/74</v>
          </cell>
        </row>
        <row r="9453">
          <cell r="F9453">
            <v>232.52</v>
          </cell>
          <cell r="G9453">
            <v>0</v>
          </cell>
          <cell r="H9453" t="str">
            <v>70/74</v>
          </cell>
        </row>
        <row r="9454">
          <cell r="F9454">
            <v>7.68</v>
          </cell>
          <cell r="G9454">
            <v>0</v>
          </cell>
          <cell r="H9454" t="str">
            <v>70/74</v>
          </cell>
        </row>
        <row r="9455">
          <cell r="F9455">
            <v>377.56</v>
          </cell>
          <cell r="G9455">
            <v>0</v>
          </cell>
          <cell r="H9455" t="str">
            <v>70/74</v>
          </cell>
        </row>
        <row r="9456">
          <cell r="F9456">
            <v>461.24</v>
          </cell>
          <cell r="G9456">
            <v>0</v>
          </cell>
          <cell r="H9456" t="str">
            <v>70/74</v>
          </cell>
        </row>
        <row r="9457">
          <cell r="F9457">
            <v>32.520000000000003</v>
          </cell>
          <cell r="G9457">
            <v>0</v>
          </cell>
          <cell r="H9457" t="str">
            <v>70/74</v>
          </cell>
        </row>
        <row r="9458">
          <cell r="F9458">
            <v>458.42</v>
          </cell>
          <cell r="G9458">
            <v>0</v>
          </cell>
          <cell r="H9458" t="str">
            <v>70/74</v>
          </cell>
        </row>
        <row r="9459">
          <cell r="F9459">
            <v>70</v>
          </cell>
          <cell r="G9459">
            <v>0</v>
          </cell>
          <cell r="H9459" t="str">
            <v>70/74</v>
          </cell>
        </row>
        <row r="9460">
          <cell r="F9460">
            <v>201.35</v>
          </cell>
          <cell r="G9460">
            <v>0</v>
          </cell>
          <cell r="H9460" t="str">
            <v>70/74</v>
          </cell>
        </row>
        <row r="9461">
          <cell r="F9461">
            <v>49.75</v>
          </cell>
          <cell r="G9461">
            <v>0</v>
          </cell>
          <cell r="H9461" t="str">
            <v>70/74</v>
          </cell>
        </row>
        <row r="9462">
          <cell r="F9462">
            <v>0</v>
          </cell>
          <cell r="G9462">
            <v>0</v>
          </cell>
          <cell r="H9462" t="str">
            <v>70/74</v>
          </cell>
        </row>
        <row r="9463">
          <cell r="F9463">
            <v>395.81</v>
          </cell>
          <cell r="G9463">
            <v>0</v>
          </cell>
          <cell r="H9463" t="str">
            <v>70/74</v>
          </cell>
        </row>
        <row r="9464">
          <cell r="F9464">
            <v>249.74</v>
          </cell>
          <cell r="G9464">
            <v>0</v>
          </cell>
          <cell r="H9464" t="str">
            <v>70/74</v>
          </cell>
        </row>
        <row r="9465">
          <cell r="F9465">
            <v>39.57</v>
          </cell>
          <cell r="G9465">
            <v>0</v>
          </cell>
          <cell r="H9465" t="str">
            <v>70/74</v>
          </cell>
        </row>
        <row r="9466">
          <cell r="F9466">
            <v>46.31</v>
          </cell>
          <cell r="G9466">
            <v>0</v>
          </cell>
          <cell r="H9466" t="str">
            <v>70/74</v>
          </cell>
        </row>
        <row r="9467">
          <cell r="F9467">
            <v>27.12</v>
          </cell>
          <cell r="G9467">
            <v>0</v>
          </cell>
          <cell r="H9467" t="str">
            <v>70/74</v>
          </cell>
        </row>
        <row r="9468">
          <cell r="F9468">
            <v>38.76</v>
          </cell>
          <cell r="G9468">
            <v>0</v>
          </cell>
          <cell r="H9468" t="str">
            <v>70/74</v>
          </cell>
        </row>
        <row r="9469">
          <cell r="F9469">
            <v>1223.93</v>
          </cell>
          <cell r="G9469">
            <v>0</v>
          </cell>
          <cell r="H9469" t="str">
            <v>70/74</v>
          </cell>
        </row>
        <row r="9470">
          <cell r="F9470">
            <v>307.52</v>
          </cell>
          <cell r="G9470">
            <v>0</v>
          </cell>
          <cell r="H9470" t="str">
            <v>70/74</v>
          </cell>
        </row>
        <row r="9471">
          <cell r="F9471">
            <v>519.38</v>
          </cell>
          <cell r="G9471">
            <v>0</v>
          </cell>
          <cell r="H9471" t="str">
            <v>70/74</v>
          </cell>
        </row>
        <row r="9472">
          <cell r="F9472">
            <v>389.89</v>
          </cell>
          <cell r="G9472">
            <v>0</v>
          </cell>
          <cell r="H9472" t="str">
            <v>70/74</v>
          </cell>
        </row>
        <row r="9473">
          <cell r="F9473">
            <v>496.05</v>
          </cell>
          <cell r="G9473">
            <v>0</v>
          </cell>
          <cell r="H9473" t="str">
            <v>70/74</v>
          </cell>
        </row>
        <row r="9474">
          <cell r="F9474">
            <v>45.78</v>
          </cell>
          <cell r="G9474">
            <v>0</v>
          </cell>
          <cell r="H9474" t="str">
            <v>70/74</v>
          </cell>
        </row>
        <row r="9475">
          <cell r="F9475">
            <v>87.82</v>
          </cell>
          <cell r="G9475">
            <v>0</v>
          </cell>
          <cell r="H9475" t="str">
            <v>70/74</v>
          </cell>
        </row>
        <row r="9476">
          <cell r="F9476">
            <v>32.29</v>
          </cell>
          <cell r="G9476">
            <v>0</v>
          </cell>
          <cell r="H9476" t="str">
            <v>70/74</v>
          </cell>
        </row>
        <row r="9477">
          <cell r="F9477">
            <v>534.21</v>
          </cell>
          <cell r="G9477">
            <v>0</v>
          </cell>
          <cell r="H9477" t="str">
            <v>70/74</v>
          </cell>
        </row>
        <row r="9478">
          <cell r="F9478">
            <v>490.65</v>
          </cell>
          <cell r="G9478">
            <v>0</v>
          </cell>
          <cell r="H9478" t="str">
            <v>70/74</v>
          </cell>
        </row>
        <row r="9479">
          <cell r="F9479">
            <v>1379.59</v>
          </cell>
          <cell r="G9479">
            <v>0</v>
          </cell>
          <cell r="H9479" t="str">
            <v>70/74</v>
          </cell>
        </row>
        <row r="9480">
          <cell r="F9480">
            <v>263.33</v>
          </cell>
          <cell r="G9480">
            <v>0</v>
          </cell>
          <cell r="H9480" t="str">
            <v>70/74</v>
          </cell>
        </row>
        <row r="9481">
          <cell r="F9481">
            <v>309.48</v>
          </cell>
          <cell r="G9481">
            <v>0</v>
          </cell>
          <cell r="H9481" t="str">
            <v>70/74</v>
          </cell>
        </row>
        <row r="9482">
          <cell r="F9482">
            <v>129.56</v>
          </cell>
          <cell r="G9482">
            <v>0</v>
          </cell>
          <cell r="H9482" t="str">
            <v>70/74</v>
          </cell>
        </row>
        <row r="9483">
          <cell r="F9483">
            <v>407.1</v>
          </cell>
          <cell r="G9483">
            <v>0</v>
          </cell>
          <cell r="H9483" t="str">
            <v>70/74</v>
          </cell>
        </row>
        <row r="9484">
          <cell r="F9484">
            <v>83.85</v>
          </cell>
          <cell r="G9484">
            <v>0</v>
          </cell>
          <cell r="H9484" t="str">
            <v>70/74</v>
          </cell>
        </row>
        <row r="9485">
          <cell r="F9485">
            <v>77.41</v>
          </cell>
          <cell r="G9485">
            <v>0</v>
          </cell>
          <cell r="H9485" t="str">
            <v>70/74</v>
          </cell>
        </row>
        <row r="9486">
          <cell r="F9486">
            <v>708.41</v>
          </cell>
          <cell r="G9486">
            <v>0</v>
          </cell>
          <cell r="H9486" t="str">
            <v>70/74</v>
          </cell>
        </row>
        <row r="9487">
          <cell r="F9487">
            <v>72.400000000000006</v>
          </cell>
          <cell r="G9487">
            <v>0</v>
          </cell>
          <cell r="H9487" t="str">
            <v>70/74</v>
          </cell>
        </row>
        <row r="9488">
          <cell r="F9488">
            <v>361.21</v>
          </cell>
          <cell r="G9488">
            <v>0</v>
          </cell>
          <cell r="H9488" t="str">
            <v>70/74</v>
          </cell>
        </row>
        <row r="9489">
          <cell r="F9489">
            <v>32.630000000000003</v>
          </cell>
          <cell r="G9489">
            <v>0</v>
          </cell>
          <cell r="H9489" t="str">
            <v>70/74</v>
          </cell>
        </row>
        <row r="9490">
          <cell r="F9490">
            <v>1241.1099999999999</v>
          </cell>
          <cell r="G9490">
            <v>0</v>
          </cell>
          <cell r="H9490" t="str">
            <v>70/74</v>
          </cell>
        </row>
        <row r="9491">
          <cell r="F9491">
            <v>368.9</v>
          </cell>
          <cell r="G9491">
            <v>0</v>
          </cell>
          <cell r="H9491" t="str">
            <v>70/74</v>
          </cell>
        </row>
        <row r="9492">
          <cell r="F9492">
            <v>404.16</v>
          </cell>
          <cell r="G9492">
            <v>0</v>
          </cell>
          <cell r="H9492" t="str">
            <v>70/74</v>
          </cell>
        </row>
        <row r="9493">
          <cell r="F9493">
            <v>1009.79</v>
          </cell>
          <cell r="G9493">
            <v>0</v>
          </cell>
          <cell r="H9493" t="str">
            <v>70/74</v>
          </cell>
        </row>
        <row r="9494">
          <cell r="F9494">
            <v>161.91</v>
          </cell>
          <cell r="G9494">
            <v>0</v>
          </cell>
          <cell r="H9494" t="str">
            <v>70/74</v>
          </cell>
        </row>
        <row r="9495">
          <cell r="F9495">
            <v>105.33</v>
          </cell>
          <cell r="G9495">
            <v>0</v>
          </cell>
          <cell r="H9495" t="str">
            <v>70/74</v>
          </cell>
        </row>
        <row r="9496">
          <cell r="F9496">
            <v>726.79</v>
          </cell>
          <cell r="G9496">
            <v>0</v>
          </cell>
          <cell r="H9496" t="str">
            <v>70/74</v>
          </cell>
        </row>
        <row r="9497">
          <cell r="F9497">
            <v>424.44</v>
          </cell>
          <cell r="G9497">
            <v>0</v>
          </cell>
          <cell r="H9497" t="str">
            <v>70/74</v>
          </cell>
        </row>
        <row r="9498">
          <cell r="F9498">
            <v>271.42</v>
          </cell>
          <cell r="G9498">
            <v>0</v>
          </cell>
          <cell r="H9498" t="str">
            <v>70/74</v>
          </cell>
        </row>
        <row r="9499">
          <cell r="F9499">
            <v>15.96</v>
          </cell>
          <cell r="G9499">
            <v>0</v>
          </cell>
          <cell r="H9499" t="str">
            <v>70/74</v>
          </cell>
        </row>
        <row r="9500">
          <cell r="F9500">
            <v>89.95</v>
          </cell>
          <cell r="G9500">
            <v>0</v>
          </cell>
          <cell r="H9500" t="str">
            <v>70/74</v>
          </cell>
        </row>
        <row r="9501">
          <cell r="F9501">
            <v>37.260000000000005</v>
          </cell>
          <cell r="G9501">
            <v>0</v>
          </cell>
          <cell r="H9501" t="str">
            <v>70/74</v>
          </cell>
        </row>
        <row r="9502">
          <cell r="F9502">
            <v>121.9</v>
          </cell>
          <cell r="G9502">
            <v>0</v>
          </cell>
          <cell r="H9502" t="str">
            <v>70/74</v>
          </cell>
        </row>
        <row r="9503">
          <cell r="F9503">
            <v>68.040000000000006</v>
          </cell>
          <cell r="G9503">
            <v>0</v>
          </cell>
          <cell r="H9503" t="str">
            <v>70/74</v>
          </cell>
        </row>
        <row r="9504">
          <cell r="F9504">
            <v>55.32</v>
          </cell>
          <cell r="G9504">
            <v>0</v>
          </cell>
          <cell r="H9504" t="str">
            <v>70/74</v>
          </cell>
        </row>
        <row r="9505">
          <cell r="F9505">
            <v>409.34</v>
          </cell>
          <cell r="G9505">
            <v>0</v>
          </cell>
          <cell r="H9505" t="str">
            <v>70/74</v>
          </cell>
        </row>
        <row r="9506">
          <cell r="F9506">
            <v>1295.1799999999998</v>
          </cell>
          <cell r="G9506">
            <v>0</v>
          </cell>
          <cell r="H9506" t="str">
            <v>70/74</v>
          </cell>
        </row>
        <row r="9507">
          <cell r="F9507">
            <v>0</v>
          </cell>
          <cell r="G9507">
            <v>0</v>
          </cell>
          <cell r="H9507" t="str">
            <v>70/74</v>
          </cell>
        </row>
        <row r="9508">
          <cell r="F9508">
            <v>160.16999999999999</v>
          </cell>
          <cell r="G9508">
            <v>0</v>
          </cell>
          <cell r="H9508" t="str">
            <v>70/74</v>
          </cell>
        </row>
        <row r="9509">
          <cell r="F9509">
            <v>363.25</v>
          </cell>
          <cell r="G9509">
            <v>0</v>
          </cell>
          <cell r="H9509" t="str">
            <v>70/74</v>
          </cell>
        </row>
        <row r="9510">
          <cell r="F9510">
            <v>370.21</v>
          </cell>
          <cell r="G9510">
            <v>0</v>
          </cell>
          <cell r="H9510" t="str">
            <v>70/74</v>
          </cell>
        </row>
        <row r="9511">
          <cell r="F9511">
            <v>533.52</v>
          </cell>
          <cell r="G9511">
            <v>0</v>
          </cell>
          <cell r="H9511" t="str">
            <v>70/74</v>
          </cell>
        </row>
        <row r="9512">
          <cell r="F9512">
            <v>879.29</v>
          </cell>
          <cell r="G9512">
            <v>0</v>
          </cell>
          <cell r="H9512" t="str">
            <v>70/74</v>
          </cell>
        </row>
        <row r="9513">
          <cell r="F9513">
            <v>517.82000000000005</v>
          </cell>
          <cell r="G9513">
            <v>0</v>
          </cell>
          <cell r="H9513" t="str">
            <v>70/74</v>
          </cell>
        </row>
        <row r="9514">
          <cell r="F9514">
            <v>136.79</v>
          </cell>
          <cell r="G9514">
            <v>0</v>
          </cell>
          <cell r="H9514" t="str">
            <v>70/74</v>
          </cell>
        </row>
        <row r="9515">
          <cell r="F9515">
            <v>50.7</v>
          </cell>
          <cell r="G9515">
            <v>0</v>
          </cell>
          <cell r="H9515" t="str">
            <v>70/74</v>
          </cell>
        </row>
        <row r="9516">
          <cell r="F9516">
            <v>454.62</v>
          </cell>
          <cell r="G9516">
            <v>0</v>
          </cell>
          <cell r="H9516" t="str">
            <v>70/74</v>
          </cell>
        </row>
        <row r="9517">
          <cell r="F9517">
            <v>60.77</v>
          </cell>
          <cell r="G9517">
            <v>0</v>
          </cell>
          <cell r="H9517" t="str">
            <v>70/74</v>
          </cell>
        </row>
        <row r="9518">
          <cell r="F9518">
            <v>169.97</v>
          </cell>
          <cell r="G9518">
            <v>0</v>
          </cell>
          <cell r="H9518" t="str">
            <v>70/74</v>
          </cell>
        </row>
        <row r="9519">
          <cell r="F9519">
            <v>100.32</v>
          </cell>
          <cell r="G9519">
            <v>0</v>
          </cell>
          <cell r="H9519" t="str">
            <v>70/74</v>
          </cell>
        </row>
        <row r="9520">
          <cell r="F9520">
            <v>247.42</v>
          </cell>
          <cell r="G9520">
            <v>0</v>
          </cell>
          <cell r="H9520" t="str">
            <v>70/74</v>
          </cell>
        </row>
        <row r="9521">
          <cell r="F9521">
            <v>106.19</v>
          </cell>
          <cell r="G9521">
            <v>0</v>
          </cell>
          <cell r="H9521" t="str">
            <v>70/74</v>
          </cell>
        </row>
        <row r="9522">
          <cell r="F9522">
            <v>126.67</v>
          </cell>
          <cell r="G9522">
            <v>0</v>
          </cell>
          <cell r="H9522" t="str">
            <v>70/74</v>
          </cell>
        </row>
        <row r="9523">
          <cell r="F9523">
            <v>129.5</v>
          </cell>
          <cell r="G9523">
            <v>0</v>
          </cell>
          <cell r="H9523" t="str">
            <v>70/74</v>
          </cell>
        </row>
        <row r="9524">
          <cell r="F9524">
            <v>798.24</v>
          </cell>
          <cell r="G9524">
            <v>0</v>
          </cell>
          <cell r="H9524" t="str">
            <v>70/74</v>
          </cell>
        </row>
        <row r="9525">
          <cell r="F9525">
            <v>151.53</v>
          </cell>
          <cell r="G9525">
            <v>0</v>
          </cell>
          <cell r="H9525" t="str">
            <v>70/74</v>
          </cell>
        </row>
        <row r="9526">
          <cell r="F9526">
            <v>18.7</v>
          </cell>
          <cell r="G9526">
            <v>0</v>
          </cell>
          <cell r="H9526" t="str">
            <v>70/74</v>
          </cell>
        </row>
        <row r="9527">
          <cell r="F9527">
            <v>27</v>
          </cell>
          <cell r="G9527">
            <v>0</v>
          </cell>
          <cell r="H9527" t="str">
            <v>70/74</v>
          </cell>
        </row>
        <row r="9528">
          <cell r="F9528">
            <v>27.5</v>
          </cell>
          <cell r="G9528">
            <v>0</v>
          </cell>
          <cell r="H9528" t="str">
            <v>70/74</v>
          </cell>
        </row>
        <row r="9529">
          <cell r="F9529">
            <v>45</v>
          </cell>
          <cell r="G9529">
            <v>0</v>
          </cell>
          <cell r="H9529" t="str">
            <v>70/74</v>
          </cell>
        </row>
        <row r="9530">
          <cell r="F9530">
            <v>103.35</v>
          </cell>
          <cell r="G9530">
            <v>0</v>
          </cell>
          <cell r="H9530" t="str">
            <v>70/74</v>
          </cell>
        </row>
        <row r="9531">
          <cell r="F9531">
            <v>88.19</v>
          </cell>
          <cell r="G9531">
            <v>0</v>
          </cell>
          <cell r="H9531" t="str">
            <v>70/74</v>
          </cell>
        </row>
        <row r="9532">
          <cell r="F9532">
            <v>323</v>
          </cell>
          <cell r="G9532">
            <v>0</v>
          </cell>
          <cell r="H9532" t="str">
            <v>70/74</v>
          </cell>
        </row>
        <row r="9533">
          <cell r="F9533">
            <v>59.86</v>
          </cell>
          <cell r="G9533">
            <v>0</v>
          </cell>
          <cell r="H9533" t="str">
            <v>70/74</v>
          </cell>
        </row>
        <row r="9534">
          <cell r="F9534">
            <v>2065.83</v>
          </cell>
          <cell r="G9534">
            <v>0</v>
          </cell>
          <cell r="H9534" t="str">
            <v>70/74</v>
          </cell>
        </row>
        <row r="9535">
          <cell r="F9535">
            <v>195</v>
          </cell>
          <cell r="G9535">
            <v>0</v>
          </cell>
          <cell r="H9535" t="str">
            <v>70/74</v>
          </cell>
        </row>
        <row r="9536">
          <cell r="F9536">
            <v>3816.5</v>
          </cell>
          <cell r="G9536">
            <v>0</v>
          </cell>
          <cell r="H9536" t="str">
            <v>70/74</v>
          </cell>
        </row>
        <row r="9537">
          <cell r="F9537">
            <v>53</v>
          </cell>
          <cell r="G9537">
            <v>0</v>
          </cell>
          <cell r="H9537" t="str">
            <v>70/74</v>
          </cell>
        </row>
        <row r="9538">
          <cell r="F9538">
            <v>42.5</v>
          </cell>
          <cell r="G9538">
            <v>0</v>
          </cell>
          <cell r="H9538" t="str">
            <v>70/74</v>
          </cell>
        </row>
        <row r="9539">
          <cell r="F9539">
            <v>57.51</v>
          </cell>
          <cell r="G9539">
            <v>0</v>
          </cell>
          <cell r="H9539" t="str">
            <v>70/74</v>
          </cell>
        </row>
        <row r="9540">
          <cell r="F9540">
            <v>450</v>
          </cell>
          <cell r="G9540">
            <v>0</v>
          </cell>
          <cell r="H9540" t="str">
            <v>70/74</v>
          </cell>
        </row>
        <row r="9541">
          <cell r="F9541">
            <v>190.84</v>
          </cell>
          <cell r="G9541">
            <v>0</v>
          </cell>
          <cell r="H9541" t="str">
            <v>70/74</v>
          </cell>
        </row>
        <row r="9542">
          <cell r="F9542">
            <v>112.74</v>
          </cell>
          <cell r="G9542">
            <v>0</v>
          </cell>
          <cell r="H9542" t="str">
            <v>70/74</v>
          </cell>
        </row>
        <row r="9543">
          <cell r="F9543">
            <v>-268.14999999999998</v>
          </cell>
          <cell r="G9543">
            <v>0</v>
          </cell>
          <cell r="H9543" t="str">
            <v>70/74</v>
          </cell>
        </row>
        <row r="9544">
          <cell r="F9544">
            <v>0</v>
          </cell>
          <cell r="G9544">
            <v>0</v>
          </cell>
          <cell r="H9544" t="str">
            <v>70/74</v>
          </cell>
        </row>
        <row r="9545">
          <cell r="F9545">
            <v>377.56</v>
          </cell>
          <cell r="G9545">
            <v>0</v>
          </cell>
          <cell r="H9545" t="str">
            <v>70/74</v>
          </cell>
        </row>
        <row r="9546">
          <cell r="F9546">
            <v>30</v>
          </cell>
          <cell r="G9546">
            <v>0</v>
          </cell>
          <cell r="H9546" t="str">
            <v>70/74</v>
          </cell>
        </row>
        <row r="9547">
          <cell r="F9547">
            <v>301</v>
          </cell>
          <cell r="G9547">
            <v>0</v>
          </cell>
          <cell r="H9547" t="str">
            <v>70/74</v>
          </cell>
        </row>
        <row r="9548">
          <cell r="F9548">
            <v>140.62</v>
          </cell>
          <cell r="G9548">
            <v>0</v>
          </cell>
          <cell r="H9548" t="str">
            <v>70/74</v>
          </cell>
        </row>
        <row r="9549">
          <cell r="F9549">
            <v>0</v>
          </cell>
          <cell r="G9549">
            <v>0</v>
          </cell>
          <cell r="H9549" t="str">
            <v>70/74</v>
          </cell>
        </row>
        <row r="9550">
          <cell r="F9550">
            <v>9.9999999999997868E-3</v>
          </cell>
          <cell r="G9550">
            <v>0</v>
          </cell>
          <cell r="H9550" t="str">
            <v>70/74</v>
          </cell>
        </row>
        <row r="9551">
          <cell r="F9551">
            <v>930.55</v>
          </cell>
          <cell r="G9551">
            <v>0</v>
          </cell>
          <cell r="H9551" t="str">
            <v>70/74</v>
          </cell>
        </row>
        <row r="9552">
          <cell r="F9552">
            <v>154.38999999999999</v>
          </cell>
          <cell r="G9552">
            <v>0</v>
          </cell>
          <cell r="H9552" t="str">
            <v>70/74</v>
          </cell>
        </row>
        <row r="9553">
          <cell r="F9553">
            <v>6000</v>
          </cell>
          <cell r="G9553">
            <v>0</v>
          </cell>
          <cell r="H9553" t="str">
            <v>70/74</v>
          </cell>
        </row>
        <row r="9554">
          <cell r="F9554">
            <v>25</v>
          </cell>
          <cell r="G9554">
            <v>0</v>
          </cell>
          <cell r="H9554" t="str">
            <v>70/74</v>
          </cell>
        </row>
        <row r="9555">
          <cell r="F9555">
            <v>169.54</v>
          </cell>
          <cell r="G9555">
            <v>0</v>
          </cell>
          <cell r="H9555" t="str">
            <v>70/74</v>
          </cell>
        </row>
        <row r="9556">
          <cell r="F9556">
            <v>50</v>
          </cell>
          <cell r="G9556">
            <v>0</v>
          </cell>
          <cell r="H9556" t="str">
            <v>70/74</v>
          </cell>
        </row>
        <row r="9557">
          <cell r="F9557">
            <v>4024</v>
          </cell>
          <cell r="G9557">
            <v>0</v>
          </cell>
          <cell r="H9557" t="str">
            <v>70/74</v>
          </cell>
        </row>
        <row r="9558">
          <cell r="F9558">
            <v>-1.0000000000001563E-2</v>
          </cell>
          <cell r="G9558">
            <v>0</v>
          </cell>
          <cell r="H9558" t="str">
            <v>70/74</v>
          </cell>
        </row>
        <row r="9559">
          <cell r="F9559">
            <v>3202.16</v>
          </cell>
          <cell r="G9559">
            <v>0</v>
          </cell>
          <cell r="H9559" t="str">
            <v>70/74</v>
          </cell>
        </row>
        <row r="9560">
          <cell r="F9560">
            <v>0</v>
          </cell>
          <cell r="G9560">
            <v>0</v>
          </cell>
          <cell r="H9560" t="str">
            <v>70/74</v>
          </cell>
        </row>
        <row r="9561">
          <cell r="F9561">
            <v>1400</v>
          </cell>
          <cell r="G9561">
            <v>0</v>
          </cell>
          <cell r="H9561" t="str">
            <v>70/74</v>
          </cell>
        </row>
        <row r="9562">
          <cell r="F9562">
            <v>21.82</v>
          </cell>
          <cell r="G9562">
            <v>0</v>
          </cell>
          <cell r="H9562" t="str">
            <v>70/74</v>
          </cell>
        </row>
        <row r="9563">
          <cell r="F9563">
            <v>650</v>
          </cell>
          <cell r="G9563">
            <v>0</v>
          </cell>
          <cell r="H9563" t="str">
            <v>70/74</v>
          </cell>
        </row>
        <row r="9564">
          <cell r="F9564">
            <v>150</v>
          </cell>
          <cell r="G9564">
            <v>0</v>
          </cell>
          <cell r="H9564" t="str">
            <v>70/74</v>
          </cell>
        </row>
        <row r="9565">
          <cell r="F9565">
            <v>1177</v>
          </cell>
          <cell r="G9565">
            <v>0</v>
          </cell>
          <cell r="H9565" t="str">
            <v>70/74</v>
          </cell>
        </row>
        <row r="9566">
          <cell r="F9566">
            <v>40</v>
          </cell>
          <cell r="G9566">
            <v>0</v>
          </cell>
          <cell r="H9566" t="str">
            <v>70/74</v>
          </cell>
        </row>
        <row r="9567">
          <cell r="F9567">
            <v>160</v>
          </cell>
          <cell r="G9567">
            <v>0</v>
          </cell>
          <cell r="H9567" t="str">
            <v>70/74</v>
          </cell>
        </row>
        <row r="9568">
          <cell r="F9568">
            <v>1595.03</v>
          </cell>
          <cell r="G9568">
            <v>0</v>
          </cell>
          <cell r="H9568" t="str">
            <v>70/74</v>
          </cell>
        </row>
        <row r="9569">
          <cell r="F9569">
            <v>3845.55</v>
          </cell>
          <cell r="G9569">
            <v>0</v>
          </cell>
          <cell r="H9569" t="str">
            <v>70/74</v>
          </cell>
        </row>
        <row r="9570">
          <cell r="F9570">
            <v>6701.12</v>
          </cell>
          <cell r="G9570">
            <v>0</v>
          </cell>
          <cell r="H9570" t="str">
            <v>70/74</v>
          </cell>
        </row>
        <row r="9571">
          <cell r="F9571">
            <v>3577.77</v>
          </cell>
          <cell r="G9571">
            <v>0</v>
          </cell>
          <cell r="H9571" t="str">
            <v>70/74</v>
          </cell>
        </row>
        <row r="9572">
          <cell r="F9572">
            <v>235.41</v>
          </cell>
          <cell r="G9572">
            <v>0</v>
          </cell>
          <cell r="H9572" t="str">
            <v>70/74</v>
          </cell>
        </row>
        <row r="9573">
          <cell r="F9573">
            <v>17.39</v>
          </cell>
          <cell r="G9573">
            <v>0</v>
          </cell>
          <cell r="H9573" t="str">
            <v>70/74</v>
          </cell>
        </row>
        <row r="9574">
          <cell r="F9574">
            <v>3817.9</v>
          </cell>
          <cell r="G9574">
            <v>0</v>
          </cell>
          <cell r="H9574" t="str">
            <v>70/74</v>
          </cell>
        </row>
        <row r="9575">
          <cell r="F9575">
            <v>0</v>
          </cell>
          <cell r="G9575">
            <v>0</v>
          </cell>
          <cell r="H9575" t="str">
            <v>70/74</v>
          </cell>
        </row>
        <row r="9576">
          <cell r="F9576">
            <v>3.89</v>
          </cell>
          <cell r="G9576">
            <v>0</v>
          </cell>
          <cell r="H9576" t="str">
            <v>70/74</v>
          </cell>
        </row>
        <row r="9577">
          <cell r="F9577">
            <v>0</v>
          </cell>
          <cell r="G9577">
            <v>0</v>
          </cell>
          <cell r="H9577" t="str">
            <v>70/74</v>
          </cell>
        </row>
        <row r="9578">
          <cell r="F9578">
            <v>69.3</v>
          </cell>
          <cell r="G9578">
            <v>0</v>
          </cell>
          <cell r="H9578" t="str">
            <v>70/74</v>
          </cell>
        </row>
        <row r="9579">
          <cell r="F9579">
            <v>0.22</v>
          </cell>
          <cell r="G9579">
            <v>0</v>
          </cell>
          <cell r="H9579" t="str">
            <v>70/74</v>
          </cell>
        </row>
        <row r="9580">
          <cell r="F9580">
            <v>100</v>
          </cell>
          <cell r="G9580">
            <v>0</v>
          </cell>
          <cell r="H9580" t="str">
            <v>70/74</v>
          </cell>
        </row>
        <row r="9581">
          <cell r="F9581">
            <v>0.09</v>
          </cell>
          <cell r="G9581">
            <v>0</v>
          </cell>
          <cell r="H9581" t="str">
            <v>70/74</v>
          </cell>
        </row>
        <row r="9582">
          <cell r="F9582">
            <v>0.36</v>
          </cell>
          <cell r="G9582">
            <v>0</v>
          </cell>
          <cell r="H9582" t="str">
            <v>70/74</v>
          </cell>
        </row>
        <row r="9583">
          <cell r="F9583">
            <v>0.02</v>
          </cell>
          <cell r="G9583">
            <v>0</v>
          </cell>
          <cell r="H9583" t="str">
            <v>70/74</v>
          </cell>
        </row>
        <row r="9584">
          <cell r="F9584">
            <v>0</v>
          </cell>
          <cell r="G9584">
            <v>0</v>
          </cell>
          <cell r="H9584" t="str">
            <v>70/74</v>
          </cell>
        </row>
        <row r="9585">
          <cell r="F9585">
            <v>1.83</v>
          </cell>
          <cell r="G9585">
            <v>0</v>
          </cell>
          <cell r="H9585" t="str">
            <v>70/74</v>
          </cell>
        </row>
        <row r="9586">
          <cell r="F9586">
            <v>105.86</v>
          </cell>
          <cell r="G9586">
            <v>0</v>
          </cell>
          <cell r="H9586" t="str">
            <v>70/74</v>
          </cell>
        </row>
        <row r="9587">
          <cell r="F9587">
            <v>44.610000000000007</v>
          </cell>
          <cell r="G9587">
            <v>0</v>
          </cell>
          <cell r="H9587" t="str">
            <v>70/74</v>
          </cell>
        </row>
        <row r="9588">
          <cell r="F9588">
            <v>37.36</v>
          </cell>
          <cell r="G9588">
            <v>0</v>
          </cell>
          <cell r="H9588" t="str">
            <v>70/74</v>
          </cell>
        </row>
        <row r="9589">
          <cell r="F9589">
            <v>1.69</v>
          </cell>
          <cell r="G9589">
            <v>0</v>
          </cell>
          <cell r="H9589" t="str">
            <v>70/74</v>
          </cell>
        </row>
        <row r="9590">
          <cell r="F9590">
            <v>87.21</v>
          </cell>
          <cell r="G9590">
            <v>0</v>
          </cell>
          <cell r="H9590" t="str">
            <v>70/74</v>
          </cell>
        </row>
        <row r="9591">
          <cell r="F9591">
            <v>110.27</v>
          </cell>
          <cell r="G9591">
            <v>0</v>
          </cell>
          <cell r="H9591" t="str">
            <v>70/74</v>
          </cell>
        </row>
        <row r="9592">
          <cell r="F9592">
            <v>-18.64</v>
          </cell>
          <cell r="G9592">
            <v>0</v>
          </cell>
          <cell r="H9592" t="str">
            <v>70/74</v>
          </cell>
        </row>
        <row r="9593">
          <cell r="F9593">
            <v>0.2</v>
          </cell>
          <cell r="G9593">
            <v>0</v>
          </cell>
          <cell r="H9593" t="str">
            <v>70/74</v>
          </cell>
        </row>
        <row r="9594">
          <cell r="F9594">
            <v>0.49</v>
          </cell>
          <cell r="G9594">
            <v>0</v>
          </cell>
          <cell r="H9594" t="str">
            <v>70/74</v>
          </cell>
        </row>
        <row r="9595">
          <cell r="F9595">
            <v>2.11</v>
          </cell>
          <cell r="G9595">
            <v>0</v>
          </cell>
          <cell r="H9595" t="str">
            <v>70/74</v>
          </cell>
        </row>
        <row r="9596">
          <cell r="F9596">
            <v>460.46</v>
          </cell>
          <cell r="G9596">
            <v>0</v>
          </cell>
          <cell r="H9596" t="str">
            <v>70/74</v>
          </cell>
        </row>
        <row r="9597">
          <cell r="F9597">
            <v>3.23</v>
          </cell>
          <cell r="G9597">
            <v>0</v>
          </cell>
          <cell r="H9597" t="str">
            <v>70/74</v>
          </cell>
        </row>
        <row r="9598">
          <cell r="F9598">
            <v>214.62</v>
          </cell>
          <cell r="G9598">
            <v>0</v>
          </cell>
          <cell r="H9598" t="str">
            <v>70/74</v>
          </cell>
        </row>
        <row r="9599">
          <cell r="F9599">
            <v>3.64</v>
          </cell>
          <cell r="G9599">
            <v>0</v>
          </cell>
          <cell r="H9599" t="str">
            <v>70/74</v>
          </cell>
        </row>
        <row r="9600">
          <cell r="F9600">
            <v>45</v>
          </cell>
          <cell r="G9600">
            <v>0</v>
          </cell>
          <cell r="H9600" t="str">
            <v>70/74</v>
          </cell>
        </row>
        <row r="9601">
          <cell r="F9601">
            <v>53.59</v>
          </cell>
          <cell r="G9601">
            <v>0</v>
          </cell>
          <cell r="H9601" t="str">
            <v>70/74</v>
          </cell>
        </row>
        <row r="9602">
          <cell r="F9602">
            <v>0.66</v>
          </cell>
          <cell r="G9602">
            <v>0</v>
          </cell>
          <cell r="H9602" t="str">
            <v>70/74</v>
          </cell>
        </row>
        <row r="9603">
          <cell r="F9603">
            <v>16.88</v>
          </cell>
          <cell r="G9603">
            <v>0</v>
          </cell>
          <cell r="H9603" t="str">
            <v>70/74</v>
          </cell>
        </row>
        <row r="9604">
          <cell r="F9604">
            <v>4.7699999999999996</v>
          </cell>
          <cell r="G9604">
            <v>0</v>
          </cell>
          <cell r="H9604" t="str">
            <v>70/74</v>
          </cell>
        </row>
        <row r="9605">
          <cell r="F9605">
            <v>2.95</v>
          </cell>
          <cell r="G9605">
            <v>0</v>
          </cell>
          <cell r="H9605" t="str">
            <v>70/74</v>
          </cell>
        </row>
        <row r="9606">
          <cell r="F9606">
            <v>0</v>
          </cell>
          <cell r="G9606">
            <v>0</v>
          </cell>
          <cell r="H9606" t="str">
            <v>70/74</v>
          </cell>
        </row>
        <row r="9607">
          <cell r="F9607">
            <v>75.38</v>
          </cell>
          <cell r="G9607">
            <v>0</v>
          </cell>
          <cell r="H9607" t="str">
            <v>70/74</v>
          </cell>
        </row>
        <row r="9608">
          <cell r="F9608">
            <v>-6.89</v>
          </cell>
          <cell r="G9608">
            <v>0</v>
          </cell>
          <cell r="H9608" t="str">
            <v>70/74</v>
          </cell>
        </row>
        <row r="9609">
          <cell r="F9609">
            <v>12.99</v>
          </cell>
          <cell r="G9609">
            <v>0</v>
          </cell>
          <cell r="H9609" t="str">
            <v>70/74</v>
          </cell>
        </row>
        <row r="9610">
          <cell r="F9610">
            <v>30.96</v>
          </cell>
          <cell r="G9610">
            <v>0</v>
          </cell>
          <cell r="H9610" t="str">
            <v>70/74</v>
          </cell>
        </row>
        <row r="9611">
          <cell r="F9611">
            <v>1.53</v>
          </cell>
          <cell r="G9611">
            <v>0</v>
          </cell>
          <cell r="H9611" t="str">
            <v>70/74</v>
          </cell>
        </row>
        <row r="9612">
          <cell r="F9612">
            <v>1.98</v>
          </cell>
          <cell r="G9612">
            <v>0</v>
          </cell>
          <cell r="H9612" t="str">
            <v>70/74</v>
          </cell>
        </row>
        <row r="9613">
          <cell r="F9613">
            <v>0</v>
          </cell>
          <cell r="G9613">
            <v>0</v>
          </cell>
          <cell r="H9613" t="str">
            <v>70/74</v>
          </cell>
        </row>
        <row r="9614">
          <cell r="F9614">
            <v>11.73</v>
          </cell>
          <cell r="G9614">
            <v>0</v>
          </cell>
          <cell r="H9614" t="str">
            <v>70/74</v>
          </cell>
        </row>
        <row r="9615">
          <cell r="F9615">
            <v>0</v>
          </cell>
          <cell r="G9615">
            <v>0</v>
          </cell>
          <cell r="H9615" t="str">
            <v>70/74</v>
          </cell>
        </row>
        <row r="9616">
          <cell r="F9616">
            <v>0.01</v>
          </cell>
          <cell r="G9616">
            <v>0</v>
          </cell>
          <cell r="H9616" t="str">
            <v>70/74</v>
          </cell>
        </row>
        <row r="9617">
          <cell r="F9617">
            <v>0.02</v>
          </cell>
          <cell r="G9617">
            <v>0</v>
          </cell>
          <cell r="H9617" t="str">
            <v>70/74</v>
          </cell>
        </row>
        <row r="9618">
          <cell r="F9618">
            <v>0.01</v>
          </cell>
          <cell r="G9618">
            <v>0</v>
          </cell>
          <cell r="H9618" t="str">
            <v>70/74</v>
          </cell>
        </row>
        <row r="9619">
          <cell r="F9619">
            <v>0.02</v>
          </cell>
          <cell r="G9619">
            <v>0</v>
          </cell>
          <cell r="H9619" t="str">
            <v>70/74</v>
          </cell>
        </row>
        <row r="9620">
          <cell r="F9620">
            <v>0.24</v>
          </cell>
          <cell r="G9620">
            <v>0</v>
          </cell>
          <cell r="H9620" t="str">
            <v>70/74</v>
          </cell>
        </row>
        <row r="9621">
          <cell r="F9621">
            <v>0.1</v>
          </cell>
          <cell r="G9621">
            <v>0</v>
          </cell>
          <cell r="H9621" t="str">
            <v>70/74</v>
          </cell>
        </row>
        <row r="9622">
          <cell r="F9622">
            <v>0.02</v>
          </cell>
          <cell r="G9622">
            <v>0</v>
          </cell>
          <cell r="H9622" t="str">
            <v>70/74</v>
          </cell>
        </row>
        <row r="9623">
          <cell r="F9623">
            <v>0.1</v>
          </cell>
          <cell r="G9623">
            <v>0</v>
          </cell>
          <cell r="H9623" t="str">
            <v>70/74</v>
          </cell>
        </row>
        <row r="9624">
          <cell r="F9624">
            <v>0.99</v>
          </cell>
          <cell r="G9624">
            <v>0</v>
          </cell>
          <cell r="H9624" t="str">
            <v>70/74</v>
          </cell>
        </row>
        <row r="9625">
          <cell r="F9625">
            <v>0.24</v>
          </cell>
          <cell r="G9625">
            <v>0</v>
          </cell>
          <cell r="H9625" t="str">
            <v>70/74</v>
          </cell>
        </row>
        <row r="9626">
          <cell r="F9626">
            <v>0.01</v>
          </cell>
          <cell r="G9626">
            <v>0</v>
          </cell>
          <cell r="H9626" t="str">
            <v>70/74</v>
          </cell>
        </row>
        <row r="9627">
          <cell r="F9627">
            <v>0.04</v>
          </cell>
          <cell r="G9627">
            <v>0</v>
          </cell>
          <cell r="H9627" t="str">
            <v>70/74</v>
          </cell>
        </row>
        <row r="9628">
          <cell r="F9628">
            <v>30.03</v>
          </cell>
          <cell r="G9628">
            <v>0</v>
          </cell>
          <cell r="H9628" t="str">
            <v>70/74</v>
          </cell>
        </row>
        <row r="9629">
          <cell r="F9629">
            <v>0.9</v>
          </cell>
          <cell r="G9629">
            <v>0</v>
          </cell>
          <cell r="H9629" t="str">
            <v>70/74</v>
          </cell>
        </row>
        <row r="9630">
          <cell r="F9630">
            <v>20.02</v>
          </cell>
          <cell r="G9630">
            <v>0</v>
          </cell>
          <cell r="H9630" t="str">
            <v>70/74</v>
          </cell>
        </row>
        <row r="9631">
          <cell r="F9631">
            <v>0.01</v>
          </cell>
          <cell r="G9631">
            <v>0</v>
          </cell>
          <cell r="H9631" t="str">
            <v>70/74</v>
          </cell>
        </row>
        <row r="9632">
          <cell r="F9632">
            <v>0</v>
          </cell>
          <cell r="G9632">
            <v>0</v>
          </cell>
          <cell r="H9632" t="str">
            <v>70/74</v>
          </cell>
        </row>
        <row r="9633">
          <cell r="F9633">
            <v>0.01</v>
          </cell>
          <cell r="G9633">
            <v>0</v>
          </cell>
          <cell r="H9633" t="str">
            <v>70/74</v>
          </cell>
        </row>
        <row r="9634">
          <cell r="F9634">
            <v>0</v>
          </cell>
          <cell r="G9634">
            <v>0</v>
          </cell>
          <cell r="H9634" t="str">
            <v>70/74</v>
          </cell>
        </row>
        <row r="9635">
          <cell r="F9635">
            <v>149.99</v>
          </cell>
          <cell r="G9635">
            <v>0</v>
          </cell>
          <cell r="H9635" t="str">
            <v>70/74</v>
          </cell>
        </row>
        <row r="9636">
          <cell r="F9636">
            <v>149.99</v>
          </cell>
          <cell r="G9636">
            <v>0</v>
          </cell>
          <cell r="H9636" t="str">
            <v>70/74</v>
          </cell>
        </row>
        <row r="9637">
          <cell r="F9637">
            <v>149.99</v>
          </cell>
          <cell r="G9637">
            <v>0</v>
          </cell>
          <cell r="H9637" t="str">
            <v>70/74</v>
          </cell>
        </row>
        <row r="9638">
          <cell r="F9638">
            <v>149.99</v>
          </cell>
          <cell r="G9638">
            <v>0</v>
          </cell>
          <cell r="H9638" t="str">
            <v>70/74</v>
          </cell>
        </row>
        <row r="9639">
          <cell r="F9639">
            <v>649.52</v>
          </cell>
          <cell r="G9639">
            <v>0</v>
          </cell>
          <cell r="H9639">
            <v>75</v>
          </cell>
        </row>
        <row r="9640">
          <cell r="F9640">
            <v>13.67</v>
          </cell>
          <cell r="G9640">
            <v>0</v>
          </cell>
          <cell r="H9640">
            <v>75</v>
          </cell>
        </row>
        <row r="9641">
          <cell r="F9641">
            <v>0.01</v>
          </cell>
          <cell r="G9641">
            <v>0</v>
          </cell>
          <cell r="H9641">
            <v>75</v>
          </cell>
        </row>
        <row r="9642">
          <cell r="F9642">
            <v>30</v>
          </cell>
          <cell r="G9642">
            <v>0</v>
          </cell>
          <cell r="H9642">
            <v>75</v>
          </cell>
        </row>
        <row r="9643">
          <cell r="F9643">
            <v>0</v>
          </cell>
          <cell r="G9643"/>
          <cell r="H9643"/>
        </row>
        <row r="9644">
          <cell r="F9644">
            <v>4996.1899999999996</v>
          </cell>
          <cell r="G9644"/>
          <cell r="H9644"/>
        </row>
        <row r="9645">
          <cell r="F9645">
            <v>1172.0899999999999</v>
          </cell>
          <cell r="G9645"/>
          <cell r="H9645"/>
        </row>
        <row r="9646">
          <cell r="F9646">
            <v>0</v>
          </cell>
          <cell r="G9646"/>
          <cell r="H9646"/>
        </row>
        <row r="9647">
          <cell r="F9647">
            <v>66.94</v>
          </cell>
          <cell r="G9647"/>
          <cell r="H9647"/>
        </row>
        <row r="9648">
          <cell r="F9648">
            <v>298.99</v>
          </cell>
          <cell r="G9648"/>
          <cell r="H9648"/>
        </row>
        <row r="9649">
          <cell r="F9649">
            <v>897050.83</v>
          </cell>
          <cell r="G9649"/>
          <cell r="H9649"/>
        </row>
        <row r="9650">
          <cell r="F9650">
            <v>3942.19</v>
          </cell>
          <cell r="G9650"/>
          <cell r="H9650"/>
        </row>
      </sheetData>
      <sheetData sheetId="1">
        <row r="2">
          <cell r="C2">
            <v>1.4154858299595141</v>
          </cell>
        </row>
        <row r="3">
          <cell r="C3">
            <v>3.349554655870445</v>
          </cell>
        </row>
        <row r="4">
          <cell r="C4">
            <v>3.5259514170040482</v>
          </cell>
        </row>
        <row r="5">
          <cell r="C5">
            <v>5.5178238866396772</v>
          </cell>
        </row>
        <row r="6">
          <cell r="C6">
            <v>11.581710526315797</v>
          </cell>
        </row>
        <row r="7">
          <cell r="C7">
            <v>4.1581022267206471</v>
          </cell>
        </row>
        <row r="8">
          <cell r="C8">
            <v>4.3193319838056663</v>
          </cell>
        </row>
        <row r="9">
          <cell r="C9">
            <v>13.636533400809725</v>
          </cell>
        </row>
        <row r="10">
          <cell r="C10">
            <v>11.218734817813768</v>
          </cell>
        </row>
        <row r="11">
          <cell r="C11">
            <v>11.444600202429163</v>
          </cell>
        </row>
        <row r="12">
          <cell r="C12">
            <v>5.758046558704458</v>
          </cell>
        </row>
        <row r="13">
          <cell r="C13">
            <v>2.8396356275303636</v>
          </cell>
        </row>
        <row r="14">
          <cell r="C14">
            <v>6.1238663967611338</v>
          </cell>
        </row>
        <row r="15">
          <cell r="C15">
            <v>9.0789220647773252</v>
          </cell>
        </row>
        <row r="16">
          <cell r="C16">
            <v>5.5534564777327917</v>
          </cell>
        </row>
        <row r="17">
          <cell r="C17">
            <v>3.4671558704453442</v>
          </cell>
        </row>
        <row r="18">
          <cell r="C18">
            <v>1.0400809716599191</v>
          </cell>
        </row>
        <row r="19">
          <cell r="C19">
            <v>3.956401821862348</v>
          </cell>
        </row>
        <row r="20">
          <cell r="C20">
            <v>3.7083957489878547</v>
          </cell>
        </row>
        <row r="21">
          <cell r="C21">
            <v>4.1336639676113354</v>
          </cell>
        </row>
        <row r="22">
          <cell r="C22">
            <v>4.4840283400809717</v>
          </cell>
        </row>
        <row r="23">
          <cell r="C23">
            <v>1.500060728744939</v>
          </cell>
        </row>
        <row r="24">
          <cell r="C24">
            <v>3.3853744939271264</v>
          </cell>
        </row>
        <row r="25">
          <cell r="C25">
            <v>5.4834919028340101</v>
          </cell>
        </row>
        <row r="26">
          <cell r="C26">
            <v>8.7969635627530351</v>
          </cell>
        </row>
        <row r="27">
          <cell r="C27">
            <v>8.8105060728744942</v>
          </cell>
        </row>
        <row r="28">
          <cell r="C28">
            <v>1.0060121457489879</v>
          </cell>
        </row>
        <row r="29">
          <cell r="C29">
            <v>0.94294028340080982</v>
          </cell>
        </row>
        <row r="30">
          <cell r="C30">
            <v>2.2927074898785422</v>
          </cell>
        </row>
        <row r="31">
          <cell r="C31">
            <v>1.1701467611336029</v>
          </cell>
        </row>
        <row r="32">
          <cell r="C32">
            <v>3.9718117408906886</v>
          </cell>
        </row>
        <row r="33">
          <cell r="C33">
            <v>3.8807388663967601</v>
          </cell>
        </row>
        <row r="34">
          <cell r="C34">
            <v>3.5106781376518219</v>
          </cell>
        </row>
        <row r="35">
          <cell r="C35">
            <v>4.5695799595141695</v>
          </cell>
        </row>
        <row r="36">
          <cell r="C36">
            <v>5.000005060728741</v>
          </cell>
        </row>
        <row r="37">
          <cell r="C37">
            <v>1.4075961538461534</v>
          </cell>
        </row>
        <row r="38">
          <cell r="C38">
            <v>0.35355769230769235</v>
          </cell>
        </row>
        <row r="39">
          <cell r="C39">
            <v>3.8659767206477733</v>
          </cell>
        </row>
        <row r="40">
          <cell r="C40">
            <v>7.2168016194331974</v>
          </cell>
        </row>
        <row r="41">
          <cell r="C41">
            <v>1.0039220647773281</v>
          </cell>
        </row>
        <row r="42">
          <cell r="C42">
            <v>0.65940789473684203</v>
          </cell>
        </row>
        <row r="43">
          <cell r="C43">
            <v>4.7134564777327945</v>
          </cell>
        </row>
        <row r="44">
          <cell r="C44">
            <v>4.1949999999999994</v>
          </cell>
        </row>
        <row r="45">
          <cell r="C45">
            <v>3.3077682186234809</v>
          </cell>
        </row>
        <row r="46">
          <cell r="C46">
            <v>1.2420293522267207</v>
          </cell>
        </row>
        <row r="47">
          <cell r="C47">
            <v>1.0941447368421051</v>
          </cell>
        </row>
        <row r="48">
          <cell r="C48">
            <v>0.46346153846153837</v>
          </cell>
        </row>
        <row r="49">
          <cell r="C49">
            <v>0.75366902834008109</v>
          </cell>
        </row>
        <row r="50">
          <cell r="C50">
            <v>0.26236336032388669</v>
          </cell>
        </row>
        <row r="51">
          <cell r="C51">
            <v>2.0080971659919031</v>
          </cell>
        </row>
        <row r="52">
          <cell r="C52">
            <v>0.32173582995951416</v>
          </cell>
        </row>
        <row r="53">
          <cell r="C53">
            <v>0.40141194331983804</v>
          </cell>
        </row>
        <row r="54">
          <cell r="C54">
            <v>0.38146153846153846</v>
          </cell>
        </row>
        <row r="55">
          <cell r="C55">
            <v>3.081695344129554</v>
          </cell>
        </row>
        <row r="56">
          <cell r="C56">
            <v>0.57683704453441298</v>
          </cell>
        </row>
        <row r="57">
          <cell r="C57">
            <v>0.86443319838056687</v>
          </cell>
        </row>
        <row r="58">
          <cell r="C58">
            <v>2.6551214574898787</v>
          </cell>
        </row>
        <row r="59">
          <cell r="C59">
            <v>0.33833502024291501</v>
          </cell>
        </row>
        <row r="60">
          <cell r="C60">
            <v>0.32231275303643753</v>
          </cell>
        </row>
        <row r="61">
          <cell r="C61">
            <v>0.78605263157894745</v>
          </cell>
        </row>
        <row r="62">
          <cell r="C62">
            <v>0.49987348178137647</v>
          </cell>
        </row>
        <row r="63">
          <cell r="C63">
            <v>0.45103744939271251</v>
          </cell>
        </row>
        <row r="64">
          <cell r="C64">
            <v>0.28703441295546556</v>
          </cell>
        </row>
        <row r="65">
          <cell r="C65">
            <v>0.84615384615384615</v>
          </cell>
        </row>
        <row r="66">
          <cell r="C66">
            <v>1.2879908906882596</v>
          </cell>
        </row>
        <row r="67">
          <cell r="C67">
            <v>0.1461336032388664</v>
          </cell>
        </row>
        <row r="68">
          <cell r="C68">
            <v>0.28338056680161944</v>
          </cell>
        </row>
        <row r="69">
          <cell r="C69">
            <v>0.10546052631578948</v>
          </cell>
        </row>
        <row r="70">
          <cell r="C70">
            <v>10.962904858299588</v>
          </cell>
        </row>
        <row r="71">
          <cell r="C71">
            <v>5.8153390688259101</v>
          </cell>
        </row>
        <row r="72">
          <cell r="C72">
            <v>4.5490637651821855</v>
          </cell>
        </row>
        <row r="73">
          <cell r="C73">
            <v>7.359311740890683</v>
          </cell>
        </row>
        <row r="74">
          <cell r="C74">
            <v>4.3725860323886634</v>
          </cell>
        </row>
        <row r="75">
          <cell r="C75">
            <v>2.8243218623481772</v>
          </cell>
        </row>
        <row r="76">
          <cell r="C76">
            <v>3.1590637651821853</v>
          </cell>
        </row>
        <row r="77">
          <cell r="C77">
            <v>3.0219989878542504</v>
          </cell>
        </row>
        <row r="78">
          <cell r="C78">
            <v>3.3899797570850199</v>
          </cell>
        </row>
        <row r="79">
          <cell r="C79">
            <v>2.9706933198380558</v>
          </cell>
        </row>
        <row r="80">
          <cell r="C80">
            <v>16.85234817813765</v>
          </cell>
        </row>
        <row r="81">
          <cell r="C81">
            <v>13.289590080971669</v>
          </cell>
        </row>
        <row r="82">
          <cell r="C82">
            <v>0.54238360323886647</v>
          </cell>
        </row>
        <row r="83">
          <cell r="C83">
            <v>4.7090080971659919E-2</v>
          </cell>
        </row>
        <row r="84">
          <cell r="C84">
            <v>0.50189777327935226</v>
          </cell>
        </row>
        <row r="85">
          <cell r="C85">
            <v>13.398461538461532</v>
          </cell>
        </row>
        <row r="86">
          <cell r="C86">
            <v>1.7021508097165987</v>
          </cell>
        </row>
        <row r="87">
          <cell r="C87">
            <v>8.2484817813765182E-2</v>
          </cell>
        </row>
        <row r="88">
          <cell r="C88">
            <v>2.6882287449392712</v>
          </cell>
        </row>
        <row r="89">
          <cell r="C89">
            <v>0.7192763157894736</v>
          </cell>
        </row>
        <row r="90">
          <cell r="C90">
            <v>0.59459008097165977</v>
          </cell>
        </row>
        <row r="91">
          <cell r="C91">
            <v>1.2423987854251008</v>
          </cell>
        </row>
        <row r="92">
          <cell r="C92">
            <v>6.7091143724696378</v>
          </cell>
        </row>
        <row r="93">
          <cell r="C93">
            <v>0.44952935222672052</v>
          </cell>
        </row>
        <row r="94">
          <cell r="C94">
            <v>1.770298582995951</v>
          </cell>
        </row>
        <row r="95">
          <cell r="C95">
            <v>3.5901578947368407</v>
          </cell>
        </row>
        <row r="96">
          <cell r="C96">
            <v>13.511634615384617</v>
          </cell>
        </row>
        <row r="97">
          <cell r="C97">
            <v>2.1766953441295547</v>
          </cell>
        </row>
        <row r="98">
          <cell r="C98">
            <v>4.1336437246963538</v>
          </cell>
        </row>
        <row r="99">
          <cell r="C99">
            <v>3.4626923076923073</v>
          </cell>
        </row>
        <row r="100">
          <cell r="C100">
            <v>2.2421153846153845</v>
          </cell>
        </row>
        <row r="101">
          <cell r="C101">
            <v>1.8185931174089069</v>
          </cell>
        </row>
        <row r="102">
          <cell r="C102">
            <v>2.2656477732793516</v>
          </cell>
        </row>
        <row r="103">
          <cell r="C103">
            <v>1.4595850202429148</v>
          </cell>
        </row>
        <row r="104">
          <cell r="C104">
            <v>5.8238866396760933</v>
          </cell>
        </row>
        <row r="105">
          <cell r="C105">
            <v>0.60988866396761132</v>
          </cell>
        </row>
        <row r="106">
          <cell r="C106">
            <v>2.2946406882591086</v>
          </cell>
        </row>
        <row r="107">
          <cell r="C107">
            <v>0.83056680161943297</v>
          </cell>
        </row>
        <row r="108">
          <cell r="C108">
            <v>1.1949898785425102</v>
          </cell>
        </row>
        <row r="109">
          <cell r="C109">
            <v>1.0038461538461538</v>
          </cell>
        </row>
        <row r="110">
          <cell r="C110">
            <v>2.2679453441295538</v>
          </cell>
        </row>
        <row r="111">
          <cell r="C111">
            <v>0.80384615384615388</v>
          </cell>
        </row>
        <row r="112">
          <cell r="C112">
            <v>8.0743927125506071E-2</v>
          </cell>
        </row>
        <row r="113">
          <cell r="C113">
            <v>0.38846153846153847</v>
          </cell>
        </row>
        <row r="114">
          <cell r="C114">
            <v>0.54971659919028337</v>
          </cell>
        </row>
        <row r="115">
          <cell r="C115">
            <v>0.93076923076923068</v>
          </cell>
        </row>
        <row r="116">
          <cell r="C116">
            <v>0.25</v>
          </cell>
        </row>
        <row r="117">
          <cell r="C117">
            <v>2.0598178137651812</v>
          </cell>
        </row>
        <row r="118">
          <cell r="C118">
            <v>0.50136639676113359</v>
          </cell>
        </row>
        <row r="119">
          <cell r="C119">
            <v>0.25</v>
          </cell>
        </row>
        <row r="120">
          <cell r="C120">
            <v>0.67307692307692313</v>
          </cell>
        </row>
        <row r="121">
          <cell r="C121">
            <v>0.32990384615384621</v>
          </cell>
        </row>
        <row r="122">
          <cell r="C122">
            <v>0.57021255060728737</v>
          </cell>
        </row>
        <row r="123">
          <cell r="C123">
            <v>1.5424139676113355</v>
          </cell>
        </row>
        <row r="124">
          <cell r="C124">
            <v>3.5878896761133587</v>
          </cell>
        </row>
        <row r="125">
          <cell r="C125">
            <v>21.963755060728776</v>
          </cell>
        </row>
        <row r="126">
          <cell r="C126">
            <v>11.727257085020245</v>
          </cell>
        </row>
        <row r="127">
          <cell r="C127">
            <v>3.2663006072874476</v>
          </cell>
        </row>
        <row r="128">
          <cell r="C128">
            <v>4.7940587044534411</v>
          </cell>
        </row>
        <row r="129">
          <cell r="C129">
            <v>11.565460526315791</v>
          </cell>
        </row>
        <row r="130">
          <cell r="C130">
            <v>2.2466599190283403</v>
          </cell>
        </row>
        <row r="131">
          <cell r="C131">
            <v>4.132884615384615</v>
          </cell>
        </row>
        <row r="132">
          <cell r="C132">
            <v>2.1589827935222679</v>
          </cell>
        </row>
        <row r="133">
          <cell r="C133">
            <v>0.50201923076923072</v>
          </cell>
        </row>
        <row r="134">
          <cell r="C134">
            <v>2.4442560728744938</v>
          </cell>
        </row>
        <row r="135">
          <cell r="C135">
            <v>0.99077429149797569</v>
          </cell>
        </row>
        <row r="136">
          <cell r="C136">
            <v>1.7009008097165992</v>
          </cell>
        </row>
        <row r="137">
          <cell r="C137">
            <v>4.0984109311740902</v>
          </cell>
        </row>
        <row r="138">
          <cell r="C138">
            <v>0.45546558704453444</v>
          </cell>
        </row>
        <row r="139">
          <cell r="C139">
            <v>1.0038461538461538</v>
          </cell>
        </row>
        <row r="140">
          <cell r="C140">
            <v>8.4447368421052644</v>
          </cell>
        </row>
        <row r="141">
          <cell r="C141">
            <v>0.39999493927125507</v>
          </cell>
        </row>
        <row r="142">
          <cell r="C142">
            <v>1.0401821862348177</v>
          </cell>
        </row>
        <row r="143">
          <cell r="C143">
            <v>1.2717611336032388</v>
          </cell>
        </row>
      </sheetData>
      <sheetData sheetId="2"/>
      <sheetData sheetId="3"/>
      <sheetData sheetId="4">
        <row r="5">
          <cell r="I5">
            <v>475.24377530364387</v>
          </cell>
          <cell r="K5">
            <v>213.25666497975715</v>
          </cell>
          <cell r="L5">
            <v>169.50343218623485</v>
          </cell>
          <cell r="M5">
            <v>8.6509200404858309</v>
          </cell>
          <cell r="N5">
            <v>13.398461538461532</v>
          </cell>
          <cell r="O5">
            <v>1.7021508097165987</v>
          </cell>
          <cell r="P5">
            <v>8.2484817813765182E-2</v>
          </cell>
          <cell r="Q5">
            <v>2.6882287449392712</v>
          </cell>
          <cell r="R5">
            <v>0.7192763157894736</v>
          </cell>
          <cell r="S5">
            <v>0.59459008097165977</v>
          </cell>
          <cell r="T5">
            <v>1.2423987854251008</v>
          </cell>
          <cell r="U5">
            <v>2.2946406882591086</v>
          </cell>
          <cell r="V5">
            <v>0.83056680161943297</v>
          </cell>
          <cell r="W5">
            <v>0</v>
          </cell>
          <cell r="X5">
            <v>1.1949898785425102</v>
          </cell>
          <cell r="Y5">
            <v>1.0038461538461538</v>
          </cell>
          <cell r="Z5">
            <v>2.2679453441295538</v>
          </cell>
          <cell r="AA5">
            <v>0</v>
          </cell>
          <cell r="AB5">
            <v>0.80384615384615388</v>
          </cell>
          <cell r="AC5">
            <v>8.0743927125506071E-2</v>
          </cell>
          <cell r="AD5">
            <v>0.38846153846153847</v>
          </cell>
          <cell r="AE5">
            <v>6.114863360323886</v>
          </cell>
        </row>
        <row r="10">
          <cell r="K10">
            <v>18053123.469999991</v>
          </cell>
          <cell r="L10">
            <v>11520811.140000002</v>
          </cell>
          <cell r="M10">
            <v>275376.08999999997</v>
          </cell>
          <cell r="N10">
            <v>1251141.4000000001</v>
          </cell>
          <cell r="O10">
            <v>324476.88999999996</v>
          </cell>
          <cell r="P10">
            <v>5761.01</v>
          </cell>
          <cell r="Q10">
            <v>166402.6</v>
          </cell>
          <cell r="R10">
            <v>56174.12</v>
          </cell>
          <cell r="S10">
            <v>40270.189999999995</v>
          </cell>
          <cell r="T10">
            <v>129342.68</v>
          </cell>
          <cell r="U10">
            <v>192312.69</v>
          </cell>
          <cell r="V10">
            <v>56652.5</v>
          </cell>
          <cell r="W10">
            <v>0</v>
          </cell>
          <cell r="X10">
            <v>66018.62</v>
          </cell>
          <cell r="Y10">
            <v>50931.18</v>
          </cell>
          <cell r="Z10">
            <v>151831.13999999998</v>
          </cell>
          <cell r="AA10">
            <v>59577.16</v>
          </cell>
          <cell r="AB10">
            <v>59784.79</v>
          </cell>
          <cell r="AC10">
            <v>8360.85</v>
          </cell>
          <cell r="AD10">
            <v>30945.73</v>
          </cell>
          <cell r="AE10">
            <v>277722.50999999995</v>
          </cell>
        </row>
        <row r="11">
          <cell r="K11">
            <v>1427027.35</v>
          </cell>
          <cell r="L11">
            <v>271790.57999999996</v>
          </cell>
          <cell r="M11">
            <v>120887.31000000001</v>
          </cell>
          <cell r="N11">
            <v>6389.66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1545</v>
          </cell>
          <cell r="T11">
            <v>0</v>
          </cell>
          <cell r="U11">
            <v>2990.3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56928.340000000004</v>
          </cell>
        </row>
        <row r="12">
          <cell r="K12">
            <v>16555606.560000002</v>
          </cell>
          <cell r="L12">
            <v>11216827.430000002</v>
          </cell>
          <cell r="M12">
            <v>137051.46</v>
          </cell>
          <cell r="N12">
            <v>1242493.54</v>
          </cell>
          <cell r="O12">
            <v>324225.81</v>
          </cell>
          <cell r="P12">
            <v>5753.33</v>
          </cell>
          <cell r="Q12">
            <v>166163.04</v>
          </cell>
          <cell r="R12">
            <v>56098.98</v>
          </cell>
          <cell r="S12">
            <v>38647.03</v>
          </cell>
          <cell r="T12">
            <v>125597.34999999999</v>
          </cell>
          <cell r="U12">
            <v>186766.85</v>
          </cell>
          <cell r="V12">
            <v>56418.66</v>
          </cell>
          <cell r="W12">
            <v>0</v>
          </cell>
          <cell r="X12">
            <v>65913.58</v>
          </cell>
          <cell r="Y12">
            <v>50853.77</v>
          </cell>
          <cell r="Z12">
            <v>151648.65</v>
          </cell>
          <cell r="AA12">
            <v>59577.16</v>
          </cell>
          <cell r="AB12">
            <v>59678.6</v>
          </cell>
          <cell r="AC12">
            <v>8348.82</v>
          </cell>
          <cell r="AD12">
            <v>30913.1</v>
          </cell>
          <cell r="AE12">
            <v>220256.34999999998</v>
          </cell>
        </row>
        <row r="13">
          <cell r="K13">
            <v>2091884.489999996</v>
          </cell>
          <cell r="L13">
            <v>1274544.76</v>
          </cell>
          <cell r="M13">
            <v>-282432.67</v>
          </cell>
          <cell r="N13">
            <v>85833.23000000001</v>
          </cell>
          <cell r="O13">
            <v>6813.1000000000013</v>
          </cell>
          <cell r="P13">
            <v>10.72</v>
          </cell>
          <cell r="Q13">
            <v>17144.05</v>
          </cell>
          <cell r="R13">
            <v>10572.100000000002</v>
          </cell>
          <cell r="S13">
            <v>3537.3199999999993</v>
          </cell>
          <cell r="T13">
            <v>37233.65</v>
          </cell>
          <cell r="U13">
            <v>10054.41</v>
          </cell>
          <cell r="V13">
            <v>4307.8899999999994</v>
          </cell>
          <cell r="W13">
            <v>0</v>
          </cell>
          <cell r="X13">
            <v>5050.78</v>
          </cell>
          <cell r="Y13">
            <v>383.86</v>
          </cell>
          <cell r="Z13">
            <v>807.11999999999989</v>
          </cell>
          <cell r="AA13">
            <v>59577.16</v>
          </cell>
          <cell r="AB13">
            <v>958.48000000000013</v>
          </cell>
          <cell r="AC13">
            <v>367.65000000000003</v>
          </cell>
          <cell r="AD13">
            <v>27.490000000000002</v>
          </cell>
          <cell r="AE13">
            <v>22710.769999999993</v>
          </cell>
        </row>
        <row r="14">
          <cell r="K14">
            <v>12725369.829999989</v>
          </cell>
          <cell r="L14">
            <v>9299298.9099999834</v>
          </cell>
          <cell r="M14">
            <v>493412.07</v>
          </cell>
          <cell r="N14">
            <v>779729.28999999992</v>
          </cell>
          <cell r="O14">
            <v>115420.12000000001</v>
          </cell>
          <cell r="P14">
            <v>4770.9500000000007</v>
          </cell>
          <cell r="Q14">
            <v>127067.31000000003</v>
          </cell>
          <cell r="R14">
            <v>34056.359999999986</v>
          </cell>
          <cell r="S14">
            <v>23454.990000000005</v>
          </cell>
          <cell r="T14">
            <v>88858.66</v>
          </cell>
          <cell r="U14">
            <v>133343.31000000003</v>
          </cell>
          <cell r="V14">
            <v>41393.74</v>
          </cell>
          <cell r="W14">
            <v>0</v>
          </cell>
          <cell r="X14">
            <v>50234.569999999985</v>
          </cell>
          <cell r="Y14">
            <v>41697.980000000003</v>
          </cell>
          <cell r="Z14">
            <v>131031.11000000003</v>
          </cell>
          <cell r="AA14">
            <v>0</v>
          </cell>
          <cell r="AB14">
            <v>51555.580000000009</v>
          </cell>
          <cell r="AC14">
            <v>7281.4</v>
          </cell>
          <cell r="AD14">
            <v>27493.880000000008</v>
          </cell>
          <cell r="AE14">
            <v>303196.00000000017</v>
          </cell>
        </row>
        <row r="15">
          <cell r="K15">
            <v>633577.37000000046</v>
          </cell>
          <cell r="L15">
            <v>74062.209999999963</v>
          </cell>
          <cell r="M15">
            <v>35406.39</v>
          </cell>
          <cell r="N15">
            <v>8518.86</v>
          </cell>
          <cell r="O15">
            <v>370.06</v>
          </cell>
          <cell r="P15">
            <v>252.2</v>
          </cell>
          <cell r="Q15">
            <v>2193.1499999999996</v>
          </cell>
          <cell r="R15">
            <v>374.62999999999994</v>
          </cell>
          <cell r="S15">
            <v>12.48</v>
          </cell>
          <cell r="T15">
            <v>679.95</v>
          </cell>
          <cell r="U15">
            <v>6674.7999999999993</v>
          </cell>
          <cell r="V15">
            <v>3020.6000000000004</v>
          </cell>
          <cell r="W15">
            <v>0</v>
          </cell>
          <cell r="X15">
            <v>189.6</v>
          </cell>
          <cell r="Y15">
            <v>0</v>
          </cell>
          <cell r="Z15">
            <v>0</v>
          </cell>
          <cell r="AA15">
            <v>0</v>
          </cell>
          <cell r="AB15">
            <v>184.4</v>
          </cell>
          <cell r="AC15">
            <v>0</v>
          </cell>
          <cell r="AD15">
            <v>0</v>
          </cell>
          <cell r="AE15">
            <v>1418.23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K17">
            <v>199797.44</v>
          </cell>
          <cell r="L17">
            <v>1589.43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1194.45</v>
          </cell>
          <cell r="V17">
            <v>517.03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K18">
            <v>83536.45</v>
          </cell>
          <cell r="L18">
            <v>42524.420000000013</v>
          </cell>
          <cell r="M18">
            <v>23703.360000000001</v>
          </cell>
          <cell r="N18">
            <v>16267.64</v>
          </cell>
          <cell r="O18">
            <v>181551.79</v>
          </cell>
          <cell r="P18">
            <v>0.5</v>
          </cell>
          <cell r="Q18">
            <v>258.61</v>
          </cell>
          <cell r="R18">
            <v>11.280000000000001</v>
          </cell>
          <cell r="S18">
            <v>60.69</v>
          </cell>
          <cell r="T18">
            <v>123.06000000000002</v>
          </cell>
          <cell r="U18">
            <v>1035.8399999999999</v>
          </cell>
          <cell r="V18">
            <v>69.480000000000018</v>
          </cell>
          <cell r="W18">
            <v>0</v>
          </cell>
          <cell r="X18">
            <v>7.1899999999999995</v>
          </cell>
          <cell r="Y18">
            <v>6.0600000000000005</v>
          </cell>
          <cell r="Z18">
            <v>13.68</v>
          </cell>
          <cell r="AA18">
            <v>0</v>
          </cell>
          <cell r="AB18">
            <v>4.93</v>
          </cell>
          <cell r="AC18">
            <v>0.49</v>
          </cell>
          <cell r="AD18">
            <v>2.25</v>
          </cell>
          <cell r="AE18">
            <v>5501.75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5">
          <cell r="K25">
            <v>62538.61</v>
          </cell>
          <cell r="L25">
            <v>727.87</v>
          </cell>
          <cell r="M25">
            <v>0</v>
          </cell>
          <cell r="N25">
            <v>149.05000000000001</v>
          </cell>
          <cell r="O25">
            <v>37.75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132.79000000000002</v>
          </cell>
          <cell r="V25">
            <v>26.97</v>
          </cell>
          <cell r="W25">
            <v>0</v>
          </cell>
          <cell r="X25">
            <v>9.34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1">
          <cell r="K31">
            <v>1691.93</v>
          </cell>
          <cell r="L31">
            <v>2081.69</v>
          </cell>
          <cell r="M31">
            <v>189.5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29.52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</sheetData>
      <sheetData sheetId="5">
        <row r="1">
          <cell r="A1" t="str">
            <v>Bijlage 3: Resultaat 2018</v>
          </cell>
        </row>
        <row r="7">
          <cell r="J7">
            <v>24.195319153104776</v>
          </cell>
          <cell r="K7">
            <v>19.231237812341764</v>
          </cell>
          <cell r="L7">
            <v>0.98150166311291209</v>
          </cell>
          <cell r="M7">
            <v>1.5201403112744352</v>
          </cell>
          <cell r="N7">
            <v>0.19311978873775468</v>
          </cell>
          <cell r="O7">
            <v>9.3584249405719248E-3</v>
          </cell>
          <cell r="P7">
            <v>0.30499657512007872</v>
          </cell>
          <cell r="Q7">
            <v>8.1606453057153638E-2</v>
          </cell>
          <cell r="R7">
            <v>6.7460010104468726E-2</v>
          </cell>
          <cell r="S7">
            <v>0.14095801006568046</v>
          </cell>
          <cell r="T7">
            <v>0.26034151757648089</v>
          </cell>
          <cell r="U7">
            <v>9.4233063454608496E-2</v>
          </cell>
          <cell r="V7">
            <v>0</v>
          </cell>
          <cell r="W7">
            <v>0.13557916934887101</v>
          </cell>
          <cell r="X7">
            <v>0.11389270330767821</v>
          </cell>
          <cell r="Y7">
            <v>0.25731276172878975</v>
          </cell>
          <cell r="Z7">
            <v>0</v>
          </cell>
          <cell r="AA7">
            <v>9.1201436748294049E-2</v>
          </cell>
          <cell r="AB7">
            <v>9.1609098672817395E-3</v>
          </cell>
          <cell r="AC7">
            <v>4.4073421586496166E-2</v>
          </cell>
          <cell r="AD7">
            <v>0.69376997241660432</v>
          </cell>
        </row>
        <row r="12">
          <cell r="J12">
            <v>223672.44612489908</v>
          </cell>
          <cell r="K12">
            <v>177782.2386337136</v>
          </cell>
          <cell r="L12">
            <v>9073.4441845934762</v>
          </cell>
          <cell r="M12">
            <v>14052.862858483411</v>
          </cell>
          <cell r="N12">
            <v>1785.286454324551</v>
          </cell>
          <cell r="O12">
            <v>86.513502264150986</v>
          </cell>
          <cell r="P12">
            <v>2819.5259415733121</v>
          </cell>
          <cell r="Q12">
            <v>754.40686933563495</v>
          </cell>
          <cell r="R12">
            <v>623.63076842244061</v>
          </cell>
          <cell r="S12">
            <v>1303.0794391585086</v>
          </cell>
          <cell r="T12">
            <v>2406.7144432243449</v>
          </cell>
          <cell r="U12">
            <v>871.13295242606637</v>
          </cell>
          <cell r="V12">
            <v>0</v>
          </cell>
          <cell r="W12">
            <v>1253.3550088737943</v>
          </cell>
          <cell r="X12">
            <v>1052.8755328006007</v>
          </cell>
          <cell r="Y12">
            <v>2378.7152577256393</v>
          </cell>
          <cell r="Z12">
            <v>0</v>
          </cell>
          <cell r="AA12">
            <v>843.10722741504037</v>
          </cell>
          <cell r="AB12">
            <v>84.687583816462904</v>
          </cell>
          <cell r="AC12">
            <v>407.43459315272287</v>
          </cell>
          <cell r="AD12">
            <v>6413.5226237969709</v>
          </cell>
        </row>
        <row r="13">
          <cell r="J13">
            <v>742.69358202278022</v>
          </cell>
          <cell r="K13">
            <v>590.31735879157577</v>
          </cell>
          <cell r="L13">
            <v>30.127934305223011</v>
          </cell>
          <cell r="M13">
            <v>46.661854130275429</v>
          </cell>
          <cell r="N13">
            <v>5.9279576660893349</v>
          </cell>
          <cell r="O13">
            <v>0.28726391651307465</v>
          </cell>
          <cell r="P13">
            <v>9.3621000594052504</v>
          </cell>
          <cell r="Q13">
            <v>2.5049716663652237</v>
          </cell>
          <cell r="R13">
            <v>2.0707359233718416</v>
          </cell>
          <cell r="S13">
            <v>4.3268125023698865</v>
          </cell>
          <cell r="T13">
            <v>7.9913793661742929</v>
          </cell>
          <cell r="U13">
            <v>2.8925550020323825</v>
          </cell>
          <cell r="V13">
            <v>0</v>
          </cell>
          <cell r="W13">
            <v>4.1617049270649931</v>
          </cell>
          <cell r="X13">
            <v>3.4960224847863977</v>
          </cell>
          <cell r="Y13">
            <v>7.8984094195759438</v>
          </cell>
          <cell r="Z13">
            <v>0</v>
          </cell>
          <cell r="AA13">
            <v>2.7994969322619045</v>
          </cell>
          <cell r="AB13">
            <v>0.28120104227045256</v>
          </cell>
          <cell r="AC13">
            <v>1.3528669385571883</v>
          </cell>
          <cell r="AD13">
            <v>21.295792903306861</v>
          </cell>
        </row>
        <row r="14">
          <cell r="J14">
            <v>209850.10139815969</v>
          </cell>
          <cell r="K14">
            <v>166795.78307666909</v>
          </cell>
          <cell r="L14">
            <v>8512.7301782368449</v>
          </cell>
          <cell r="M14">
            <v>13184.434412365896</v>
          </cell>
          <cell r="N14">
            <v>1674.960639790057</v>
          </cell>
          <cell r="O14">
            <v>81.167204709266215</v>
          </cell>
          <cell r="P14">
            <v>2645.2869586069055</v>
          </cell>
          <cell r="Q14">
            <v>707.78659047323742</v>
          </cell>
          <cell r="R14">
            <v>585.09209451477966</v>
          </cell>
          <cell r="S14">
            <v>1222.5526978167636</v>
          </cell>
          <cell r="T14">
            <v>2257.9860805251969</v>
          </cell>
          <cell r="U14">
            <v>817.29932123963238</v>
          </cell>
          <cell r="V14">
            <v>0</v>
          </cell>
          <cell r="W14">
            <v>1175.9011011717917</v>
          </cell>
          <cell r="X14">
            <v>987.81070778146193</v>
          </cell>
          <cell r="Y14">
            <v>2231.7171680249589</v>
          </cell>
          <cell r="Z14">
            <v>0</v>
          </cell>
          <cell r="AA14">
            <v>791.00550929626638</v>
          </cell>
          <cell r="AB14">
            <v>79.4541230220469</v>
          </cell>
          <cell r="AC14">
            <v>382.25625090393737</v>
          </cell>
          <cell r="AD14">
            <v>6017.1844866919582</v>
          </cell>
        </row>
        <row r="15">
          <cell r="J15">
            <v>238308.43366750507</v>
          </cell>
          <cell r="K15">
            <v>189415.40434106527</v>
          </cell>
          <cell r="L15">
            <v>9667.1642352969302</v>
          </cell>
          <cell r="M15">
            <v>14972.410747810212</v>
          </cell>
          <cell r="N15">
            <v>1902.1065220537992</v>
          </cell>
          <cell r="O15">
            <v>92.174505947627821</v>
          </cell>
          <cell r="P15">
            <v>3004.0213824372177</v>
          </cell>
          <cell r="Q15">
            <v>803.77141884964681</v>
          </cell>
          <cell r="R15">
            <v>664.43799486427008</v>
          </cell>
          <cell r="S15">
            <v>1388.3463317461642</v>
          </cell>
          <cell r="T15">
            <v>2564.1975987041751</v>
          </cell>
          <cell r="U15">
            <v>928.13546328760503</v>
          </cell>
          <cell r="V15">
            <v>0</v>
          </cell>
          <cell r="W15">
            <v>1335.36818758288</v>
          </cell>
          <cell r="X15">
            <v>1121.7703539954266</v>
          </cell>
          <cell r="Y15">
            <v>2534.3662888769622</v>
          </cell>
          <cell r="Z15">
            <v>0</v>
          </cell>
          <cell r="AA15">
            <v>898.2758773373339</v>
          </cell>
          <cell r="AB15">
            <v>90.229108681170743</v>
          </cell>
          <cell r="AC15">
            <v>434.09504120129532</v>
          </cell>
          <cell r="AD15">
            <v>6833.1909327566627</v>
          </cell>
        </row>
        <row r="16">
          <cell r="J16">
            <v>1762978.3198295038</v>
          </cell>
          <cell r="K16">
            <v>1401273.3253114894</v>
          </cell>
          <cell r="L16">
            <v>71516.566572035576</v>
          </cell>
          <cell r="M16">
            <v>110764.16867730404</v>
          </cell>
          <cell r="N16">
            <v>14071.564773346929</v>
          </cell>
          <cell r="O16">
            <v>681.8963690281754</v>
          </cell>
          <cell r="P16">
            <v>22223.403880578724</v>
          </cell>
          <cell r="Q16">
            <v>5946.2082970492384</v>
          </cell>
          <cell r="R16">
            <v>4915.4356889066403</v>
          </cell>
          <cell r="S16">
            <v>10270.826112257129</v>
          </cell>
          <cell r="T16">
            <v>18969.63823186234</v>
          </cell>
          <cell r="U16">
            <v>6866.2391609855895</v>
          </cell>
          <cell r="V16">
            <v>0</v>
          </cell>
          <cell r="W16">
            <v>9878.8999091124042</v>
          </cell>
          <cell r="X16">
            <v>8298.7277600115885</v>
          </cell>
          <cell r="Y16">
            <v>18748.949640744868</v>
          </cell>
          <cell r="Z16">
            <v>0</v>
          </cell>
          <cell r="AA16">
            <v>6645.3413863694332</v>
          </cell>
          <cell r="AB16">
            <v>667.50454431833475</v>
          </cell>
          <cell r="AC16">
            <v>3211.385071881879</v>
          </cell>
          <cell r="AD16">
            <v>50551.158783215971</v>
          </cell>
        </row>
        <row r="17">
          <cell r="J17">
            <v>67905.431769178438</v>
          </cell>
          <cell r="K17">
            <v>53973.477218433072</v>
          </cell>
          <cell r="L17">
            <v>2754.6358778779113</v>
          </cell>
          <cell r="M17">
            <v>4266.3534848879135</v>
          </cell>
          <cell r="N17">
            <v>542.00081240618658</v>
          </cell>
          <cell r="O17">
            <v>26.264910260025978</v>
          </cell>
          <cell r="P17">
            <v>855.98887911308907</v>
          </cell>
          <cell r="Q17">
            <v>229.03278914947123</v>
          </cell>
          <cell r="R17">
            <v>189.33005530159588</v>
          </cell>
          <cell r="S17">
            <v>395.60604570929843</v>
          </cell>
          <cell r="T17">
            <v>730.6621188423361</v>
          </cell>
          <cell r="U17">
            <v>264.470033245933</v>
          </cell>
          <cell r="V17">
            <v>0</v>
          </cell>
          <cell r="W17">
            <v>380.510047223752</v>
          </cell>
          <cell r="X17">
            <v>319.64584325288382</v>
          </cell>
          <cell r="Y17">
            <v>722.16175675744512</v>
          </cell>
          <cell r="Z17">
            <v>0</v>
          </cell>
          <cell r="AA17">
            <v>255.96161394579585</v>
          </cell>
          <cell r="AB17">
            <v>25.71057385107764</v>
          </cell>
          <cell r="AC17">
            <v>123.69436846184392</v>
          </cell>
          <cell r="AD17">
            <v>1947.1018021018838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J19">
            <v>5109.9936569824604</v>
          </cell>
          <cell r="K19">
            <v>4061.5915258293799</v>
          </cell>
          <cell r="L19">
            <v>207.29080865135538</v>
          </cell>
          <cell r="M19">
            <v>321.05000554782589</v>
          </cell>
          <cell r="N19">
            <v>40.786438452955323</v>
          </cell>
          <cell r="O19">
            <v>1.9764770112376251</v>
          </cell>
          <cell r="P19">
            <v>64.414548715096572</v>
          </cell>
          <cell r="Q19">
            <v>17.23508811155239</v>
          </cell>
          <cell r="R19">
            <v>14.2473931239536</v>
          </cell>
          <cell r="S19">
            <v>29.769995294485202</v>
          </cell>
          <cell r="T19">
            <v>54.983507142301676</v>
          </cell>
          <cell r="U19">
            <v>19.901798090945391</v>
          </cell>
          <cell r="V19">
            <v>0</v>
          </cell>
          <cell r="W19">
            <v>28.633996973037636</v>
          </cell>
          <cell r="X19">
            <v>24.053867105288383</v>
          </cell>
          <cell r="Y19">
            <v>54.343841136149237</v>
          </cell>
          <cell r="Z19">
            <v>0</v>
          </cell>
          <cell r="AA19">
            <v>19.261525766303723</v>
          </cell>
          <cell r="AB19">
            <v>1.9347622991776372</v>
          </cell>
          <cell r="AC19">
            <v>9.3082014468740475</v>
          </cell>
          <cell r="AD19">
            <v>146.52256231961397</v>
          </cell>
        </row>
        <row r="20">
          <cell r="J20">
            <v>9342.7300160348623</v>
          </cell>
          <cell r="K20">
            <v>7425.9100125081095</v>
          </cell>
          <cell r="L20">
            <v>378.99500274111682</v>
          </cell>
          <cell r="M20">
            <v>586.98380562199736</v>
          </cell>
          <cell r="N20">
            <v>74.570871973763815</v>
          </cell>
          <cell r="O20">
            <v>3.6136426654190692</v>
          </cell>
          <cell r="P20">
            <v>117.77074065983292</v>
          </cell>
          <cell r="Q20">
            <v>31.511345382744146</v>
          </cell>
          <cell r="R20">
            <v>26.048867439889055</v>
          </cell>
          <cell r="S20">
            <v>54.429231675259238</v>
          </cell>
          <cell r="T20">
            <v>100.52772998324924</v>
          </cell>
          <cell r="U20">
            <v>36.386958356253601</v>
          </cell>
          <cell r="V20">
            <v>0</v>
          </cell>
          <cell r="W20">
            <v>52.352257352316386</v>
          </cell>
          <cell r="X20">
            <v>43.978290638230973</v>
          </cell>
          <cell r="Y20">
            <v>99.358212524504182</v>
          </cell>
          <cell r="Z20">
            <v>0</v>
          </cell>
          <cell r="AA20">
            <v>35.216332350154303</v>
          </cell>
          <cell r="AB20">
            <v>3.537374607445932</v>
          </cell>
          <cell r="AC20">
            <v>17.018418982610452</v>
          </cell>
          <cell r="AD20">
            <v>267.89088850223106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5">
          <cell r="J25">
            <v>331.36290060042904</v>
          </cell>
          <cell r="K25">
            <v>263.3781643180551</v>
          </cell>
          <cell r="L25">
            <v>13.441989997123279</v>
          </cell>
          <cell r="M25">
            <v>20.818824487334698</v>
          </cell>
          <cell r="N25">
            <v>2.6448393986682679</v>
          </cell>
          <cell r="O25">
            <v>0.12816672570989343</v>
          </cell>
          <cell r="P25">
            <v>4.1770290015793075</v>
          </cell>
          <cell r="Q25">
            <v>1.1176273733616444</v>
          </cell>
          <cell r="R25">
            <v>0.92388715690417111</v>
          </cell>
          <cell r="S25">
            <v>1.9304665825098108</v>
          </cell>
          <cell r="T25">
            <v>3.5654632148049314</v>
          </cell>
          <cell r="U25">
            <v>1.2905529801526292</v>
          </cell>
          <cell r="V25">
            <v>0</v>
          </cell>
          <cell r="W25">
            <v>1.8568015793531589</v>
          </cell>
          <cell r="X25">
            <v>1.5597982521513261</v>
          </cell>
          <cell r="Y25">
            <v>3.5239834014348048</v>
          </cell>
          <cell r="Z25">
            <v>0</v>
          </cell>
          <cell r="AA25">
            <v>1.2490338494238589</v>
          </cell>
          <cell r="AB25">
            <v>0.12546169143514019</v>
          </cell>
          <cell r="AC25">
            <v>0.60360008991296521</v>
          </cell>
          <cell r="AD25">
            <v>9.501409299655629</v>
          </cell>
        </row>
        <row r="27">
          <cell r="J27">
            <v>18736.888233756701</v>
          </cell>
          <cell r="K27">
            <v>14892.696856218357</v>
          </cell>
          <cell r="L27">
            <v>760.07622989478477</v>
          </cell>
          <cell r="M27">
            <v>1177.1987354968317</v>
          </cell>
          <cell r="N27">
            <v>149.55222844587644</v>
          </cell>
          <cell r="O27">
            <v>7.2471770694951338</v>
          </cell>
          <cell r="P27">
            <v>236.18976478639166</v>
          </cell>
          <cell r="Q27">
            <v>63.196148825711624</v>
          </cell>
          <cell r="R27">
            <v>52.241124061111265</v>
          </cell>
          <cell r="S27">
            <v>109.15807572286126</v>
          </cell>
          <cell r="T27">
            <v>201.6088271690013</v>
          </cell>
          <cell r="U27">
            <v>72.974213181516717</v>
          </cell>
          <cell r="V27">
            <v>0</v>
          </cell>
          <cell r="W27">
            <v>104.99269411742353</v>
          </cell>
          <cell r="X27">
            <v>88.198665163817097</v>
          </cell>
          <cell r="Y27">
            <v>199.26335449941499</v>
          </cell>
          <cell r="Z27">
            <v>0</v>
          </cell>
          <cell r="AA27">
            <v>70.626517315087256</v>
          </cell>
          <cell r="AB27">
            <v>7.094221126682303</v>
          </cell>
          <cell r="AC27">
            <v>34.130517936956039</v>
          </cell>
          <cell r="AD27">
            <v>537.25641521196144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3">
          <cell r="J33">
            <v>284.23662076835359</v>
          </cell>
          <cell r="K33">
            <v>225.92064251697104</v>
          </cell>
          <cell r="L33">
            <v>11.530276341320102</v>
          </cell>
          <cell r="M33">
            <v>17.857980811753563</v>
          </cell>
          <cell r="N33">
            <v>2.2686915517406581</v>
          </cell>
          <cell r="O33">
            <v>0.10993891272895685</v>
          </cell>
          <cell r="P33">
            <v>3.5829738516562673</v>
          </cell>
          <cell r="Q33">
            <v>0.95867892062420434</v>
          </cell>
          <cell r="R33">
            <v>0.79249234894397602</v>
          </cell>
          <cell r="S33">
            <v>1.6559165100394773</v>
          </cell>
          <cell r="T33">
            <v>3.0583846707452196</v>
          </cell>
          <cell r="U33">
            <v>1.1070111268836367</v>
          </cell>
          <cell r="V33">
            <v>0</v>
          </cell>
          <cell r="W33">
            <v>1.5927281098649353</v>
          </cell>
          <cell r="X33">
            <v>1.3379644597162943</v>
          </cell>
          <cell r="Y33">
            <v>3.0228040974189261</v>
          </cell>
          <cell r="Z33">
            <v>0</v>
          </cell>
          <cell r="AA33">
            <v>1.0713968278954236</v>
          </cell>
          <cell r="AB33">
            <v>0.10761858718881567</v>
          </cell>
          <cell r="AC33">
            <v>0.51775636180592233</v>
          </cell>
          <cell r="AD33">
            <v>8.1501232243487554</v>
          </cell>
        </row>
      </sheetData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3" displayName="__Anonymous_Sheet_DB__03" ref="A11:AMJ61" headerRowCount="0" totalsRowShown="0">
  <sortState xmlns:xlrd2="http://schemas.microsoft.com/office/spreadsheetml/2017/richdata2" ref="A11:AMJ61">
    <sortCondition descending="1" ref="D11:D61"/>
  </sortState>
  <tableColumns count="1024">
    <tableColumn id="1" xr3:uid="{00000000-0010-0000-0000-000001000000}" name="Kolom1"/>
    <tableColumn id="2" xr3:uid="{00000000-0010-0000-0000-000002000000}" name="Kolom2"/>
    <tableColumn id="3" xr3:uid="{00000000-0010-0000-0000-000003000000}" name="Kolom3"/>
    <tableColumn id="4" xr3:uid="{00000000-0010-0000-0000-000004000000}" name="Kolom4"/>
    <tableColumn id="5" xr3:uid="{00000000-0010-0000-0000-000005000000}" name="Kolom5"/>
    <tableColumn id="6" xr3:uid="{00000000-0010-0000-0000-000006000000}" name="Kolom6"/>
    <tableColumn id="7" xr3:uid="{00000000-0010-0000-0000-000007000000}" name="Kolom7"/>
    <tableColumn id="8" xr3:uid="{00000000-0010-0000-0000-000008000000}" name="Kolom8"/>
    <tableColumn id="9" xr3:uid="{00000000-0010-0000-0000-000009000000}" name="Kolom9"/>
    <tableColumn id="10" xr3:uid="{00000000-0010-0000-0000-00000A000000}" name="Kolom10"/>
    <tableColumn id="11" xr3:uid="{00000000-0010-0000-0000-00000B000000}" name="Kolom11"/>
    <tableColumn id="12" xr3:uid="{00000000-0010-0000-0000-00000C000000}" name="Kolom12"/>
    <tableColumn id="13" xr3:uid="{00000000-0010-0000-0000-00000D000000}" name="Kolom13"/>
    <tableColumn id="14" xr3:uid="{00000000-0010-0000-0000-00000E000000}" name="Kolom14"/>
    <tableColumn id="15" xr3:uid="{00000000-0010-0000-0000-00000F000000}" name="Kolom15"/>
    <tableColumn id="16" xr3:uid="{00000000-0010-0000-0000-000010000000}" name="Kolom16"/>
    <tableColumn id="17" xr3:uid="{00000000-0010-0000-0000-000011000000}" name="Kolom17"/>
    <tableColumn id="18" xr3:uid="{00000000-0010-0000-0000-000012000000}" name="Kolom18"/>
    <tableColumn id="19" xr3:uid="{00000000-0010-0000-0000-000013000000}" name="Kolom19"/>
    <tableColumn id="20" xr3:uid="{00000000-0010-0000-0000-000014000000}" name="Kolom20"/>
    <tableColumn id="21" xr3:uid="{00000000-0010-0000-0000-000015000000}" name="Kolom21"/>
    <tableColumn id="22" xr3:uid="{00000000-0010-0000-0000-000016000000}" name="Kolom22"/>
    <tableColumn id="23" xr3:uid="{00000000-0010-0000-0000-000017000000}" name="Kolom23"/>
    <tableColumn id="24" xr3:uid="{00000000-0010-0000-0000-000018000000}" name="Kolom24"/>
    <tableColumn id="25" xr3:uid="{00000000-0010-0000-0000-000019000000}" name="Kolom25"/>
    <tableColumn id="26" xr3:uid="{00000000-0010-0000-0000-00001A000000}" name="Kolom26"/>
    <tableColumn id="27" xr3:uid="{00000000-0010-0000-0000-00001B000000}" name="Kolom27"/>
    <tableColumn id="28" xr3:uid="{00000000-0010-0000-0000-00001C000000}" name="Kolom28"/>
    <tableColumn id="29" xr3:uid="{00000000-0010-0000-0000-00001D000000}" name="Kolom29"/>
    <tableColumn id="30" xr3:uid="{00000000-0010-0000-0000-00001E000000}" name="Kolom30"/>
    <tableColumn id="31" xr3:uid="{00000000-0010-0000-0000-00001F000000}" name="Kolom31"/>
    <tableColumn id="32" xr3:uid="{00000000-0010-0000-0000-000020000000}" name="Kolom32"/>
    <tableColumn id="33" xr3:uid="{00000000-0010-0000-0000-000021000000}" name="Kolom33"/>
    <tableColumn id="34" xr3:uid="{00000000-0010-0000-0000-000022000000}" name="Kolom34"/>
    <tableColumn id="35" xr3:uid="{00000000-0010-0000-0000-000023000000}" name="Kolom35"/>
    <tableColumn id="36" xr3:uid="{00000000-0010-0000-0000-000024000000}" name="Kolom36"/>
    <tableColumn id="37" xr3:uid="{00000000-0010-0000-0000-000025000000}" name="Kolom37"/>
    <tableColumn id="38" xr3:uid="{00000000-0010-0000-0000-000026000000}" name="Kolom38"/>
    <tableColumn id="39" xr3:uid="{00000000-0010-0000-0000-000027000000}" name="Kolom39"/>
    <tableColumn id="40" xr3:uid="{00000000-0010-0000-0000-000028000000}" name="Kolom40"/>
    <tableColumn id="41" xr3:uid="{00000000-0010-0000-0000-000029000000}" name="Kolom41"/>
    <tableColumn id="42" xr3:uid="{00000000-0010-0000-0000-00002A000000}" name="Kolom42"/>
    <tableColumn id="43" xr3:uid="{00000000-0010-0000-0000-00002B000000}" name="Kolom43"/>
    <tableColumn id="44" xr3:uid="{00000000-0010-0000-0000-00002C000000}" name="Kolom44"/>
    <tableColumn id="45" xr3:uid="{00000000-0010-0000-0000-00002D000000}" name="Kolom45"/>
    <tableColumn id="46" xr3:uid="{00000000-0010-0000-0000-00002E000000}" name="Kolom46"/>
    <tableColumn id="47" xr3:uid="{00000000-0010-0000-0000-00002F000000}" name="Kolom47"/>
    <tableColumn id="48" xr3:uid="{00000000-0010-0000-0000-000030000000}" name="Kolom48"/>
    <tableColumn id="49" xr3:uid="{00000000-0010-0000-0000-000031000000}" name="Kolom49"/>
    <tableColumn id="50" xr3:uid="{00000000-0010-0000-0000-000032000000}" name="Kolom50"/>
    <tableColumn id="51" xr3:uid="{00000000-0010-0000-0000-000033000000}" name="Kolom51"/>
    <tableColumn id="52" xr3:uid="{00000000-0010-0000-0000-000034000000}" name="Kolom52"/>
    <tableColumn id="53" xr3:uid="{00000000-0010-0000-0000-000035000000}" name="Kolom53"/>
    <tableColumn id="54" xr3:uid="{00000000-0010-0000-0000-000036000000}" name="Kolom54"/>
    <tableColumn id="55" xr3:uid="{00000000-0010-0000-0000-000037000000}" name="Kolom55"/>
    <tableColumn id="56" xr3:uid="{00000000-0010-0000-0000-000038000000}" name="Kolom56"/>
    <tableColumn id="57" xr3:uid="{00000000-0010-0000-0000-000039000000}" name="Kolom57"/>
    <tableColumn id="58" xr3:uid="{00000000-0010-0000-0000-00003A000000}" name="Kolom58"/>
    <tableColumn id="59" xr3:uid="{00000000-0010-0000-0000-00003B000000}" name="Kolom59"/>
    <tableColumn id="60" xr3:uid="{00000000-0010-0000-0000-00003C000000}" name="Kolom60"/>
    <tableColumn id="61" xr3:uid="{00000000-0010-0000-0000-00003D000000}" name="Kolom61"/>
    <tableColumn id="62" xr3:uid="{00000000-0010-0000-0000-00003E000000}" name="Kolom62"/>
    <tableColumn id="63" xr3:uid="{00000000-0010-0000-0000-00003F000000}" name="Kolom63"/>
    <tableColumn id="64" xr3:uid="{00000000-0010-0000-0000-000040000000}" name="Kolom64"/>
    <tableColumn id="65" xr3:uid="{00000000-0010-0000-0000-000041000000}" name="Kolom65"/>
    <tableColumn id="66" xr3:uid="{00000000-0010-0000-0000-000042000000}" name="Kolom66"/>
    <tableColumn id="67" xr3:uid="{00000000-0010-0000-0000-000043000000}" name="Kolom67"/>
    <tableColumn id="68" xr3:uid="{00000000-0010-0000-0000-000044000000}" name="Kolom68"/>
    <tableColumn id="69" xr3:uid="{00000000-0010-0000-0000-000045000000}" name="Kolom69"/>
    <tableColumn id="70" xr3:uid="{00000000-0010-0000-0000-000046000000}" name="Kolom70"/>
    <tableColumn id="71" xr3:uid="{00000000-0010-0000-0000-000047000000}" name="Kolom71"/>
    <tableColumn id="72" xr3:uid="{00000000-0010-0000-0000-000048000000}" name="Kolom72"/>
    <tableColumn id="73" xr3:uid="{00000000-0010-0000-0000-000049000000}" name="Kolom73"/>
    <tableColumn id="74" xr3:uid="{00000000-0010-0000-0000-00004A000000}" name="Kolom74"/>
    <tableColumn id="75" xr3:uid="{00000000-0010-0000-0000-00004B000000}" name="Kolom75"/>
    <tableColumn id="76" xr3:uid="{00000000-0010-0000-0000-00004C000000}" name="Kolom76"/>
    <tableColumn id="77" xr3:uid="{00000000-0010-0000-0000-00004D000000}" name="Kolom77"/>
    <tableColumn id="78" xr3:uid="{00000000-0010-0000-0000-00004E000000}" name="Kolom78"/>
    <tableColumn id="79" xr3:uid="{00000000-0010-0000-0000-00004F000000}" name="Kolom79"/>
    <tableColumn id="80" xr3:uid="{00000000-0010-0000-0000-000050000000}" name="Kolom80"/>
    <tableColumn id="81" xr3:uid="{00000000-0010-0000-0000-000051000000}" name="Kolom81"/>
    <tableColumn id="82" xr3:uid="{00000000-0010-0000-0000-000052000000}" name="Kolom82"/>
    <tableColumn id="83" xr3:uid="{00000000-0010-0000-0000-000053000000}" name="Kolom83"/>
    <tableColumn id="84" xr3:uid="{00000000-0010-0000-0000-000054000000}" name="Kolom84"/>
    <tableColumn id="85" xr3:uid="{00000000-0010-0000-0000-000055000000}" name="Kolom85"/>
    <tableColumn id="86" xr3:uid="{00000000-0010-0000-0000-000056000000}" name="Kolom86"/>
    <tableColumn id="87" xr3:uid="{00000000-0010-0000-0000-000057000000}" name="Kolom87"/>
    <tableColumn id="88" xr3:uid="{00000000-0010-0000-0000-000058000000}" name="Kolom88"/>
    <tableColumn id="89" xr3:uid="{00000000-0010-0000-0000-000059000000}" name="Kolom89"/>
    <tableColumn id="90" xr3:uid="{00000000-0010-0000-0000-00005A000000}" name="Kolom90"/>
    <tableColumn id="91" xr3:uid="{00000000-0010-0000-0000-00005B000000}" name="Kolom91"/>
    <tableColumn id="92" xr3:uid="{00000000-0010-0000-0000-00005C000000}" name="Kolom92"/>
    <tableColumn id="93" xr3:uid="{00000000-0010-0000-0000-00005D000000}" name="Kolom93"/>
    <tableColumn id="94" xr3:uid="{00000000-0010-0000-0000-00005E000000}" name="Kolom94"/>
    <tableColumn id="95" xr3:uid="{00000000-0010-0000-0000-00005F000000}" name="Kolom95"/>
    <tableColumn id="96" xr3:uid="{00000000-0010-0000-0000-000060000000}" name="Kolom96"/>
    <tableColumn id="97" xr3:uid="{00000000-0010-0000-0000-000061000000}" name="Kolom97"/>
    <tableColumn id="98" xr3:uid="{00000000-0010-0000-0000-000062000000}" name="Kolom98"/>
    <tableColumn id="99" xr3:uid="{00000000-0010-0000-0000-000063000000}" name="Kolom99"/>
    <tableColumn id="100" xr3:uid="{00000000-0010-0000-0000-000064000000}" name="Kolom100"/>
    <tableColumn id="101" xr3:uid="{00000000-0010-0000-0000-000065000000}" name="Kolom101"/>
    <tableColumn id="102" xr3:uid="{00000000-0010-0000-0000-000066000000}" name="Kolom102"/>
    <tableColumn id="103" xr3:uid="{00000000-0010-0000-0000-000067000000}" name="Kolom103"/>
    <tableColumn id="104" xr3:uid="{00000000-0010-0000-0000-000068000000}" name="Kolom104"/>
    <tableColumn id="105" xr3:uid="{00000000-0010-0000-0000-000069000000}" name="Kolom105"/>
    <tableColumn id="106" xr3:uid="{00000000-0010-0000-0000-00006A000000}" name="Kolom106"/>
    <tableColumn id="107" xr3:uid="{00000000-0010-0000-0000-00006B000000}" name="Kolom107"/>
    <tableColumn id="108" xr3:uid="{00000000-0010-0000-0000-00006C000000}" name="Kolom108"/>
    <tableColumn id="109" xr3:uid="{00000000-0010-0000-0000-00006D000000}" name="Kolom109"/>
    <tableColumn id="110" xr3:uid="{00000000-0010-0000-0000-00006E000000}" name="Kolom110"/>
    <tableColumn id="111" xr3:uid="{00000000-0010-0000-0000-00006F000000}" name="Kolom111"/>
    <tableColumn id="112" xr3:uid="{00000000-0010-0000-0000-000070000000}" name="Kolom112"/>
    <tableColumn id="113" xr3:uid="{00000000-0010-0000-0000-000071000000}" name="Kolom113"/>
    <tableColumn id="114" xr3:uid="{00000000-0010-0000-0000-000072000000}" name="Kolom114"/>
    <tableColumn id="115" xr3:uid="{00000000-0010-0000-0000-000073000000}" name="Kolom115"/>
    <tableColumn id="116" xr3:uid="{00000000-0010-0000-0000-000074000000}" name="Kolom116"/>
    <tableColumn id="117" xr3:uid="{00000000-0010-0000-0000-000075000000}" name="Kolom117"/>
    <tableColumn id="118" xr3:uid="{00000000-0010-0000-0000-000076000000}" name="Kolom118"/>
    <tableColumn id="119" xr3:uid="{00000000-0010-0000-0000-000077000000}" name="Kolom119"/>
    <tableColumn id="120" xr3:uid="{00000000-0010-0000-0000-000078000000}" name="Kolom120"/>
    <tableColumn id="121" xr3:uid="{00000000-0010-0000-0000-000079000000}" name="Kolom121"/>
    <tableColumn id="122" xr3:uid="{00000000-0010-0000-0000-00007A000000}" name="Kolom122"/>
    <tableColumn id="123" xr3:uid="{00000000-0010-0000-0000-00007B000000}" name="Kolom123"/>
    <tableColumn id="124" xr3:uid="{00000000-0010-0000-0000-00007C000000}" name="Kolom124"/>
    <tableColumn id="125" xr3:uid="{00000000-0010-0000-0000-00007D000000}" name="Kolom125"/>
    <tableColumn id="126" xr3:uid="{00000000-0010-0000-0000-00007E000000}" name="Kolom126"/>
    <tableColumn id="127" xr3:uid="{00000000-0010-0000-0000-00007F000000}" name="Kolom127"/>
    <tableColumn id="128" xr3:uid="{00000000-0010-0000-0000-000080000000}" name="Kolom128"/>
    <tableColumn id="129" xr3:uid="{00000000-0010-0000-0000-000081000000}" name="Kolom129"/>
    <tableColumn id="130" xr3:uid="{00000000-0010-0000-0000-000082000000}" name="Kolom130"/>
    <tableColumn id="131" xr3:uid="{00000000-0010-0000-0000-000083000000}" name="Kolom131"/>
    <tableColumn id="132" xr3:uid="{00000000-0010-0000-0000-000084000000}" name="Kolom132"/>
    <tableColumn id="133" xr3:uid="{00000000-0010-0000-0000-000085000000}" name="Kolom133"/>
    <tableColumn id="134" xr3:uid="{00000000-0010-0000-0000-000086000000}" name="Kolom134"/>
    <tableColumn id="135" xr3:uid="{00000000-0010-0000-0000-000087000000}" name="Kolom135"/>
    <tableColumn id="136" xr3:uid="{00000000-0010-0000-0000-000088000000}" name="Kolom136"/>
    <tableColumn id="137" xr3:uid="{00000000-0010-0000-0000-000089000000}" name="Kolom137"/>
    <tableColumn id="138" xr3:uid="{00000000-0010-0000-0000-00008A000000}" name="Kolom138"/>
    <tableColumn id="139" xr3:uid="{00000000-0010-0000-0000-00008B000000}" name="Kolom139"/>
    <tableColumn id="140" xr3:uid="{00000000-0010-0000-0000-00008C000000}" name="Kolom140"/>
    <tableColumn id="141" xr3:uid="{00000000-0010-0000-0000-00008D000000}" name="Kolom141"/>
    <tableColumn id="142" xr3:uid="{00000000-0010-0000-0000-00008E000000}" name="Kolom142"/>
    <tableColumn id="143" xr3:uid="{00000000-0010-0000-0000-00008F000000}" name="Kolom143"/>
    <tableColumn id="144" xr3:uid="{00000000-0010-0000-0000-000090000000}" name="Kolom144"/>
    <tableColumn id="145" xr3:uid="{00000000-0010-0000-0000-000091000000}" name="Kolom145"/>
    <tableColumn id="146" xr3:uid="{00000000-0010-0000-0000-000092000000}" name="Kolom146"/>
    <tableColumn id="147" xr3:uid="{00000000-0010-0000-0000-000093000000}" name="Kolom147"/>
    <tableColumn id="148" xr3:uid="{00000000-0010-0000-0000-000094000000}" name="Kolom148"/>
    <tableColumn id="149" xr3:uid="{00000000-0010-0000-0000-000095000000}" name="Kolom149"/>
    <tableColumn id="150" xr3:uid="{00000000-0010-0000-0000-000096000000}" name="Kolom150"/>
    <tableColumn id="151" xr3:uid="{00000000-0010-0000-0000-000097000000}" name="Kolom151"/>
    <tableColumn id="152" xr3:uid="{00000000-0010-0000-0000-000098000000}" name="Kolom152"/>
    <tableColumn id="153" xr3:uid="{00000000-0010-0000-0000-000099000000}" name="Kolom153"/>
    <tableColumn id="154" xr3:uid="{00000000-0010-0000-0000-00009A000000}" name="Kolom154"/>
    <tableColumn id="155" xr3:uid="{00000000-0010-0000-0000-00009B000000}" name="Kolom155"/>
    <tableColumn id="156" xr3:uid="{00000000-0010-0000-0000-00009C000000}" name="Kolom156"/>
    <tableColumn id="157" xr3:uid="{00000000-0010-0000-0000-00009D000000}" name="Kolom157"/>
    <tableColumn id="158" xr3:uid="{00000000-0010-0000-0000-00009E000000}" name="Kolom158"/>
    <tableColumn id="159" xr3:uid="{00000000-0010-0000-0000-00009F000000}" name="Kolom159"/>
    <tableColumn id="160" xr3:uid="{00000000-0010-0000-0000-0000A0000000}" name="Kolom160"/>
    <tableColumn id="161" xr3:uid="{00000000-0010-0000-0000-0000A1000000}" name="Kolom161"/>
    <tableColumn id="162" xr3:uid="{00000000-0010-0000-0000-0000A2000000}" name="Kolom162"/>
    <tableColumn id="163" xr3:uid="{00000000-0010-0000-0000-0000A3000000}" name="Kolom163"/>
    <tableColumn id="164" xr3:uid="{00000000-0010-0000-0000-0000A4000000}" name="Kolom164"/>
    <tableColumn id="165" xr3:uid="{00000000-0010-0000-0000-0000A5000000}" name="Kolom165"/>
    <tableColumn id="166" xr3:uid="{00000000-0010-0000-0000-0000A6000000}" name="Kolom166"/>
    <tableColumn id="167" xr3:uid="{00000000-0010-0000-0000-0000A7000000}" name="Kolom167"/>
    <tableColumn id="168" xr3:uid="{00000000-0010-0000-0000-0000A8000000}" name="Kolom168"/>
    <tableColumn id="169" xr3:uid="{00000000-0010-0000-0000-0000A9000000}" name="Kolom169"/>
    <tableColumn id="170" xr3:uid="{00000000-0010-0000-0000-0000AA000000}" name="Kolom170"/>
    <tableColumn id="171" xr3:uid="{00000000-0010-0000-0000-0000AB000000}" name="Kolom171"/>
    <tableColumn id="172" xr3:uid="{00000000-0010-0000-0000-0000AC000000}" name="Kolom172"/>
    <tableColumn id="173" xr3:uid="{00000000-0010-0000-0000-0000AD000000}" name="Kolom173"/>
    <tableColumn id="174" xr3:uid="{00000000-0010-0000-0000-0000AE000000}" name="Kolom174"/>
    <tableColumn id="175" xr3:uid="{00000000-0010-0000-0000-0000AF000000}" name="Kolom175"/>
    <tableColumn id="176" xr3:uid="{00000000-0010-0000-0000-0000B0000000}" name="Kolom176"/>
    <tableColumn id="177" xr3:uid="{00000000-0010-0000-0000-0000B1000000}" name="Kolom177"/>
    <tableColumn id="178" xr3:uid="{00000000-0010-0000-0000-0000B2000000}" name="Kolom178"/>
    <tableColumn id="179" xr3:uid="{00000000-0010-0000-0000-0000B3000000}" name="Kolom179"/>
    <tableColumn id="180" xr3:uid="{00000000-0010-0000-0000-0000B4000000}" name="Kolom180"/>
    <tableColumn id="181" xr3:uid="{00000000-0010-0000-0000-0000B5000000}" name="Kolom181"/>
    <tableColumn id="182" xr3:uid="{00000000-0010-0000-0000-0000B6000000}" name="Kolom182"/>
    <tableColumn id="183" xr3:uid="{00000000-0010-0000-0000-0000B7000000}" name="Kolom183"/>
    <tableColumn id="184" xr3:uid="{00000000-0010-0000-0000-0000B8000000}" name="Kolom184"/>
    <tableColumn id="185" xr3:uid="{00000000-0010-0000-0000-0000B9000000}" name="Kolom185"/>
    <tableColumn id="186" xr3:uid="{00000000-0010-0000-0000-0000BA000000}" name="Kolom186"/>
    <tableColumn id="187" xr3:uid="{00000000-0010-0000-0000-0000BB000000}" name="Kolom187"/>
    <tableColumn id="188" xr3:uid="{00000000-0010-0000-0000-0000BC000000}" name="Kolom188"/>
    <tableColumn id="189" xr3:uid="{00000000-0010-0000-0000-0000BD000000}" name="Kolom189"/>
    <tableColumn id="190" xr3:uid="{00000000-0010-0000-0000-0000BE000000}" name="Kolom190"/>
    <tableColumn id="191" xr3:uid="{00000000-0010-0000-0000-0000BF000000}" name="Kolom191"/>
    <tableColumn id="192" xr3:uid="{00000000-0010-0000-0000-0000C0000000}" name="Kolom192"/>
    <tableColumn id="193" xr3:uid="{00000000-0010-0000-0000-0000C1000000}" name="Kolom193"/>
    <tableColumn id="194" xr3:uid="{00000000-0010-0000-0000-0000C2000000}" name="Kolom194"/>
    <tableColumn id="195" xr3:uid="{00000000-0010-0000-0000-0000C3000000}" name="Kolom195"/>
    <tableColumn id="196" xr3:uid="{00000000-0010-0000-0000-0000C4000000}" name="Kolom196"/>
    <tableColumn id="197" xr3:uid="{00000000-0010-0000-0000-0000C5000000}" name="Kolom197"/>
    <tableColumn id="198" xr3:uid="{00000000-0010-0000-0000-0000C6000000}" name="Kolom198"/>
    <tableColumn id="199" xr3:uid="{00000000-0010-0000-0000-0000C7000000}" name="Kolom199"/>
    <tableColumn id="200" xr3:uid="{00000000-0010-0000-0000-0000C8000000}" name="Kolom200"/>
    <tableColumn id="201" xr3:uid="{00000000-0010-0000-0000-0000C9000000}" name="Kolom201"/>
    <tableColumn id="202" xr3:uid="{00000000-0010-0000-0000-0000CA000000}" name="Kolom202"/>
    <tableColumn id="203" xr3:uid="{00000000-0010-0000-0000-0000CB000000}" name="Kolom203"/>
    <tableColumn id="204" xr3:uid="{00000000-0010-0000-0000-0000CC000000}" name="Kolom204"/>
    <tableColumn id="205" xr3:uid="{00000000-0010-0000-0000-0000CD000000}" name="Kolom205"/>
    <tableColumn id="206" xr3:uid="{00000000-0010-0000-0000-0000CE000000}" name="Kolom206"/>
    <tableColumn id="207" xr3:uid="{00000000-0010-0000-0000-0000CF000000}" name="Kolom207"/>
    <tableColumn id="208" xr3:uid="{00000000-0010-0000-0000-0000D0000000}" name="Kolom208"/>
    <tableColumn id="209" xr3:uid="{00000000-0010-0000-0000-0000D1000000}" name="Kolom209"/>
    <tableColumn id="210" xr3:uid="{00000000-0010-0000-0000-0000D2000000}" name="Kolom210"/>
    <tableColumn id="211" xr3:uid="{00000000-0010-0000-0000-0000D3000000}" name="Kolom211"/>
    <tableColumn id="212" xr3:uid="{00000000-0010-0000-0000-0000D4000000}" name="Kolom212"/>
    <tableColumn id="213" xr3:uid="{00000000-0010-0000-0000-0000D5000000}" name="Kolom213"/>
    <tableColumn id="214" xr3:uid="{00000000-0010-0000-0000-0000D6000000}" name="Kolom214"/>
    <tableColumn id="215" xr3:uid="{00000000-0010-0000-0000-0000D7000000}" name="Kolom215"/>
    <tableColumn id="216" xr3:uid="{00000000-0010-0000-0000-0000D8000000}" name="Kolom216"/>
    <tableColumn id="217" xr3:uid="{00000000-0010-0000-0000-0000D9000000}" name="Kolom217"/>
    <tableColumn id="218" xr3:uid="{00000000-0010-0000-0000-0000DA000000}" name="Kolom218"/>
    <tableColumn id="219" xr3:uid="{00000000-0010-0000-0000-0000DB000000}" name="Kolom219"/>
    <tableColumn id="220" xr3:uid="{00000000-0010-0000-0000-0000DC000000}" name="Kolom220"/>
    <tableColumn id="221" xr3:uid="{00000000-0010-0000-0000-0000DD000000}" name="Kolom221"/>
    <tableColumn id="222" xr3:uid="{00000000-0010-0000-0000-0000DE000000}" name="Kolom222"/>
    <tableColumn id="223" xr3:uid="{00000000-0010-0000-0000-0000DF000000}" name="Kolom223"/>
    <tableColumn id="224" xr3:uid="{00000000-0010-0000-0000-0000E0000000}" name="Kolom224"/>
    <tableColumn id="225" xr3:uid="{00000000-0010-0000-0000-0000E1000000}" name="Kolom225"/>
    <tableColumn id="226" xr3:uid="{00000000-0010-0000-0000-0000E2000000}" name="Kolom226"/>
    <tableColumn id="227" xr3:uid="{00000000-0010-0000-0000-0000E3000000}" name="Kolom227"/>
    <tableColumn id="228" xr3:uid="{00000000-0010-0000-0000-0000E4000000}" name="Kolom228"/>
    <tableColumn id="229" xr3:uid="{00000000-0010-0000-0000-0000E5000000}" name="Kolom229"/>
    <tableColumn id="230" xr3:uid="{00000000-0010-0000-0000-0000E6000000}" name="Kolom230"/>
    <tableColumn id="231" xr3:uid="{00000000-0010-0000-0000-0000E7000000}" name="Kolom231"/>
    <tableColumn id="232" xr3:uid="{00000000-0010-0000-0000-0000E8000000}" name="Kolom232"/>
    <tableColumn id="233" xr3:uid="{00000000-0010-0000-0000-0000E9000000}" name="Kolom233"/>
    <tableColumn id="234" xr3:uid="{00000000-0010-0000-0000-0000EA000000}" name="Kolom234"/>
    <tableColumn id="235" xr3:uid="{00000000-0010-0000-0000-0000EB000000}" name="Kolom235"/>
    <tableColumn id="236" xr3:uid="{00000000-0010-0000-0000-0000EC000000}" name="Kolom236"/>
    <tableColumn id="237" xr3:uid="{00000000-0010-0000-0000-0000ED000000}" name="Kolom237"/>
    <tableColumn id="238" xr3:uid="{00000000-0010-0000-0000-0000EE000000}" name="Kolom238"/>
    <tableColumn id="239" xr3:uid="{00000000-0010-0000-0000-0000EF000000}" name="Kolom239"/>
    <tableColumn id="240" xr3:uid="{00000000-0010-0000-0000-0000F0000000}" name="Kolom240"/>
    <tableColumn id="241" xr3:uid="{00000000-0010-0000-0000-0000F1000000}" name="Kolom241"/>
    <tableColumn id="242" xr3:uid="{00000000-0010-0000-0000-0000F2000000}" name="Kolom242"/>
    <tableColumn id="243" xr3:uid="{00000000-0010-0000-0000-0000F3000000}" name="Kolom243"/>
    <tableColumn id="244" xr3:uid="{00000000-0010-0000-0000-0000F4000000}" name="Kolom244"/>
    <tableColumn id="245" xr3:uid="{00000000-0010-0000-0000-0000F5000000}" name="Kolom245"/>
    <tableColumn id="246" xr3:uid="{00000000-0010-0000-0000-0000F6000000}" name="Kolom246"/>
    <tableColumn id="247" xr3:uid="{00000000-0010-0000-0000-0000F7000000}" name="Kolom247"/>
    <tableColumn id="248" xr3:uid="{00000000-0010-0000-0000-0000F8000000}" name="Kolom248"/>
    <tableColumn id="249" xr3:uid="{00000000-0010-0000-0000-0000F9000000}" name="Kolom249"/>
    <tableColumn id="250" xr3:uid="{00000000-0010-0000-0000-0000FA000000}" name="Kolom250"/>
    <tableColumn id="251" xr3:uid="{00000000-0010-0000-0000-0000FB000000}" name="Kolom251"/>
    <tableColumn id="252" xr3:uid="{00000000-0010-0000-0000-0000FC000000}" name="Kolom252"/>
    <tableColumn id="253" xr3:uid="{00000000-0010-0000-0000-0000FD000000}" name="Kolom253"/>
    <tableColumn id="254" xr3:uid="{00000000-0010-0000-0000-0000FE000000}" name="Kolom254"/>
    <tableColumn id="255" xr3:uid="{00000000-0010-0000-0000-0000FF000000}" name="Kolom255"/>
    <tableColumn id="256" xr3:uid="{00000000-0010-0000-0000-000000010000}" name="Kolom256"/>
    <tableColumn id="257" xr3:uid="{00000000-0010-0000-0000-000001010000}" name="Kolom257"/>
    <tableColumn id="258" xr3:uid="{00000000-0010-0000-0000-000002010000}" name="Kolom258"/>
    <tableColumn id="259" xr3:uid="{00000000-0010-0000-0000-000003010000}" name="Kolom259"/>
    <tableColumn id="260" xr3:uid="{00000000-0010-0000-0000-000004010000}" name="Kolom260"/>
    <tableColumn id="261" xr3:uid="{00000000-0010-0000-0000-000005010000}" name="Kolom261"/>
    <tableColumn id="262" xr3:uid="{00000000-0010-0000-0000-000006010000}" name="Kolom262"/>
    <tableColumn id="263" xr3:uid="{00000000-0010-0000-0000-000007010000}" name="Kolom263"/>
    <tableColumn id="264" xr3:uid="{00000000-0010-0000-0000-000008010000}" name="Kolom264"/>
    <tableColumn id="265" xr3:uid="{00000000-0010-0000-0000-000009010000}" name="Kolom265"/>
    <tableColumn id="266" xr3:uid="{00000000-0010-0000-0000-00000A010000}" name="Kolom266"/>
    <tableColumn id="267" xr3:uid="{00000000-0010-0000-0000-00000B010000}" name="Kolom267"/>
    <tableColumn id="268" xr3:uid="{00000000-0010-0000-0000-00000C010000}" name="Kolom268"/>
    <tableColumn id="269" xr3:uid="{00000000-0010-0000-0000-00000D010000}" name="Kolom269"/>
    <tableColumn id="270" xr3:uid="{00000000-0010-0000-0000-00000E010000}" name="Kolom270"/>
    <tableColumn id="271" xr3:uid="{00000000-0010-0000-0000-00000F010000}" name="Kolom271"/>
    <tableColumn id="272" xr3:uid="{00000000-0010-0000-0000-000010010000}" name="Kolom272"/>
    <tableColumn id="273" xr3:uid="{00000000-0010-0000-0000-000011010000}" name="Kolom273"/>
    <tableColumn id="274" xr3:uid="{00000000-0010-0000-0000-000012010000}" name="Kolom274"/>
    <tableColumn id="275" xr3:uid="{00000000-0010-0000-0000-000013010000}" name="Kolom275"/>
    <tableColumn id="276" xr3:uid="{00000000-0010-0000-0000-000014010000}" name="Kolom276"/>
    <tableColumn id="277" xr3:uid="{00000000-0010-0000-0000-000015010000}" name="Kolom277"/>
    <tableColumn id="278" xr3:uid="{00000000-0010-0000-0000-000016010000}" name="Kolom278"/>
    <tableColumn id="279" xr3:uid="{00000000-0010-0000-0000-000017010000}" name="Kolom279"/>
    <tableColumn id="280" xr3:uid="{00000000-0010-0000-0000-000018010000}" name="Kolom280"/>
    <tableColumn id="281" xr3:uid="{00000000-0010-0000-0000-000019010000}" name="Kolom281"/>
    <tableColumn id="282" xr3:uid="{00000000-0010-0000-0000-00001A010000}" name="Kolom282"/>
    <tableColumn id="283" xr3:uid="{00000000-0010-0000-0000-00001B010000}" name="Kolom283"/>
    <tableColumn id="284" xr3:uid="{00000000-0010-0000-0000-00001C010000}" name="Kolom284"/>
    <tableColumn id="285" xr3:uid="{00000000-0010-0000-0000-00001D010000}" name="Kolom285"/>
    <tableColumn id="286" xr3:uid="{00000000-0010-0000-0000-00001E010000}" name="Kolom286"/>
    <tableColumn id="287" xr3:uid="{00000000-0010-0000-0000-00001F010000}" name="Kolom287"/>
    <tableColumn id="288" xr3:uid="{00000000-0010-0000-0000-000020010000}" name="Kolom288"/>
    <tableColumn id="289" xr3:uid="{00000000-0010-0000-0000-000021010000}" name="Kolom289"/>
    <tableColumn id="290" xr3:uid="{00000000-0010-0000-0000-000022010000}" name="Kolom290"/>
    <tableColumn id="291" xr3:uid="{00000000-0010-0000-0000-000023010000}" name="Kolom291"/>
    <tableColumn id="292" xr3:uid="{00000000-0010-0000-0000-000024010000}" name="Kolom292"/>
    <tableColumn id="293" xr3:uid="{00000000-0010-0000-0000-000025010000}" name="Kolom293"/>
    <tableColumn id="294" xr3:uid="{00000000-0010-0000-0000-000026010000}" name="Kolom294"/>
    <tableColumn id="295" xr3:uid="{00000000-0010-0000-0000-000027010000}" name="Kolom295"/>
    <tableColumn id="296" xr3:uid="{00000000-0010-0000-0000-000028010000}" name="Kolom296"/>
    <tableColumn id="297" xr3:uid="{00000000-0010-0000-0000-000029010000}" name="Kolom297"/>
    <tableColumn id="298" xr3:uid="{00000000-0010-0000-0000-00002A010000}" name="Kolom298"/>
    <tableColumn id="299" xr3:uid="{00000000-0010-0000-0000-00002B010000}" name="Kolom299"/>
    <tableColumn id="300" xr3:uid="{00000000-0010-0000-0000-00002C010000}" name="Kolom300"/>
    <tableColumn id="301" xr3:uid="{00000000-0010-0000-0000-00002D010000}" name="Kolom301"/>
    <tableColumn id="302" xr3:uid="{00000000-0010-0000-0000-00002E010000}" name="Kolom302"/>
    <tableColumn id="303" xr3:uid="{00000000-0010-0000-0000-00002F010000}" name="Kolom303"/>
    <tableColumn id="304" xr3:uid="{00000000-0010-0000-0000-000030010000}" name="Kolom304"/>
    <tableColumn id="305" xr3:uid="{00000000-0010-0000-0000-000031010000}" name="Kolom305"/>
    <tableColumn id="306" xr3:uid="{00000000-0010-0000-0000-000032010000}" name="Kolom306"/>
    <tableColumn id="307" xr3:uid="{00000000-0010-0000-0000-000033010000}" name="Kolom307"/>
    <tableColumn id="308" xr3:uid="{00000000-0010-0000-0000-000034010000}" name="Kolom308"/>
    <tableColumn id="309" xr3:uid="{00000000-0010-0000-0000-000035010000}" name="Kolom309"/>
    <tableColumn id="310" xr3:uid="{00000000-0010-0000-0000-000036010000}" name="Kolom310"/>
    <tableColumn id="311" xr3:uid="{00000000-0010-0000-0000-000037010000}" name="Kolom311"/>
    <tableColumn id="312" xr3:uid="{00000000-0010-0000-0000-000038010000}" name="Kolom312"/>
    <tableColumn id="313" xr3:uid="{00000000-0010-0000-0000-000039010000}" name="Kolom313"/>
    <tableColumn id="314" xr3:uid="{00000000-0010-0000-0000-00003A010000}" name="Kolom314"/>
    <tableColumn id="315" xr3:uid="{00000000-0010-0000-0000-00003B010000}" name="Kolom315"/>
    <tableColumn id="316" xr3:uid="{00000000-0010-0000-0000-00003C010000}" name="Kolom316"/>
    <tableColumn id="317" xr3:uid="{00000000-0010-0000-0000-00003D010000}" name="Kolom317"/>
    <tableColumn id="318" xr3:uid="{00000000-0010-0000-0000-00003E010000}" name="Kolom318"/>
    <tableColumn id="319" xr3:uid="{00000000-0010-0000-0000-00003F010000}" name="Kolom319"/>
    <tableColumn id="320" xr3:uid="{00000000-0010-0000-0000-000040010000}" name="Kolom320"/>
    <tableColumn id="321" xr3:uid="{00000000-0010-0000-0000-000041010000}" name="Kolom321"/>
    <tableColumn id="322" xr3:uid="{00000000-0010-0000-0000-000042010000}" name="Kolom322"/>
    <tableColumn id="323" xr3:uid="{00000000-0010-0000-0000-000043010000}" name="Kolom323"/>
    <tableColumn id="324" xr3:uid="{00000000-0010-0000-0000-000044010000}" name="Kolom324"/>
    <tableColumn id="325" xr3:uid="{00000000-0010-0000-0000-000045010000}" name="Kolom325"/>
    <tableColumn id="326" xr3:uid="{00000000-0010-0000-0000-000046010000}" name="Kolom326"/>
    <tableColumn id="327" xr3:uid="{00000000-0010-0000-0000-000047010000}" name="Kolom327"/>
    <tableColumn id="328" xr3:uid="{00000000-0010-0000-0000-000048010000}" name="Kolom328"/>
    <tableColumn id="329" xr3:uid="{00000000-0010-0000-0000-000049010000}" name="Kolom329"/>
    <tableColumn id="330" xr3:uid="{00000000-0010-0000-0000-00004A010000}" name="Kolom330"/>
    <tableColumn id="331" xr3:uid="{00000000-0010-0000-0000-00004B010000}" name="Kolom331"/>
    <tableColumn id="332" xr3:uid="{00000000-0010-0000-0000-00004C010000}" name="Kolom332"/>
    <tableColumn id="333" xr3:uid="{00000000-0010-0000-0000-00004D010000}" name="Kolom333"/>
    <tableColumn id="334" xr3:uid="{00000000-0010-0000-0000-00004E010000}" name="Kolom334"/>
    <tableColumn id="335" xr3:uid="{00000000-0010-0000-0000-00004F010000}" name="Kolom335"/>
    <tableColumn id="336" xr3:uid="{00000000-0010-0000-0000-000050010000}" name="Kolom336"/>
    <tableColumn id="337" xr3:uid="{00000000-0010-0000-0000-000051010000}" name="Kolom337"/>
    <tableColumn id="338" xr3:uid="{00000000-0010-0000-0000-000052010000}" name="Kolom338"/>
    <tableColumn id="339" xr3:uid="{00000000-0010-0000-0000-000053010000}" name="Kolom339"/>
    <tableColumn id="340" xr3:uid="{00000000-0010-0000-0000-000054010000}" name="Kolom340"/>
    <tableColumn id="341" xr3:uid="{00000000-0010-0000-0000-000055010000}" name="Kolom341"/>
    <tableColumn id="342" xr3:uid="{00000000-0010-0000-0000-000056010000}" name="Kolom342"/>
    <tableColumn id="343" xr3:uid="{00000000-0010-0000-0000-000057010000}" name="Kolom343"/>
    <tableColumn id="344" xr3:uid="{00000000-0010-0000-0000-000058010000}" name="Kolom344"/>
    <tableColumn id="345" xr3:uid="{00000000-0010-0000-0000-000059010000}" name="Kolom345"/>
    <tableColumn id="346" xr3:uid="{00000000-0010-0000-0000-00005A010000}" name="Kolom346"/>
    <tableColumn id="347" xr3:uid="{00000000-0010-0000-0000-00005B010000}" name="Kolom347"/>
    <tableColumn id="348" xr3:uid="{00000000-0010-0000-0000-00005C010000}" name="Kolom348"/>
    <tableColumn id="349" xr3:uid="{00000000-0010-0000-0000-00005D010000}" name="Kolom349"/>
    <tableColumn id="350" xr3:uid="{00000000-0010-0000-0000-00005E010000}" name="Kolom350"/>
    <tableColumn id="351" xr3:uid="{00000000-0010-0000-0000-00005F010000}" name="Kolom351"/>
    <tableColumn id="352" xr3:uid="{00000000-0010-0000-0000-000060010000}" name="Kolom352"/>
    <tableColumn id="353" xr3:uid="{00000000-0010-0000-0000-000061010000}" name="Kolom353"/>
    <tableColumn id="354" xr3:uid="{00000000-0010-0000-0000-000062010000}" name="Kolom354"/>
    <tableColumn id="355" xr3:uid="{00000000-0010-0000-0000-000063010000}" name="Kolom355"/>
    <tableColumn id="356" xr3:uid="{00000000-0010-0000-0000-000064010000}" name="Kolom356"/>
    <tableColumn id="357" xr3:uid="{00000000-0010-0000-0000-000065010000}" name="Kolom357"/>
    <tableColumn id="358" xr3:uid="{00000000-0010-0000-0000-000066010000}" name="Kolom358"/>
    <tableColumn id="359" xr3:uid="{00000000-0010-0000-0000-000067010000}" name="Kolom359"/>
    <tableColumn id="360" xr3:uid="{00000000-0010-0000-0000-000068010000}" name="Kolom360"/>
    <tableColumn id="361" xr3:uid="{00000000-0010-0000-0000-000069010000}" name="Kolom361"/>
    <tableColumn id="362" xr3:uid="{00000000-0010-0000-0000-00006A010000}" name="Kolom362"/>
    <tableColumn id="363" xr3:uid="{00000000-0010-0000-0000-00006B010000}" name="Kolom363"/>
    <tableColumn id="364" xr3:uid="{00000000-0010-0000-0000-00006C010000}" name="Kolom364"/>
    <tableColumn id="365" xr3:uid="{00000000-0010-0000-0000-00006D010000}" name="Kolom365"/>
    <tableColumn id="366" xr3:uid="{00000000-0010-0000-0000-00006E010000}" name="Kolom366"/>
    <tableColumn id="367" xr3:uid="{00000000-0010-0000-0000-00006F010000}" name="Kolom367"/>
    <tableColumn id="368" xr3:uid="{00000000-0010-0000-0000-000070010000}" name="Kolom368"/>
    <tableColumn id="369" xr3:uid="{00000000-0010-0000-0000-000071010000}" name="Kolom369"/>
    <tableColumn id="370" xr3:uid="{00000000-0010-0000-0000-000072010000}" name="Kolom370"/>
    <tableColumn id="371" xr3:uid="{00000000-0010-0000-0000-000073010000}" name="Kolom371"/>
    <tableColumn id="372" xr3:uid="{00000000-0010-0000-0000-000074010000}" name="Kolom372"/>
    <tableColumn id="373" xr3:uid="{00000000-0010-0000-0000-000075010000}" name="Kolom373"/>
    <tableColumn id="374" xr3:uid="{00000000-0010-0000-0000-000076010000}" name="Kolom374"/>
    <tableColumn id="375" xr3:uid="{00000000-0010-0000-0000-000077010000}" name="Kolom375"/>
    <tableColumn id="376" xr3:uid="{00000000-0010-0000-0000-000078010000}" name="Kolom376"/>
    <tableColumn id="377" xr3:uid="{00000000-0010-0000-0000-000079010000}" name="Kolom377"/>
    <tableColumn id="378" xr3:uid="{00000000-0010-0000-0000-00007A010000}" name="Kolom378"/>
    <tableColumn id="379" xr3:uid="{00000000-0010-0000-0000-00007B010000}" name="Kolom379"/>
    <tableColumn id="380" xr3:uid="{00000000-0010-0000-0000-00007C010000}" name="Kolom380"/>
    <tableColumn id="381" xr3:uid="{00000000-0010-0000-0000-00007D010000}" name="Kolom381"/>
    <tableColumn id="382" xr3:uid="{00000000-0010-0000-0000-00007E010000}" name="Kolom382"/>
    <tableColumn id="383" xr3:uid="{00000000-0010-0000-0000-00007F010000}" name="Kolom383"/>
    <tableColumn id="384" xr3:uid="{00000000-0010-0000-0000-000080010000}" name="Kolom384"/>
    <tableColumn id="385" xr3:uid="{00000000-0010-0000-0000-000081010000}" name="Kolom385"/>
    <tableColumn id="386" xr3:uid="{00000000-0010-0000-0000-000082010000}" name="Kolom386"/>
    <tableColumn id="387" xr3:uid="{00000000-0010-0000-0000-000083010000}" name="Kolom387"/>
    <tableColumn id="388" xr3:uid="{00000000-0010-0000-0000-000084010000}" name="Kolom388"/>
    <tableColumn id="389" xr3:uid="{00000000-0010-0000-0000-000085010000}" name="Kolom389"/>
    <tableColumn id="390" xr3:uid="{00000000-0010-0000-0000-000086010000}" name="Kolom390"/>
    <tableColumn id="391" xr3:uid="{00000000-0010-0000-0000-000087010000}" name="Kolom391"/>
    <tableColumn id="392" xr3:uid="{00000000-0010-0000-0000-000088010000}" name="Kolom392"/>
    <tableColumn id="393" xr3:uid="{00000000-0010-0000-0000-000089010000}" name="Kolom393"/>
    <tableColumn id="394" xr3:uid="{00000000-0010-0000-0000-00008A010000}" name="Kolom394"/>
    <tableColumn id="395" xr3:uid="{00000000-0010-0000-0000-00008B010000}" name="Kolom395"/>
    <tableColumn id="396" xr3:uid="{00000000-0010-0000-0000-00008C010000}" name="Kolom396"/>
    <tableColumn id="397" xr3:uid="{00000000-0010-0000-0000-00008D010000}" name="Kolom397"/>
    <tableColumn id="398" xr3:uid="{00000000-0010-0000-0000-00008E010000}" name="Kolom398"/>
    <tableColumn id="399" xr3:uid="{00000000-0010-0000-0000-00008F010000}" name="Kolom399"/>
    <tableColumn id="400" xr3:uid="{00000000-0010-0000-0000-000090010000}" name="Kolom400"/>
    <tableColumn id="401" xr3:uid="{00000000-0010-0000-0000-000091010000}" name="Kolom401"/>
    <tableColumn id="402" xr3:uid="{00000000-0010-0000-0000-000092010000}" name="Kolom402"/>
    <tableColumn id="403" xr3:uid="{00000000-0010-0000-0000-000093010000}" name="Kolom403"/>
    <tableColumn id="404" xr3:uid="{00000000-0010-0000-0000-000094010000}" name="Kolom404"/>
    <tableColumn id="405" xr3:uid="{00000000-0010-0000-0000-000095010000}" name="Kolom405"/>
    <tableColumn id="406" xr3:uid="{00000000-0010-0000-0000-000096010000}" name="Kolom406"/>
    <tableColumn id="407" xr3:uid="{00000000-0010-0000-0000-000097010000}" name="Kolom407"/>
    <tableColumn id="408" xr3:uid="{00000000-0010-0000-0000-000098010000}" name="Kolom408"/>
    <tableColumn id="409" xr3:uid="{00000000-0010-0000-0000-000099010000}" name="Kolom409"/>
    <tableColumn id="410" xr3:uid="{00000000-0010-0000-0000-00009A010000}" name="Kolom410"/>
    <tableColumn id="411" xr3:uid="{00000000-0010-0000-0000-00009B010000}" name="Kolom411"/>
    <tableColumn id="412" xr3:uid="{00000000-0010-0000-0000-00009C010000}" name="Kolom412"/>
    <tableColumn id="413" xr3:uid="{00000000-0010-0000-0000-00009D010000}" name="Kolom413"/>
    <tableColumn id="414" xr3:uid="{00000000-0010-0000-0000-00009E010000}" name="Kolom414"/>
    <tableColumn id="415" xr3:uid="{00000000-0010-0000-0000-00009F010000}" name="Kolom415"/>
    <tableColumn id="416" xr3:uid="{00000000-0010-0000-0000-0000A0010000}" name="Kolom416"/>
    <tableColumn id="417" xr3:uid="{00000000-0010-0000-0000-0000A1010000}" name="Kolom417"/>
    <tableColumn id="418" xr3:uid="{00000000-0010-0000-0000-0000A2010000}" name="Kolom418"/>
    <tableColumn id="419" xr3:uid="{00000000-0010-0000-0000-0000A3010000}" name="Kolom419"/>
    <tableColumn id="420" xr3:uid="{00000000-0010-0000-0000-0000A4010000}" name="Kolom420"/>
    <tableColumn id="421" xr3:uid="{00000000-0010-0000-0000-0000A5010000}" name="Kolom421"/>
    <tableColumn id="422" xr3:uid="{00000000-0010-0000-0000-0000A6010000}" name="Kolom422"/>
    <tableColumn id="423" xr3:uid="{00000000-0010-0000-0000-0000A7010000}" name="Kolom423"/>
    <tableColumn id="424" xr3:uid="{00000000-0010-0000-0000-0000A8010000}" name="Kolom424"/>
    <tableColumn id="425" xr3:uid="{00000000-0010-0000-0000-0000A9010000}" name="Kolom425"/>
    <tableColumn id="426" xr3:uid="{00000000-0010-0000-0000-0000AA010000}" name="Kolom426"/>
    <tableColumn id="427" xr3:uid="{00000000-0010-0000-0000-0000AB010000}" name="Kolom427"/>
    <tableColumn id="428" xr3:uid="{00000000-0010-0000-0000-0000AC010000}" name="Kolom428"/>
    <tableColumn id="429" xr3:uid="{00000000-0010-0000-0000-0000AD010000}" name="Kolom429"/>
    <tableColumn id="430" xr3:uid="{00000000-0010-0000-0000-0000AE010000}" name="Kolom430"/>
    <tableColumn id="431" xr3:uid="{00000000-0010-0000-0000-0000AF010000}" name="Kolom431"/>
    <tableColumn id="432" xr3:uid="{00000000-0010-0000-0000-0000B0010000}" name="Kolom432"/>
    <tableColumn id="433" xr3:uid="{00000000-0010-0000-0000-0000B1010000}" name="Kolom433"/>
    <tableColumn id="434" xr3:uid="{00000000-0010-0000-0000-0000B2010000}" name="Kolom434"/>
    <tableColumn id="435" xr3:uid="{00000000-0010-0000-0000-0000B3010000}" name="Kolom435"/>
    <tableColumn id="436" xr3:uid="{00000000-0010-0000-0000-0000B4010000}" name="Kolom436"/>
    <tableColumn id="437" xr3:uid="{00000000-0010-0000-0000-0000B5010000}" name="Kolom437"/>
    <tableColumn id="438" xr3:uid="{00000000-0010-0000-0000-0000B6010000}" name="Kolom438"/>
    <tableColumn id="439" xr3:uid="{00000000-0010-0000-0000-0000B7010000}" name="Kolom439"/>
    <tableColumn id="440" xr3:uid="{00000000-0010-0000-0000-0000B8010000}" name="Kolom440"/>
    <tableColumn id="441" xr3:uid="{00000000-0010-0000-0000-0000B9010000}" name="Kolom441"/>
    <tableColumn id="442" xr3:uid="{00000000-0010-0000-0000-0000BA010000}" name="Kolom442"/>
    <tableColumn id="443" xr3:uid="{00000000-0010-0000-0000-0000BB010000}" name="Kolom443"/>
    <tableColumn id="444" xr3:uid="{00000000-0010-0000-0000-0000BC010000}" name="Kolom444"/>
    <tableColumn id="445" xr3:uid="{00000000-0010-0000-0000-0000BD010000}" name="Kolom445"/>
    <tableColumn id="446" xr3:uid="{00000000-0010-0000-0000-0000BE010000}" name="Kolom446"/>
    <tableColumn id="447" xr3:uid="{00000000-0010-0000-0000-0000BF010000}" name="Kolom447"/>
    <tableColumn id="448" xr3:uid="{00000000-0010-0000-0000-0000C0010000}" name="Kolom448"/>
    <tableColumn id="449" xr3:uid="{00000000-0010-0000-0000-0000C1010000}" name="Kolom449"/>
    <tableColumn id="450" xr3:uid="{00000000-0010-0000-0000-0000C2010000}" name="Kolom450"/>
    <tableColumn id="451" xr3:uid="{00000000-0010-0000-0000-0000C3010000}" name="Kolom451"/>
    <tableColumn id="452" xr3:uid="{00000000-0010-0000-0000-0000C4010000}" name="Kolom452"/>
    <tableColumn id="453" xr3:uid="{00000000-0010-0000-0000-0000C5010000}" name="Kolom453"/>
    <tableColumn id="454" xr3:uid="{00000000-0010-0000-0000-0000C6010000}" name="Kolom454"/>
    <tableColumn id="455" xr3:uid="{00000000-0010-0000-0000-0000C7010000}" name="Kolom455"/>
    <tableColumn id="456" xr3:uid="{00000000-0010-0000-0000-0000C8010000}" name="Kolom456"/>
    <tableColumn id="457" xr3:uid="{00000000-0010-0000-0000-0000C9010000}" name="Kolom457"/>
    <tableColumn id="458" xr3:uid="{00000000-0010-0000-0000-0000CA010000}" name="Kolom458"/>
    <tableColumn id="459" xr3:uid="{00000000-0010-0000-0000-0000CB010000}" name="Kolom459"/>
    <tableColumn id="460" xr3:uid="{00000000-0010-0000-0000-0000CC010000}" name="Kolom460"/>
    <tableColumn id="461" xr3:uid="{00000000-0010-0000-0000-0000CD010000}" name="Kolom461"/>
    <tableColumn id="462" xr3:uid="{00000000-0010-0000-0000-0000CE010000}" name="Kolom462"/>
    <tableColumn id="463" xr3:uid="{00000000-0010-0000-0000-0000CF010000}" name="Kolom463"/>
    <tableColumn id="464" xr3:uid="{00000000-0010-0000-0000-0000D0010000}" name="Kolom464"/>
    <tableColumn id="465" xr3:uid="{00000000-0010-0000-0000-0000D1010000}" name="Kolom465"/>
    <tableColumn id="466" xr3:uid="{00000000-0010-0000-0000-0000D2010000}" name="Kolom466"/>
    <tableColumn id="467" xr3:uid="{00000000-0010-0000-0000-0000D3010000}" name="Kolom467"/>
    <tableColumn id="468" xr3:uid="{00000000-0010-0000-0000-0000D4010000}" name="Kolom468"/>
    <tableColumn id="469" xr3:uid="{00000000-0010-0000-0000-0000D5010000}" name="Kolom469"/>
    <tableColumn id="470" xr3:uid="{00000000-0010-0000-0000-0000D6010000}" name="Kolom470"/>
    <tableColumn id="471" xr3:uid="{00000000-0010-0000-0000-0000D7010000}" name="Kolom471"/>
    <tableColumn id="472" xr3:uid="{00000000-0010-0000-0000-0000D8010000}" name="Kolom472"/>
    <tableColumn id="473" xr3:uid="{00000000-0010-0000-0000-0000D9010000}" name="Kolom473"/>
    <tableColumn id="474" xr3:uid="{00000000-0010-0000-0000-0000DA010000}" name="Kolom474"/>
    <tableColumn id="475" xr3:uid="{00000000-0010-0000-0000-0000DB010000}" name="Kolom475"/>
    <tableColumn id="476" xr3:uid="{00000000-0010-0000-0000-0000DC010000}" name="Kolom476"/>
    <tableColumn id="477" xr3:uid="{00000000-0010-0000-0000-0000DD010000}" name="Kolom477"/>
    <tableColumn id="478" xr3:uid="{00000000-0010-0000-0000-0000DE010000}" name="Kolom478"/>
    <tableColumn id="479" xr3:uid="{00000000-0010-0000-0000-0000DF010000}" name="Kolom479"/>
    <tableColumn id="480" xr3:uid="{00000000-0010-0000-0000-0000E0010000}" name="Kolom480"/>
    <tableColumn id="481" xr3:uid="{00000000-0010-0000-0000-0000E1010000}" name="Kolom481"/>
    <tableColumn id="482" xr3:uid="{00000000-0010-0000-0000-0000E2010000}" name="Kolom482"/>
    <tableColumn id="483" xr3:uid="{00000000-0010-0000-0000-0000E3010000}" name="Kolom483"/>
    <tableColumn id="484" xr3:uid="{00000000-0010-0000-0000-0000E4010000}" name="Kolom484"/>
    <tableColumn id="485" xr3:uid="{00000000-0010-0000-0000-0000E5010000}" name="Kolom485"/>
    <tableColumn id="486" xr3:uid="{00000000-0010-0000-0000-0000E6010000}" name="Kolom486"/>
    <tableColumn id="487" xr3:uid="{00000000-0010-0000-0000-0000E7010000}" name="Kolom487"/>
    <tableColumn id="488" xr3:uid="{00000000-0010-0000-0000-0000E8010000}" name="Kolom488"/>
    <tableColumn id="489" xr3:uid="{00000000-0010-0000-0000-0000E9010000}" name="Kolom489"/>
    <tableColumn id="490" xr3:uid="{00000000-0010-0000-0000-0000EA010000}" name="Kolom490"/>
    <tableColumn id="491" xr3:uid="{00000000-0010-0000-0000-0000EB010000}" name="Kolom491"/>
    <tableColumn id="492" xr3:uid="{00000000-0010-0000-0000-0000EC010000}" name="Kolom492"/>
    <tableColumn id="493" xr3:uid="{00000000-0010-0000-0000-0000ED010000}" name="Kolom493"/>
    <tableColumn id="494" xr3:uid="{00000000-0010-0000-0000-0000EE010000}" name="Kolom494"/>
    <tableColumn id="495" xr3:uid="{00000000-0010-0000-0000-0000EF010000}" name="Kolom495"/>
    <tableColumn id="496" xr3:uid="{00000000-0010-0000-0000-0000F0010000}" name="Kolom496"/>
    <tableColumn id="497" xr3:uid="{00000000-0010-0000-0000-0000F1010000}" name="Kolom497"/>
    <tableColumn id="498" xr3:uid="{00000000-0010-0000-0000-0000F2010000}" name="Kolom498"/>
    <tableColumn id="499" xr3:uid="{00000000-0010-0000-0000-0000F3010000}" name="Kolom499"/>
    <tableColumn id="500" xr3:uid="{00000000-0010-0000-0000-0000F4010000}" name="Kolom500"/>
    <tableColumn id="501" xr3:uid="{00000000-0010-0000-0000-0000F5010000}" name="Kolom501"/>
    <tableColumn id="502" xr3:uid="{00000000-0010-0000-0000-0000F6010000}" name="Kolom502"/>
    <tableColumn id="503" xr3:uid="{00000000-0010-0000-0000-0000F7010000}" name="Kolom503"/>
    <tableColumn id="504" xr3:uid="{00000000-0010-0000-0000-0000F8010000}" name="Kolom504"/>
    <tableColumn id="505" xr3:uid="{00000000-0010-0000-0000-0000F9010000}" name="Kolom505"/>
    <tableColumn id="506" xr3:uid="{00000000-0010-0000-0000-0000FA010000}" name="Kolom506"/>
    <tableColumn id="507" xr3:uid="{00000000-0010-0000-0000-0000FB010000}" name="Kolom507"/>
    <tableColumn id="508" xr3:uid="{00000000-0010-0000-0000-0000FC010000}" name="Kolom508"/>
    <tableColumn id="509" xr3:uid="{00000000-0010-0000-0000-0000FD010000}" name="Kolom509"/>
    <tableColumn id="510" xr3:uid="{00000000-0010-0000-0000-0000FE010000}" name="Kolom510"/>
    <tableColumn id="511" xr3:uid="{00000000-0010-0000-0000-0000FF010000}" name="Kolom511"/>
    <tableColumn id="512" xr3:uid="{00000000-0010-0000-0000-000000020000}" name="Kolom512"/>
    <tableColumn id="513" xr3:uid="{00000000-0010-0000-0000-000001020000}" name="Kolom513"/>
    <tableColumn id="514" xr3:uid="{00000000-0010-0000-0000-000002020000}" name="Kolom514"/>
    <tableColumn id="515" xr3:uid="{00000000-0010-0000-0000-000003020000}" name="Kolom515"/>
    <tableColumn id="516" xr3:uid="{00000000-0010-0000-0000-000004020000}" name="Kolom516"/>
    <tableColumn id="517" xr3:uid="{00000000-0010-0000-0000-000005020000}" name="Kolom517"/>
    <tableColumn id="518" xr3:uid="{00000000-0010-0000-0000-000006020000}" name="Kolom518"/>
    <tableColumn id="519" xr3:uid="{00000000-0010-0000-0000-000007020000}" name="Kolom519"/>
    <tableColumn id="520" xr3:uid="{00000000-0010-0000-0000-000008020000}" name="Kolom520"/>
    <tableColumn id="521" xr3:uid="{00000000-0010-0000-0000-000009020000}" name="Kolom521"/>
    <tableColumn id="522" xr3:uid="{00000000-0010-0000-0000-00000A020000}" name="Kolom522"/>
    <tableColumn id="523" xr3:uid="{00000000-0010-0000-0000-00000B020000}" name="Kolom523"/>
    <tableColumn id="524" xr3:uid="{00000000-0010-0000-0000-00000C020000}" name="Kolom524"/>
    <tableColumn id="525" xr3:uid="{00000000-0010-0000-0000-00000D020000}" name="Kolom525"/>
    <tableColumn id="526" xr3:uid="{00000000-0010-0000-0000-00000E020000}" name="Kolom526"/>
    <tableColumn id="527" xr3:uid="{00000000-0010-0000-0000-00000F020000}" name="Kolom527"/>
    <tableColumn id="528" xr3:uid="{00000000-0010-0000-0000-000010020000}" name="Kolom528"/>
    <tableColumn id="529" xr3:uid="{00000000-0010-0000-0000-000011020000}" name="Kolom529"/>
    <tableColumn id="530" xr3:uid="{00000000-0010-0000-0000-000012020000}" name="Kolom530"/>
    <tableColumn id="531" xr3:uid="{00000000-0010-0000-0000-000013020000}" name="Kolom531"/>
    <tableColumn id="532" xr3:uid="{00000000-0010-0000-0000-000014020000}" name="Kolom532"/>
    <tableColumn id="533" xr3:uid="{00000000-0010-0000-0000-000015020000}" name="Kolom533"/>
    <tableColumn id="534" xr3:uid="{00000000-0010-0000-0000-000016020000}" name="Kolom534"/>
    <tableColumn id="535" xr3:uid="{00000000-0010-0000-0000-000017020000}" name="Kolom535"/>
    <tableColumn id="536" xr3:uid="{00000000-0010-0000-0000-000018020000}" name="Kolom536"/>
    <tableColumn id="537" xr3:uid="{00000000-0010-0000-0000-000019020000}" name="Kolom537"/>
    <tableColumn id="538" xr3:uid="{00000000-0010-0000-0000-00001A020000}" name="Kolom538"/>
    <tableColumn id="539" xr3:uid="{00000000-0010-0000-0000-00001B020000}" name="Kolom539"/>
    <tableColumn id="540" xr3:uid="{00000000-0010-0000-0000-00001C020000}" name="Kolom540"/>
    <tableColumn id="541" xr3:uid="{00000000-0010-0000-0000-00001D020000}" name="Kolom541"/>
    <tableColumn id="542" xr3:uid="{00000000-0010-0000-0000-00001E020000}" name="Kolom542"/>
    <tableColumn id="543" xr3:uid="{00000000-0010-0000-0000-00001F020000}" name="Kolom543"/>
    <tableColumn id="544" xr3:uid="{00000000-0010-0000-0000-000020020000}" name="Kolom544"/>
    <tableColumn id="545" xr3:uid="{00000000-0010-0000-0000-000021020000}" name="Kolom545"/>
    <tableColumn id="546" xr3:uid="{00000000-0010-0000-0000-000022020000}" name="Kolom546"/>
    <tableColumn id="547" xr3:uid="{00000000-0010-0000-0000-000023020000}" name="Kolom547"/>
    <tableColumn id="548" xr3:uid="{00000000-0010-0000-0000-000024020000}" name="Kolom548"/>
    <tableColumn id="549" xr3:uid="{00000000-0010-0000-0000-000025020000}" name="Kolom549"/>
    <tableColumn id="550" xr3:uid="{00000000-0010-0000-0000-000026020000}" name="Kolom550"/>
    <tableColumn id="551" xr3:uid="{00000000-0010-0000-0000-000027020000}" name="Kolom551"/>
    <tableColumn id="552" xr3:uid="{00000000-0010-0000-0000-000028020000}" name="Kolom552"/>
    <tableColumn id="553" xr3:uid="{00000000-0010-0000-0000-000029020000}" name="Kolom553"/>
    <tableColumn id="554" xr3:uid="{00000000-0010-0000-0000-00002A020000}" name="Kolom554"/>
    <tableColumn id="555" xr3:uid="{00000000-0010-0000-0000-00002B020000}" name="Kolom555"/>
    <tableColumn id="556" xr3:uid="{00000000-0010-0000-0000-00002C020000}" name="Kolom556"/>
    <tableColumn id="557" xr3:uid="{00000000-0010-0000-0000-00002D020000}" name="Kolom557"/>
    <tableColumn id="558" xr3:uid="{00000000-0010-0000-0000-00002E020000}" name="Kolom558"/>
    <tableColumn id="559" xr3:uid="{00000000-0010-0000-0000-00002F020000}" name="Kolom559"/>
    <tableColumn id="560" xr3:uid="{00000000-0010-0000-0000-000030020000}" name="Kolom560"/>
    <tableColumn id="561" xr3:uid="{00000000-0010-0000-0000-000031020000}" name="Kolom561"/>
    <tableColumn id="562" xr3:uid="{00000000-0010-0000-0000-000032020000}" name="Kolom562"/>
    <tableColumn id="563" xr3:uid="{00000000-0010-0000-0000-000033020000}" name="Kolom563"/>
    <tableColumn id="564" xr3:uid="{00000000-0010-0000-0000-000034020000}" name="Kolom564"/>
    <tableColumn id="565" xr3:uid="{00000000-0010-0000-0000-000035020000}" name="Kolom565"/>
    <tableColumn id="566" xr3:uid="{00000000-0010-0000-0000-000036020000}" name="Kolom566"/>
    <tableColumn id="567" xr3:uid="{00000000-0010-0000-0000-000037020000}" name="Kolom567"/>
    <tableColumn id="568" xr3:uid="{00000000-0010-0000-0000-000038020000}" name="Kolom568"/>
    <tableColumn id="569" xr3:uid="{00000000-0010-0000-0000-000039020000}" name="Kolom569"/>
    <tableColumn id="570" xr3:uid="{00000000-0010-0000-0000-00003A020000}" name="Kolom570"/>
    <tableColumn id="571" xr3:uid="{00000000-0010-0000-0000-00003B020000}" name="Kolom571"/>
    <tableColumn id="572" xr3:uid="{00000000-0010-0000-0000-00003C020000}" name="Kolom572"/>
    <tableColumn id="573" xr3:uid="{00000000-0010-0000-0000-00003D020000}" name="Kolom573"/>
    <tableColumn id="574" xr3:uid="{00000000-0010-0000-0000-00003E020000}" name="Kolom574"/>
    <tableColumn id="575" xr3:uid="{00000000-0010-0000-0000-00003F020000}" name="Kolom575"/>
    <tableColumn id="576" xr3:uid="{00000000-0010-0000-0000-000040020000}" name="Kolom576"/>
    <tableColumn id="577" xr3:uid="{00000000-0010-0000-0000-000041020000}" name="Kolom577"/>
    <tableColumn id="578" xr3:uid="{00000000-0010-0000-0000-000042020000}" name="Kolom578"/>
    <tableColumn id="579" xr3:uid="{00000000-0010-0000-0000-000043020000}" name="Kolom579"/>
    <tableColumn id="580" xr3:uid="{00000000-0010-0000-0000-000044020000}" name="Kolom580"/>
    <tableColumn id="581" xr3:uid="{00000000-0010-0000-0000-000045020000}" name="Kolom581"/>
    <tableColumn id="582" xr3:uid="{00000000-0010-0000-0000-000046020000}" name="Kolom582"/>
    <tableColumn id="583" xr3:uid="{00000000-0010-0000-0000-000047020000}" name="Kolom583"/>
    <tableColumn id="584" xr3:uid="{00000000-0010-0000-0000-000048020000}" name="Kolom584"/>
    <tableColumn id="585" xr3:uid="{00000000-0010-0000-0000-000049020000}" name="Kolom585"/>
    <tableColumn id="586" xr3:uid="{00000000-0010-0000-0000-00004A020000}" name="Kolom586"/>
    <tableColumn id="587" xr3:uid="{00000000-0010-0000-0000-00004B020000}" name="Kolom587"/>
    <tableColumn id="588" xr3:uid="{00000000-0010-0000-0000-00004C020000}" name="Kolom588"/>
    <tableColumn id="589" xr3:uid="{00000000-0010-0000-0000-00004D020000}" name="Kolom589"/>
    <tableColumn id="590" xr3:uid="{00000000-0010-0000-0000-00004E020000}" name="Kolom590"/>
    <tableColumn id="591" xr3:uid="{00000000-0010-0000-0000-00004F020000}" name="Kolom591"/>
    <tableColumn id="592" xr3:uid="{00000000-0010-0000-0000-000050020000}" name="Kolom592"/>
    <tableColumn id="593" xr3:uid="{00000000-0010-0000-0000-000051020000}" name="Kolom593"/>
    <tableColumn id="594" xr3:uid="{00000000-0010-0000-0000-000052020000}" name="Kolom594"/>
    <tableColumn id="595" xr3:uid="{00000000-0010-0000-0000-000053020000}" name="Kolom595"/>
    <tableColumn id="596" xr3:uid="{00000000-0010-0000-0000-000054020000}" name="Kolom596"/>
    <tableColumn id="597" xr3:uid="{00000000-0010-0000-0000-000055020000}" name="Kolom597"/>
    <tableColumn id="598" xr3:uid="{00000000-0010-0000-0000-000056020000}" name="Kolom598"/>
    <tableColumn id="599" xr3:uid="{00000000-0010-0000-0000-000057020000}" name="Kolom599"/>
    <tableColumn id="600" xr3:uid="{00000000-0010-0000-0000-000058020000}" name="Kolom600"/>
    <tableColumn id="601" xr3:uid="{00000000-0010-0000-0000-000059020000}" name="Kolom601"/>
    <tableColumn id="602" xr3:uid="{00000000-0010-0000-0000-00005A020000}" name="Kolom602"/>
    <tableColumn id="603" xr3:uid="{00000000-0010-0000-0000-00005B020000}" name="Kolom603"/>
    <tableColumn id="604" xr3:uid="{00000000-0010-0000-0000-00005C020000}" name="Kolom604"/>
    <tableColumn id="605" xr3:uid="{00000000-0010-0000-0000-00005D020000}" name="Kolom605"/>
    <tableColumn id="606" xr3:uid="{00000000-0010-0000-0000-00005E020000}" name="Kolom606"/>
    <tableColumn id="607" xr3:uid="{00000000-0010-0000-0000-00005F020000}" name="Kolom607"/>
    <tableColumn id="608" xr3:uid="{00000000-0010-0000-0000-000060020000}" name="Kolom608"/>
    <tableColumn id="609" xr3:uid="{00000000-0010-0000-0000-000061020000}" name="Kolom609"/>
    <tableColumn id="610" xr3:uid="{00000000-0010-0000-0000-000062020000}" name="Kolom610"/>
    <tableColumn id="611" xr3:uid="{00000000-0010-0000-0000-000063020000}" name="Kolom611"/>
    <tableColumn id="612" xr3:uid="{00000000-0010-0000-0000-000064020000}" name="Kolom612"/>
    <tableColumn id="613" xr3:uid="{00000000-0010-0000-0000-000065020000}" name="Kolom613"/>
    <tableColumn id="614" xr3:uid="{00000000-0010-0000-0000-000066020000}" name="Kolom614"/>
    <tableColumn id="615" xr3:uid="{00000000-0010-0000-0000-000067020000}" name="Kolom615"/>
    <tableColumn id="616" xr3:uid="{00000000-0010-0000-0000-000068020000}" name="Kolom616"/>
    <tableColumn id="617" xr3:uid="{00000000-0010-0000-0000-000069020000}" name="Kolom617"/>
    <tableColumn id="618" xr3:uid="{00000000-0010-0000-0000-00006A020000}" name="Kolom618"/>
    <tableColumn id="619" xr3:uid="{00000000-0010-0000-0000-00006B020000}" name="Kolom619"/>
    <tableColumn id="620" xr3:uid="{00000000-0010-0000-0000-00006C020000}" name="Kolom620"/>
    <tableColumn id="621" xr3:uid="{00000000-0010-0000-0000-00006D020000}" name="Kolom621"/>
    <tableColumn id="622" xr3:uid="{00000000-0010-0000-0000-00006E020000}" name="Kolom622"/>
    <tableColumn id="623" xr3:uid="{00000000-0010-0000-0000-00006F020000}" name="Kolom623"/>
    <tableColumn id="624" xr3:uid="{00000000-0010-0000-0000-000070020000}" name="Kolom624"/>
    <tableColumn id="625" xr3:uid="{00000000-0010-0000-0000-000071020000}" name="Kolom625"/>
    <tableColumn id="626" xr3:uid="{00000000-0010-0000-0000-000072020000}" name="Kolom626"/>
    <tableColumn id="627" xr3:uid="{00000000-0010-0000-0000-000073020000}" name="Kolom627"/>
    <tableColumn id="628" xr3:uid="{00000000-0010-0000-0000-000074020000}" name="Kolom628"/>
    <tableColumn id="629" xr3:uid="{00000000-0010-0000-0000-000075020000}" name="Kolom629"/>
    <tableColumn id="630" xr3:uid="{00000000-0010-0000-0000-000076020000}" name="Kolom630"/>
    <tableColumn id="631" xr3:uid="{00000000-0010-0000-0000-000077020000}" name="Kolom631"/>
    <tableColumn id="632" xr3:uid="{00000000-0010-0000-0000-000078020000}" name="Kolom632"/>
    <tableColumn id="633" xr3:uid="{00000000-0010-0000-0000-000079020000}" name="Kolom633"/>
    <tableColumn id="634" xr3:uid="{00000000-0010-0000-0000-00007A020000}" name="Kolom634"/>
    <tableColumn id="635" xr3:uid="{00000000-0010-0000-0000-00007B020000}" name="Kolom635"/>
    <tableColumn id="636" xr3:uid="{00000000-0010-0000-0000-00007C020000}" name="Kolom636"/>
    <tableColumn id="637" xr3:uid="{00000000-0010-0000-0000-00007D020000}" name="Kolom637"/>
    <tableColumn id="638" xr3:uid="{00000000-0010-0000-0000-00007E020000}" name="Kolom638"/>
    <tableColumn id="639" xr3:uid="{00000000-0010-0000-0000-00007F020000}" name="Kolom639"/>
    <tableColumn id="640" xr3:uid="{00000000-0010-0000-0000-000080020000}" name="Kolom640"/>
    <tableColumn id="641" xr3:uid="{00000000-0010-0000-0000-000081020000}" name="Kolom641"/>
    <tableColumn id="642" xr3:uid="{00000000-0010-0000-0000-000082020000}" name="Kolom642"/>
    <tableColumn id="643" xr3:uid="{00000000-0010-0000-0000-000083020000}" name="Kolom643"/>
    <tableColumn id="644" xr3:uid="{00000000-0010-0000-0000-000084020000}" name="Kolom644"/>
    <tableColumn id="645" xr3:uid="{00000000-0010-0000-0000-000085020000}" name="Kolom645"/>
    <tableColumn id="646" xr3:uid="{00000000-0010-0000-0000-000086020000}" name="Kolom646"/>
    <tableColumn id="647" xr3:uid="{00000000-0010-0000-0000-000087020000}" name="Kolom647"/>
    <tableColumn id="648" xr3:uid="{00000000-0010-0000-0000-000088020000}" name="Kolom648"/>
    <tableColumn id="649" xr3:uid="{00000000-0010-0000-0000-000089020000}" name="Kolom649"/>
    <tableColumn id="650" xr3:uid="{00000000-0010-0000-0000-00008A020000}" name="Kolom650"/>
    <tableColumn id="651" xr3:uid="{00000000-0010-0000-0000-00008B020000}" name="Kolom651"/>
    <tableColumn id="652" xr3:uid="{00000000-0010-0000-0000-00008C020000}" name="Kolom652"/>
    <tableColumn id="653" xr3:uid="{00000000-0010-0000-0000-00008D020000}" name="Kolom653"/>
    <tableColumn id="654" xr3:uid="{00000000-0010-0000-0000-00008E020000}" name="Kolom654"/>
    <tableColumn id="655" xr3:uid="{00000000-0010-0000-0000-00008F020000}" name="Kolom655"/>
    <tableColumn id="656" xr3:uid="{00000000-0010-0000-0000-000090020000}" name="Kolom656"/>
    <tableColumn id="657" xr3:uid="{00000000-0010-0000-0000-000091020000}" name="Kolom657"/>
    <tableColumn id="658" xr3:uid="{00000000-0010-0000-0000-000092020000}" name="Kolom658"/>
    <tableColumn id="659" xr3:uid="{00000000-0010-0000-0000-000093020000}" name="Kolom659"/>
    <tableColumn id="660" xr3:uid="{00000000-0010-0000-0000-000094020000}" name="Kolom660"/>
    <tableColumn id="661" xr3:uid="{00000000-0010-0000-0000-000095020000}" name="Kolom661"/>
    <tableColumn id="662" xr3:uid="{00000000-0010-0000-0000-000096020000}" name="Kolom662"/>
    <tableColumn id="663" xr3:uid="{00000000-0010-0000-0000-000097020000}" name="Kolom663"/>
    <tableColumn id="664" xr3:uid="{00000000-0010-0000-0000-000098020000}" name="Kolom664"/>
    <tableColumn id="665" xr3:uid="{00000000-0010-0000-0000-000099020000}" name="Kolom665"/>
    <tableColumn id="666" xr3:uid="{00000000-0010-0000-0000-00009A020000}" name="Kolom666"/>
    <tableColumn id="667" xr3:uid="{00000000-0010-0000-0000-00009B020000}" name="Kolom667"/>
    <tableColumn id="668" xr3:uid="{00000000-0010-0000-0000-00009C020000}" name="Kolom668"/>
    <tableColumn id="669" xr3:uid="{00000000-0010-0000-0000-00009D020000}" name="Kolom669"/>
    <tableColumn id="670" xr3:uid="{00000000-0010-0000-0000-00009E020000}" name="Kolom670"/>
    <tableColumn id="671" xr3:uid="{00000000-0010-0000-0000-00009F020000}" name="Kolom671"/>
    <tableColumn id="672" xr3:uid="{00000000-0010-0000-0000-0000A0020000}" name="Kolom672"/>
    <tableColumn id="673" xr3:uid="{00000000-0010-0000-0000-0000A1020000}" name="Kolom673"/>
    <tableColumn id="674" xr3:uid="{00000000-0010-0000-0000-0000A2020000}" name="Kolom674"/>
    <tableColumn id="675" xr3:uid="{00000000-0010-0000-0000-0000A3020000}" name="Kolom675"/>
    <tableColumn id="676" xr3:uid="{00000000-0010-0000-0000-0000A4020000}" name="Kolom676"/>
    <tableColumn id="677" xr3:uid="{00000000-0010-0000-0000-0000A5020000}" name="Kolom677"/>
    <tableColumn id="678" xr3:uid="{00000000-0010-0000-0000-0000A6020000}" name="Kolom678"/>
    <tableColumn id="679" xr3:uid="{00000000-0010-0000-0000-0000A7020000}" name="Kolom679"/>
    <tableColumn id="680" xr3:uid="{00000000-0010-0000-0000-0000A8020000}" name="Kolom680"/>
    <tableColumn id="681" xr3:uid="{00000000-0010-0000-0000-0000A9020000}" name="Kolom681"/>
    <tableColumn id="682" xr3:uid="{00000000-0010-0000-0000-0000AA020000}" name="Kolom682"/>
    <tableColumn id="683" xr3:uid="{00000000-0010-0000-0000-0000AB020000}" name="Kolom683"/>
    <tableColumn id="684" xr3:uid="{00000000-0010-0000-0000-0000AC020000}" name="Kolom684"/>
    <tableColumn id="685" xr3:uid="{00000000-0010-0000-0000-0000AD020000}" name="Kolom685"/>
    <tableColumn id="686" xr3:uid="{00000000-0010-0000-0000-0000AE020000}" name="Kolom686"/>
    <tableColumn id="687" xr3:uid="{00000000-0010-0000-0000-0000AF020000}" name="Kolom687"/>
    <tableColumn id="688" xr3:uid="{00000000-0010-0000-0000-0000B0020000}" name="Kolom688"/>
    <tableColumn id="689" xr3:uid="{00000000-0010-0000-0000-0000B1020000}" name="Kolom689"/>
    <tableColumn id="690" xr3:uid="{00000000-0010-0000-0000-0000B2020000}" name="Kolom690"/>
    <tableColumn id="691" xr3:uid="{00000000-0010-0000-0000-0000B3020000}" name="Kolom691"/>
    <tableColumn id="692" xr3:uid="{00000000-0010-0000-0000-0000B4020000}" name="Kolom692"/>
    <tableColumn id="693" xr3:uid="{00000000-0010-0000-0000-0000B5020000}" name="Kolom693"/>
    <tableColumn id="694" xr3:uid="{00000000-0010-0000-0000-0000B6020000}" name="Kolom694"/>
    <tableColumn id="695" xr3:uid="{00000000-0010-0000-0000-0000B7020000}" name="Kolom695"/>
    <tableColumn id="696" xr3:uid="{00000000-0010-0000-0000-0000B8020000}" name="Kolom696"/>
    <tableColumn id="697" xr3:uid="{00000000-0010-0000-0000-0000B9020000}" name="Kolom697"/>
    <tableColumn id="698" xr3:uid="{00000000-0010-0000-0000-0000BA020000}" name="Kolom698"/>
    <tableColumn id="699" xr3:uid="{00000000-0010-0000-0000-0000BB020000}" name="Kolom699"/>
    <tableColumn id="700" xr3:uid="{00000000-0010-0000-0000-0000BC020000}" name="Kolom700"/>
    <tableColumn id="701" xr3:uid="{00000000-0010-0000-0000-0000BD020000}" name="Kolom701"/>
    <tableColumn id="702" xr3:uid="{00000000-0010-0000-0000-0000BE020000}" name="Kolom702"/>
    <tableColumn id="703" xr3:uid="{00000000-0010-0000-0000-0000BF020000}" name="Kolom703"/>
    <tableColumn id="704" xr3:uid="{00000000-0010-0000-0000-0000C0020000}" name="Kolom704"/>
    <tableColumn id="705" xr3:uid="{00000000-0010-0000-0000-0000C1020000}" name="Kolom705"/>
    <tableColumn id="706" xr3:uid="{00000000-0010-0000-0000-0000C2020000}" name="Kolom706"/>
    <tableColumn id="707" xr3:uid="{00000000-0010-0000-0000-0000C3020000}" name="Kolom707"/>
    <tableColumn id="708" xr3:uid="{00000000-0010-0000-0000-0000C4020000}" name="Kolom708"/>
    <tableColumn id="709" xr3:uid="{00000000-0010-0000-0000-0000C5020000}" name="Kolom709"/>
    <tableColumn id="710" xr3:uid="{00000000-0010-0000-0000-0000C6020000}" name="Kolom710"/>
    <tableColumn id="711" xr3:uid="{00000000-0010-0000-0000-0000C7020000}" name="Kolom711"/>
    <tableColumn id="712" xr3:uid="{00000000-0010-0000-0000-0000C8020000}" name="Kolom712"/>
    <tableColumn id="713" xr3:uid="{00000000-0010-0000-0000-0000C9020000}" name="Kolom713"/>
    <tableColumn id="714" xr3:uid="{00000000-0010-0000-0000-0000CA020000}" name="Kolom714"/>
    <tableColumn id="715" xr3:uid="{00000000-0010-0000-0000-0000CB020000}" name="Kolom715"/>
    <tableColumn id="716" xr3:uid="{00000000-0010-0000-0000-0000CC020000}" name="Kolom716"/>
    <tableColumn id="717" xr3:uid="{00000000-0010-0000-0000-0000CD020000}" name="Kolom717"/>
    <tableColumn id="718" xr3:uid="{00000000-0010-0000-0000-0000CE020000}" name="Kolom718"/>
    <tableColumn id="719" xr3:uid="{00000000-0010-0000-0000-0000CF020000}" name="Kolom719"/>
    <tableColumn id="720" xr3:uid="{00000000-0010-0000-0000-0000D0020000}" name="Kolom720"/>
    <tableColumn id="721" xr3:uid="{00000000-0010-0000-0000-0000D1020000}" name="Kolom721"/>
    <tableColumn id="722" xr3:uid="{00000000-0010-0000-0000-0000D2020000}" name="Kolom722"/>
    <tableColumn id="723" xr3:uid="{00000000-0010-0000-0000-0000D3020000}" name="Kolom723"/>
    <tableColumn id="724" xr3:uid="{00000000-0010-0000-0000-0000D4020000}" name="Kolom724"/>
    <tableColumn id="725" xr3:uid="{00000000-0010-0000-0000-0000D5020000}" name="Kolom725"/>
    <tableColumn id="726" xr3:uid="{00000000-0010-0000-0000-0000D6020000}" name="Kolom726"/>
    <tableColumn id="727" xr3:uid="{00000000-0010-0000-0000-0000D7020000}" name="Kolom727"/>
    <tableColumn id="728" xr3:uid="{00000000-0010-0000-0000-0000D8020000}" name="Kolom728"/>
    <tableColumn id="729" xr3:uid="{00000000-0010-0000-0000-0000D9020000}" name="Kolom729"/>
    <tableColumn id="730" xr3:uid="{00000000-0010-0000-0000-0000DA020000}" name="Kolom730"/>
    <tableColumn id="731" xr3:uid="{00000000-0010-0000-0000-0000DB020000}" name="Kolom731"/>
    <tableColumn id="732" xr3:uid="{00000000-0010-0000-0000-0000DC020000}" name="Kolom732"/>
    <tableColumn id="733" xr3:uid="{00000000-0010-0000-0000-0000DD020000}" name="Kolom733"/>
    <tableColumn id="734" xr3:uid="{00000000-0010-0000-0000-0000DE020000}" name="Kolom734"/>
    <tableColumn id="735" xr3:uid="{00000000-0010-0000-0000-0000DF020000}" name="Kolom735"/>
    <tableColumn id="736" xr3:uid="{00000000-0010-0000-0000-0000E0020000}" name="Kolom736"/>
    <tableColumn id="737" xr3:uid="{00000000-0010-0000-0000-0000E1020000}" name="Kolom737"/>
    <tableColumn id="738" xr3:uid="{00000000-0010-0000-0000-0000E2020000}" name="Kolom738"/>
    <tableColumn id="739" xr3:uid="{00000000-0010-0000-0000-0000E3020000}" name="Kolom739"/>
    <tableColumn id="740" xr3:uid="{00000000-0010-0000-0000-0000E4020000}" name="Kolom740"/>
    <tableColumn id="741" xr3:uid="{00000000-0010-0000-0000-0000E5020000}" name="Kolom741"/>
    <tableColumn id="742" xr3:uid="{00000000-0010-0000-0000-0000E6020000}" name="Kolom742"/>
    <tableColumn id="743" xr3:uid="{00000000-0010-0000-0000-0000E7020000}" name="Kolom743"/>
    <tableColumn id="744" xr3:uid="{00000000-0010-0000-0000-0000E8020000}" name="Kolom744"/>
    <tableColumn id="745" xr3:uid="{00000000-0010-0000-0000-0000E9020000}" name="Kolom745"/>
    <tableColumn id="746" xr3:uid="{00000000-0010-0000-0000-0000EA020000}" name="Kolom746"/>
    <tableColumn id="747" xr3:uid="{00000000-0010-0000-0000-0000EB020000}" name="Kolom747"/>
    <tableColumn id="748" xr3:uid="{00000000-0010-0000-0000-0000EC020000}" name="Kolom748"/>
    <tableColumn id="749" xr3:uid="{00000000-0010-0000-0000-0000ED020000}" name="Kolom749"/>
    <tableColumn id="750" xr3:uid="{00000000-0010-0000-0000-0000EE020000}" name="Kolom750"/>
    <tableColumn id="751" xr3:uid="{00000000-0010-0000-0000-0000EF020000}" name="Kolom751"/>
    <tableColumn id="752" xr3:uid="{00000000-0010-0000-0000-0000F0020000}" name="Kolom752"/>
    <tableColumn id="753" xr3:uid="{00000000-0010-0000-0000-0000F1020000}" name="Kolom753"/>
    <tableColumn id="754" xr3:uid="{00000000-0010-0000-0000-0000F2020000}" name="Kolom754"/>
    <tableColumn id="755" xr3:uid="{00000000-0010-0000-0000-0000F3020000}" name="Kolom755"/>
    <tableColumn id="756" xr3:uid="{00000000-0010-0000-0000-0000F4020000}" name="Kolom756"/>
    <tableColumn id="757" xr3:uid="{00000000-0010-0000-0000-0000F5020000}" name="Kolom757"/>
    <tableColumn id="758" xr3:uid="{00000000-0010-0000-0000-0000F6020000}" name="Kolom758"/>
    <tableColumn id="759" xr3:uid="{00000000-0010-0000-0000-0000F7020000}" name="Kolom759"/>
    <tableColumn id="760" xr3:uid="{00000000-0010-0000-0000-0000F8020000}" name="Kolom760"/>
    <tableColumn id="761" xr3:uid="{00000000-0010-0000-0000-0000F9020000}" name="Kolom761"/>
    <tableColumn id="762" xr3:uid="{00000000-0010-0000-0000-0000FA020000}" name="Kolom762"/>
    <tableColumn id="763" xr3:uid="{00000000-0010-0000-0000-0000FB020000}" name="Kolom763"/>
    <tableColumn id="764" xr3:uid="{00000000-0010-0000-0000-0000FC020000}" name="Kolom764"/>
    <tableColumn id="765" xr3:uid="{00000000-0010-0000-0000-0000FD020000}" name="Kolom765"/>
    <tableColumn id="766" xr3:uid="{00000000-0010-0000-0000-0000FE020000}" name="Kolom766"/>
    <tableColumn id="767" xr3:uid="{00000000-0010-0000-0000-0000FF020000}" name="Kolom767"/>
    <tableColumn id="768" xr3:uid="{00000000-0010-0000-0000-000000030000}" name="Kolom768"/>
    <tableColumn id="769" xr3:uid="{00000000-0010-0000-0000-000001030000}" name="Kolom769"/>
    <tableColumn id="770" xr3:uid="{00000000-0010-0000-0000-000002030000}" name="Kolom770"/>
    <tableColumn id="771" xr3:uid="{00000000-0010-0000-0000-000003030000}" name="Kolom771"/>
    <tableColumn id="772" xr3:uid="{00000000-0010-0000-0000-000004030000}" name="Kolom772"/>
    <tableColumn id="773" xr3:uid="{00000000-0010-0000-0000-000005030000}" name="Kolom773"/>
    <tableColumn id="774" xr3:uid="{00000000-0010-0000-0000-000006030000}" name="Kolom774"/>
    <tableColumn id="775" xr3:uid="{00000000-0010-0000-0000-000007030000}" name="Kolom775"/>
    <tableColumn id="776" xr3:uid="{00000000-0010-0000-0000-000008030000}" name="Kolom776"/>
    <tableColumn id="777" xr3:uid="{00000000-0010-0000-0000-000009030000}" name="Kolom777"/>
    <tableColumn id="778" xr3:uid="{00000000-0010-0000-0000-00000A030000}" name="Kolom778"/>
    <tableColumn id="779" xr3:uid="{00000000-0010-0000-0000-00000B030000}" name="Kolom779"/>
    <tableColumn id="780" xr3:uid="{00000000-0010-0000-0000-00000C030000}" name="Kolom780"/>
    <tableColumn id="781" xr3:uid="{00000000-0010-0000-0000-00000D030000}" name="Kolom781"/>
    <tableColumn id="782" xr3:uid="{00000000-0010-0000-0000-00000E030000}" name="Kolom782"/>
    <tableColumn id="783" xr3:uid="{00000000-0010-0000-0000-00000F030000}" name="Kolom783"/>
    <tableColumn id="784" xr3:uid="{00000000-0010-0000-0000-000010030000}" name="Kolom784"/>
    <tableColumn id="785" xr3:uid="{00000000-0010-0000-0000-000011030000}" name="Kolom785"/>
    <tableColumn id="786" xr3:uid="{00000000-0010-0000-0000-000012030000}" name="Kolom786"/>
    <tableColumn id="787" xr3:uid="{00000000-0010-0000-0000-000013030000}" name="Kolom787"/>
    <tableColumn id="788" xr3:uid="{00000000-0010-0000-0000-000014030000}" name="Kolom788"/>
    <tableColumn id="789" xr3:uid="{00000000-0010-0000-0000-000015030000}" name="Kolom789"/>
    <tableColumn id="790" xr3:uid="{00000000-0010-0000-0000-000016030000}" name="Kolom790"/>
    <tableColumn id="791" xr3:uid="{00000000-0010-0000-0000-000017030000}" name="Kolom791"/>
    <tableColumn id="792" xr3:uid="{00000000-0010-0000-0000-000018030000}" name="Kolom792"/>
    <tableColumn id="793" xr3:uid="{00000000-0010-0000-0000-000019030000}" name="Kolom793"/>
    <tableColumn id="794" xr3:uid="{00000000-0010-0000-0000-00001A030000}" name="Kolom794"/>
    <tableColumn id="795" xr3:uid="{00000000-0010-0000-0000-00001B030000}" name="Kolom795"/>
    <tableColumn id="796" xr3:uid="{00000000-0010-0000-0000-00001C030000}" name="Kolom796"/>
    <tableColumn id="797" xr3:uid="{00000000-0010-0000-0000-00001D030000}" name="Kolom797"/>
    <tableColumn id="798" xr3:uid="{00000000-0010-0000-0000-00001E030000}" name="Kolom798"/>
    <tableColumn id="799" xr3:uid="{00000000-0010-0000-0000-00001F030000}" name="Kolom799"/>
    <tableColumn id="800" xr3:uid="{00000000-0010-0000-0000-000020030000}" name="Kolom800"/>
    <tableColumn id="801" xr3:uid="{00000000-0010-0000-0000-000021030000}" name="Kolom801"/>
    <tableColumn id="802" xr3:uid="{00000000-0010-0000-0000-000022030000}" name="Kolom802"/>
    <tableColumn id="803" xr3:uid="{00000000-0010-0000-0000-000023030000}" name="Kolom803"/>
    <tableColumn id="804" xr3:uid="{00000000-0010-0000-0000-000024030000}" name="Kolom804"/>
    <tableColumn id="805" xr3:uid="{00000000-0010-0000-0000-000025030000}" name="Kolom805"/>
    <tableColumn id="806" xr3:uid="{00000000-0010-0000-0000-000026030000}" name="Kolom806"/>
    <tableColumn id="807" xr3:uid="{00000000-0010-0000-0000-000027030000}" name="Kolom807"/>
    <tableColumn id="808" xr3:uid="{00000000-0010-0000-0000-000028030000}" name="Kolom808"/>
    <tableColumn id="809" xr3:uid="{00000000-0010-0000-0000-000029030000}" name="Kolom809"/>
    <tableColumn id="810" xr3:uid="{00000000-0010-0000-0000-00002A030000}" name="Kolom810"/>
    <tableColumn id="811" xr3:uid="{00000000-0010-0000-0000-00002B030000}" name="Kolom811"/>
    <tableColumn id="812" xr3:uid="{00000000-0010-0000-0000-00002C030000}" name="Kolom812"/>
    <tableColumn id="813" xr3:uid="{00000000-0010-0000-0000-00002D030000}" name="Kolom813"/>
    <tableColumn id="814" xr3:uid="{00000000-0010-0000-0000-00002E030000}" name="Kolom814"/>
    <tableColumn id="815" xr3:uid="{00000000-0010-0000-0000-00002F030000}" name="Kolom815"/>
    <tableColumn id="816" xr3:uid="{00000000-0010-0000-0000-000030030000}" name="Kolom816"/>
    <tableColumn id="817" xr3:uid="{00000000-0010-0000-0000-000031030000}" name="Kolom817"/>
    <tableColumn id="818" xr3:uid="{00000000-0010-0000-0000-000032030000}" name="Kolom818"/>
    <tableColumn id="819" xr3:uid="{00000000-0010-0000-0000-000033030000}" name="Kolom819"/>
    <tableColumn id="820" xr3:uid="{00000000-0010-0000-0000-000034030000}" name="Kolom820"/>
    <tableColumn id="821" xr3:uid="{00000000-0010-0000-0000-000035030000}" name="Kolom821"/>
    <tableColumn id="822" xr3:uid="{00000000-0010-0000-0000-000036030000}" name="Kolom822"/>
    <tableColumn id="823" xr3:uid="{00000000-0010-0000-0000-000037030000}" name="Kolom823"/>
    <tableColumn id="824" xr3:uid="{00000000-0010-0000-0000-000038030000}" name="Kolom824"/>
    <tableColumn id="825" xr3:uid="{00000000-0010-0000-0000-000039030000}" name="Kolom825"/>
    <tableColumn id="826" xr3:uid="{00000000-0010-0000-0000-00003A030000}" name="Kolom826"/>
    <tableColumn id="827" xr3:uid="{00000000-0010-0000-0000-00003B030000}" name="Kolom827"/>
    <tableColumn id="828" xr3:uid="{00000000-0010-0000-0000-00003C030000}" name="Kolom828"/>
    <tableColumn id="829" xr3:uid="{00000000-0010-0000-0000-00003D030000}" name="Kolom829"/>
    <tableColumn id="830" xr3:uid="{00000000-0010-0000-0000-00003E030000}" name="Kolom830"/>
    <tableColumn id="831" xr3:uid="{00000000-0010-0000-0000-00003F030000}" name="Kolom831"/>
    <tableColumn id="832" xr3:uid="{00000000-0010-0000-0000-000040030000}" name="Kolom832"/>
    <tableColumn id="833" xr3:uid="{00000000-0010-0000-0000-000041030000}" name="Kolom833"/>
    <tableColumn id="834" xr3:uid="{00000000-0010-0000-0000-000042030000}" name="Kolom834"/>
    <tableColumn id="835" xr3:uid="{00000000-0010-0000-0000-000043030000}" name="Kolom835"/>
    <tableColumn id="836" xr3:uid="{00000000-0010-0000-0000-000044030000}" name="Kolom836"/>
    <tableColumn id="837" xr3:uid="{00000000-0010-0000-0000-000045030000}" name="Kolom837"/>
    <tableColumn id="838" xr3:uid="{00000000-0010-0000-0000-000046030000}" name="Kolom838"/>
    <tableColumn id="839" xr3:uid="{00000000-0010-0000-0000-000047030000}" name="Kolom839"/>
    <tableColumn id="840" xr3:uid="{00000000-0010-0000-0000-000048030000}" name="Kolom840"/>
    <tableColumn id="841" xr3:uid="{00000000-0010-0000-0000-000049030000}" name="Kolom841"/>
    <tableColumn id="842" xr3:uid="{00000000-0010-0000-0000-00004A030000}" name="Kolom842"/>
    <tableColumn id="843" xr3:uid="{00000000-0010-0000-0000-00004B030000}" name="Kolom843"/>
    <tableColumn id="844" xr3:uid="{00000000-0010-0000-0000-00004C030000}" name="Kolom844"/>
    <tableColumn id="845" xr3:uid="{00000000-0010-0000-0000-00004D030000}" name="Kolom845"/>
    <tableColumn id="846" xr3:uid="{00000000-0010-0000-0000-00004E030000}" name="Kolom846"/>
    <tableColumn id="847" xr3:uid="{00000000-0010-0000-0000-00004F030000}" name="Kolom847"/>
    <tableColumn id="848" xr3:uid="{00000000-0010-0000-0000-000050030000}" name="Kolom848"/>
    <tableColumn id="849" xr3:uid="{00000000-0010-0000-0000-000051030000}" name="Kolom849"/>
    <tableColumn id="850" xr3:uid="{00000000-0010-0000-0000-000052030000}" name="Kolom850"/>
    <tableColumn id="851" xr3:uid="{00000000-0010-0000-0000-000053030000}" name="Kolom851"/>
    <tableColumn id="852" xr3:uid="{00000000-0010-0000-0000-000054030000}" name="Kolom852"/>
    <tableColumn id="853" xr3:uid="{00000000-0010-0000-0000-000055030000}" name="Kolom853"/>
    <tableColumn id="854" xr3:uid="{00000000-0010-0000-0000-000056030000}" name="Kolom854"/>
    <tableColumn id="855" xr3:uid="{00000000-0010-0000-0000-000057030000}" name="Kolom855"/>
    <tableColumn id="856" xr3:uid="{00000000-0010-0000-0000-000058030000}" name="Kolom856"/>
    <tableColumn id="857" xr3:uid="{00000000-0010-0000-0000-000059030000}" name="Kolom857"/>
    <tableColumn id="858" xr3:uid="{00000000-0010-0000-0000-00005A030000}" name="Kolom858"/>
    <tableColumn id="859" xr3:uid="{00000000-0010-0000-0000-00005B030000}" name="Kolom859"/>
    <tableColumn id="860" xr3:uid="{00000000-0010-0000-0000-00005C030000}" name="Kolom860"/>
    <tableColumn id="861" xr3:uid="{00000000-0010-0000-0000-00005D030000}" name="Kolom861"/>
    <tableColumn id="862" xr3:uid="{00000000-0010-0000-0000-00005E030000}" name="Kolom862"/>
    <tableColumn id="863" xr3:uid="{00000000-0010-0000-0000-00005F030000}" name="Kolom863"/>
    <tableColumn id="864" xr3:uid="{00000000-0010-0000-0000-000060030000}" name="Kolom864"/>
    <tableColumn id="865" xr3:uid="{00000000-0010-0000-0000-000061030000}" name="Kolom865"/>
    <tableColumn id="866" xr3:uid="{00000000-0010-0000-0000-000062030000}" name="Kolom866"/>
    <tableColumn id="867" xr3:uid="{00000000-0010-0000-0000-000063030000}" name="Kolom867"/>
    <tableColumn id="868" xr3:uid="{00000000-0010-0000-0000-000064030000}" name="Kolom868"/>
    <tableColumn id="869" xr3:uid="{00000000-0010-0000-0000-000065030000}" name="Kolom869"/>
    <tableColumn id="870" xr3:uid="{00000000-0010-0000-0000-000066030000}" name="Kolom870"/>
    <tableColumn id="871" xr3:uid="{00000000-0010-0000-0000-000067030000}" name="Kolom871"/>
    <tableColumn id="872" xr3:uid="{00000000-0010-0000-0000-000068030000}" name="Kolom872"/>
    <tableColumn id="873" xr3:uid="{00000000-0010-0000-0000-000069030000}" name="Kolom873"/>
    <tableColumn id="874" xr3:uid="{00000000-0010-0000-0000-00006A030000}" name="Kolom874"/>
    <tableColumn id="875" xr3:uid="{00000000-0010-0000-0000-00006B030000}" name="Kolom875"/>
    <tableColumn id="876" xr3:uid="{00000000-0010-0000-0000-00006C030000}" name="Kolom876"/>
    <tableColumn id="877" xr3:uid="{00000000-0010-0000-0000-00006D030000}" name="Kolom877"/>
    <tableColumn id="878" xr3:uid="{00000000-0010-0000-0000-00006E030000}" name="Kolom878"/>
    <tableColumn id="879" xr3:uid="{00000000-0010-0000-0000-00006F030000}" name="Kolom879"/>
    <tableColumn id="880" xr3:uid="{00000000-0010-0000-0000-000070030000}" name="Kolom880"/>
    <tableColumn id="881" xr3:uid="{00000000-0010-0000-0000-000071030000}" name="Kolom881"/>
    <tableColumn id="882" xr3:uid="{00000000-0010-0000-0000-000072030000}" name="Kolom882"/>
    <tableColumn id="883" xr3:uid="{00000000-0010-0000-0000-000073030000}" name="Kolom883"/>
    <tableColumn id="884" xr3:uid="{00000000-0010-0000-0000-000074030000}" name="Kolom884"/>
    <tableColumn id="885" xr3:uid="{00000000-0010-0000-0000-000075030000}" name="Kolom885"/>
    <tableColumn id="886" xr3:uid="{00000000-0010-0000-0000-000076030000}" name="Kolom886"/>
    <tableColumn id="887" xr3:uid="{00000000-0010-0000-0000-000077030000}" name="Kolom887"/>
    <tableColumn id="888" xr3:uid="{00000000-0010-0000-0000-000078030000}" name="Kolom888"/>
    <tableColumn id="889" xr3:uid="{00000000-0010-0000-0000-000079030000}" name="Kolom889"/>
    <tableColumn id="890" xr3:uid="{00000000-0010-0000-0000-00007A030000}" name="Kolom890"/>
    <tableColumn id="891" xr3:uid="{00000000-0010-0000-0000-00007B030000}" name="Kolom891"/>
    <tableColumn id="892" xr3:uid="{00000000-0010-0000-0000-00007C030000}" name="Kolom892"/>
    <tableColumn id="893" xr3:uid="{00000000-0010-0000-0000-00007D030000}" name="Kolom893"/>
    <tableColumn id="894" xr3:uid="{00000000-0010-0000-0000-00007E030000}" name="Kolom894"/>
    <tableColumn id="895" xr3:uid="{00000000-0010-0000-0000-00007F030000}" name="Kolom895"/>
    <tableColumn id="896" xr3:uid="{00000000-0010-0000-0000-000080030000}" name="Kolom896"/>
    <tableColumn id="897" xr3:uid="{00000000-0010-0000-0000-000081030000}" name="Kolom897"/>
    <tableColumn id="898" xr3:uid="{00000000-0010-0000-0000-000082030000}" name="Kolom898"/>
    <tableColumn id="899" xr3:uid="{00000000-0010-0000-0000-000083030000}" name="Kolom899"/>
    <tableColumn id="900" xr3:uid="{00000000-0010-0000-0000-000084030000}" name="Kolom900"/>
    <tableColumn id="901" xr3:uid="{00000000-0010-0000-0000-000085030000}" name="Kolom901"/>
    <tableColumn id="902" xr3:uid="{00000000-0010-0000-0000-000086030000}" name="Kolom902"/>
    <tableColumn id="903" xr3:uid="{00000000-0010-0000-0000-000087030000}" name="Kolom903"/>
    <tableColumn id="904" xr3:uid="{00000000-0010-0000-0000-000088030000}" name="Kolom904"/>
    <tableColumn id="905" xr3:uid="{00000000-0010-0000-0000-000089030000}" name="Kolom905"/>
    <tableColumn id="906" xr3:uid="{00000000-0010-0000-0000-00008A030000}" name="Kolom906"/>
    <tableColumn id="907" xr3:uid="{00000000-0010-0000-0000-00008B030000}" name="Kolom907"/>
    <tableColumn id="908" xr3:uid="{00000000-0010-0000-0000-00008C030000}" name="Kolom908"/>
    <tableColumn id="909" xr3:uid="{00000000-0010-0000-0000-00008D030000}" name="Kolom909"/>
    <tableColumn id="910" xr3:uid="{00000000-0010-0000-0000-00008E030000}" name="Kolom910"/>
    <tableColumn id="911" xr3:uid="{00000000-0010-0000-0000-00008F030000}" name="Kolom911"/>
    <tableColumn id="912" xr3:uid="{00000000-0010-0000-0000-000090030000}" name="Kolom912"/>
    <tableColumn id="913" xr3:uid="{00000000-0010-0000-0000-000091030000}" name="Kolom913"/>
    <tableColumn id="914" xr3:uid="{00000000-0010-0000-0000-000092030000}" name="Kolom914"/>
    <tableColumn id="915" xr3:uid="{00000000-0010-0000-0000-000093030000}" name="Kolom915"/>
    <tableColumn id="916" xr3:uid="{00000000-0010-0000-0000-000094030000}" name="Kolom916"/>
    <tableColumn id="917" xr3:uid="{00000000-0010-0000-0000-000095030000}" name="Kolom917"/>
    <tableColumn id="918" xr3:uid="{00000000-0010-0000-0000-000096030000}" name="Kolom918"/>
    <tableColumn id="919" xr3:uid="{00000000-0010-0000-0000-000097030000}" name="Kolom919"/>
    <tableColumn id="920" xr3:uid="{00000000-0010-0000-0000-000098030000}" name="Kolom920"/>
    <tableColumn id="921" xr3:uid="{00000000-0010-0000-0000-000099030000}" name="Kolom921"/>
    <tableColumn id="922" xr3:uid="{00000000-0010-0000-0000-00009A030000}" name="Kolom922"/>
    <tableColumn id="923" xr3:uid="{00000000-0010-0000-0000-00009B030000}" name="Kolom923"/>
    <tableColumn id="924" xr3:uid="{00000000-0010-0000-0000-00009C030000}" name="Kolom924"/>
    <tableColumn id="925" xr3:uid="{00000000-0010-0000-0000-00009D030000}" name="Kolom925"/>
    <tableColumn id="926" xr3:uid="{00000000-0010-0000-0000-00009E030000}" name="Kolom926"/>
    <tableColumn id="927" xr3:uid="{00000000-0010-0000-0000-00009F030000}" name="Kolom927"/>
    <tableColumn id="928" xr3:uid="{00000000-0010-0000-0000-0000A0030000}" name="Kolom928"/>
    <tableColumn id="929" xr3:uid="{00000000-0010-0000-0000-0000A1030000}" name="Kolom929"/>
    <tableColumn id="930" xr3:uid="{00000000-0010-0000-0000-0000A2030000}" name="Kolom930"/>
    <tableColumn id="931" xr3:uid="{00000000-0010-0000-0000-0000A3030000}" name="Kolom931"/>
    <tableColumn id="932" xr3:uid="{00000000-0010-0000-0000-0000A4030000}" name="Kolom932"/>
    <tableColumn id="933" xr3:uid="{00000000-0010-0000-0000-0000A5030000}" name="Kolom933"/>
    <tableColumn id="934" xr3:uid="{00000000-0010-0000-0000-0000A6030000}" name="Kolom934"/>
    <tableColumn id="935" xr3:uid="{00000000-0010-0000-0000-0000A7030000}" name="Kolom935"/>
    <tableColumn id="936" xr3:uid="{00000000-0010-0000-0000-0000A8030000}" name="Kolom936"/>
    <tableColumn id="937" xr3:uid="{00000000-0010-0000-0000-0000A9030000}" name="Kolom937"/>
    <tableColumn id="938" xr3:uid="{00000000-0010-0000-0000-0000AA030000}" name="Kolom938"/>
    <tableColumn id="939" xr3:uid="{00000000-0010-0000-0000-0000AB030000}" name="Kolom939"/>
    <tableColumn id="940" xr3:uid="{00000000-0010-0000-0000-0000AC030000}" name="Kolom940"/>
    <tableColumn id="941" xr3:uid="{00000000-0010-0000-0000-0000AD030000}" name="Kolom941"/>
    <tableColumn id="942" xr3:uid="{00000000-0010-0000-0000-0000AE030000}" name="Kolom942"/>
    <tableColumn id="943" xr3:uid="{00000000-0010-0000-0000-0000AF030000}" name="Kolom943"/>
    <tableColumn id="944" xr3:uid="{00000000-0010-0000-0000-0000B0030000}" name="Kolom944"/>
    <tableColumn id="945" xr3:uid="{00000000-0010-0000-0000-0000B1030000}" name="Kolom945"/>
    <tableColumn id="946" xr3:uid="{00000000-0010-0000-0000-0000B2030000}" name="Kolom946"/>
    <tableColumn id="947" xr3:uid="{00000000-0010-0000-0000-0000B3030000}" name="Kolom947"/>
    <tableColumn id="948" xr3:uid="{00000000-0010-0000-0000-0000B4030000}" name="Kolom948"/>
    <tableColumn id="949" xr3:uid="{00000000-0010-0000-0000-0000B5030000}" name="Kolom949"/>
    <tableColumn id="950" xr3:uid="{00000000-0010-0000-0000-0000B6030000}" name="Kolom950"/>
    <tableColumn id="951" xr3:uid="{00000000-0010-0000-0000-0000B7030000}" name="Kolom951"/>
    <tableColumn id="952" xr3:uid="{00000000-0010-0000-0000-0000B8030000}" name="Kolom952"/>
    <tableColumn id="953" xr3:uid="{00000000-0010-0000-0000-0000B9030000}" name="Kolom953"/>
    <tableColumn id="954" xr3:uid="{00000000-0010-0000-0000-0000BA030000}" name="Kolom954"/>
    <tableColumn id="955" xr3:uid="{00000000-0010-0000-0000-0000BB030000}" name="Kolom955"/>
    <tableColumn id="956" xr3:uid="{00000000-0010-0000-0000-0000BC030000}" name="Kolom956"/>
    <tableColumn id="957" xr3:uid="{00000000-0010-0000-0000-0000BD030000}" name="Kolom957"/>
    <tableColumn id="958" xr3:uid="{00000000-0010-0000-0000-0000BE030000}" name="Kolom958"/>
    <tableColumn id="959" xr3:uid="{00000000-0010-0000-0000-0000BF030000}" name="Kolom959"/>
    <tableColumn id="960" xr3:uid="{00000000-0010-0000-0000-0000C0030000}" name="Kolom960"/>
    <tableColumn id="961" xr3:uid="{00000000-0010-0000-0000-0000C1030000}" name="Kolom961"/>
    <tableColumn id="962" xr3:uid="{00000000-0010-0000-0000-0000C2030000}" name="Kolom962"/>
    <tableColumn id="963" xr3:uid="{00000000-0010-0000-0000-0000C3030000}" name="Kolom963"/>
    <tableColumn id="964" xr3:uid="{00000000-0010-0000-0000-0000C4030000}" name="Kolom964"/>
    <tableColumn id="965" xr3:uid="{00000000-0010-0000-0000-0000C5030000}" name="Kolom965"/>
    <tableColumn id="966" xr3:uid="{00000000-0010-0000-0000-0000C6030000}" name="Kolom966"/>
    <tableColumn id="967" xr3:uid="{00000000-0010-0000-0000-0000C7030000}" name="Kolom967"/>
    <tableColumn id="968" xr3:uid="{00000000-0010-0000-0000-0000C8030000}" name="Kolom968"/>
    <tableColumn id="969" xr3:uid="{00000000-0010-0000-0000-0000C9030000}" name="Kolom969"/>
    <tableColumn id="970" xr3:uid="{00000000-0010-0000-0000-0000CA030000}" name="Kolom970"/>
    <tableColumn id="971" xr3:uid="{00000000-0010-0000-0000-0000CB030000}" name="Kolom971"/>
    <tableColumn id="972" xr3:uid="{00000000-0010-0000-0000-0000CC030000}" name="Kolom972"/>
    <tableColumn id="973" xr3:uid="{00000000-0010-0000-0000-0000CD030000}" name="Kolom973"/>
    <tableColumn id="974" xr3:uid="{00000000-0010-0000-0000-0000CE030000}" name="Kolom974"/>
    <tableColumn id="975" xr3:uid="{00000000-0010-0000-0000-0000CF030000}" name="Kolom975"/>
    <tableColumn id="976" xr3:uid="{00000000-0010-0000-0000-0000D0030000}" name="Kolom976"/>
    <tableColumn id="977" xr3:uid="{00000000-0010-0000-0000-0000D1030000}" name="Kolom977"/>
    <tableColumn id="978" xr3:uid="{00000000-0010-0000-0000-0000D2030000}" name="Kolom978"/>
    <tableColumn id="979" xr3:uid="{00000000-0010-0000-0000-0000D3030000}" name="Kolom979"/>
    <tableColumn id="980" xr3:uid="{00000000-0010-0000-0000-0000D4030000}" name="Kolom980"/>
    <tableColumn id="981" xr3:uid="{00000000-0010-0000-0000-0000D5030000}" name="Kolom981"/>
    <tableColumn id="982" xr3:uid="{00000000-0010-0000-0000-0000D6030000}" name="Kolom982"/>
    <tableColumn id="983" xr3:uid="{00000000-0010-0000-0000-0000D7030000}" name="Kolom983"/>
    <tableColumn id="984" xr3:uid="{00000000-0010-0000-0000-0000D8030000}" name="Kolom984"/>
    <tableColumn id="985" xr3:uid="{00000000-0010-0000-0000-0000D9030000}" name="Kolom985"/>
    <tableColumn id="986" xr3:uid="{00000000-0010-0000-0000-0000DA030000}" name="Kolom986"/>
    <tableColumn id="987" xr3:uid="{00000000-0010-0000-0000-0000DB030000}" name="Kolom987"/>
    <tableColumn id="988" xr3:uid="{00000000-0010-0000-0000-0000DC030000}" name="Kolom988"/>
    <tableColumn id="989" xr3:uid="{00000000-0010-0000-0000-0000DD030000}" name="Kolom989"/>
    <tableColumn id="990" xr3:uid="{00000000-0010-0000-0000-0000DE030000}" name="Kolom990"/>
    <tableColumn id="991" xr3:uid="{00000000-0010-0000-0000-0000DF030000}" name="Kolom991"/>
    <tableColumn id="992" xr3:uid="{00000000-0010-0000-0000-0000E0030000}" name="Kolom992"/>
    <tableColumn id="993" xr3:uid="{00000000-0010-0000-0000-0000E1030000}" name="Kolom993"/>
    <tableColumn id="994" xr3:uid="{00000000-0010-0000-0000-0000E2030000}" name="Kolom994"/>
    <tableColumn id="995" xr3:uid="{00000000-0010-0000-0000-0000E3030000}" name="Kolom995"/>
    <tableColumn id="996" xr3:uid="{00000000-0010-0000-0000-0000E4030000}" name="Kolom996"/>
    <tableColumn id="997" xr3:uid="{00000000-0010-0000-0000-0000E5030000}" name="Kolom997"/>
    <tableColumn id="998" xr3:uid="{00000000-0010-0000-0000-0000E6030000}" name="Kolom998"/>
    <tableColumn id="999" xr3:uid="{00000000-0010-0000-0000-0000E7030000}" name="Kolom999"/>
    <tableColumn id="1000" xr3:uid="{00000000-0010-0000-0000-0000E8030000}" name="Kolom1000"/>
    <tableColumn id="1001" xr3:uid="{00000000-0010-0000-0000-0000E9030000}" name="Kolom1001"/>
    <tableColumn id="1002" xr3:uid="{00000000-0010-0000-0000-0000EA030000}" name="Kolom1002"/>
    <tableColumn id="1003" xr3:uid="{00000000-0010-0000-0000-0000EB030000}" name="Kolom1003"/>
    <tableColumn id="1004" xr3:uid="{00000000-0010-0000-0000-0000EC030000}" name="Kolom1004"/>
    <tableColumn id="1005" xr3:uid="{00000000-0010-0000-0000-0000ED030000}" name="Kolom1005"/>
    <tableColumn id="1006" xr3:uid="{00000000-0010-0000-0000-0000EE030000}" name="Kolom1006"/>
    <tableColumn id="1007" xr3:uid="{00000000-0010-0000-0000-0000EF030000}" name="Kolom1007"/>
    <tableColumn id="1008" xr3:uid="{00000000-0010-0000-0000-0000F0030000}" name="Kolom1008"/>
    <tableColumn id="1009" xr3:uid="{00000000-0010-0000-0000-0000F1030000}" name="Kolom1009"/>
    <tableColumn id="1010" xr3:uid="{00000000-0010-0000-0000-0000F2030000}" name="Kolom1010"/>
    <tableColumn id="1011" xr3:uid="{00000000-0010-0000-0000-0000F3030000}" name="Kolom1011"/>
    <tableColumn id="1012" xr3:uid="{00000000-0010-0000-0000-0000F4030000}" name="Kolom1012"/>
    <tableColumn id="1013" xr3:uid="{00000000-0010-0000-0000-0000F5030000}" name="Kolom1013"/>
    <tableColumn id="1014" xr3:uid="{00000000-0010-0000-0000-0000F6030000}" name="Kolom1014"/>
    <tableColumn id="1015" xr3:uid="{00000000-0010-0000-0000-0000F7030000}" name="Kolom1015"/>
    <tableColumn id="1016" xr3:uid="{00000000-0010-0000-0000-0000F8030000}" name="Kolom1016"/>
    <tableColumn id="1017" xr3:uid="{00000000-0010-0000-0000-0000F9030000}" name="Kolom1017"/>
    <tableColumn id="1018" xr3:uid="{00000000-0010-0000-0000-0000FA030000}" name="Kolom1018"/>
    <tableColumn id="1019" xr3:uid="{00000000-0010-0000-0000-0000FB030000}" name="Kolom1019"/>
    <tableColumn id="1020" xr3:uid="{00000000-0010-0000-0000-0000FC030000}" name="Kolom1020"/>
    <tableColumn id="1021" xr3:uid="{00000000-0010-0000-0000-0000FD030000}" name="Kolom1021"/>
    <tableColumn id="1022" xr3:uid="{00000000-0010-0000-0000-0000FE030000}" name="Kolom1022"/>
    <tableColumn id="1023" xr3:uid="{00000000-0010-0000-0000-0000FF030000}" name="Kolom1023"/>
    <tableColumn id="1024" xr3:uid="{00000000-0010-0000-0000-000000040000}" name="Kolom10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_Anonymous_Sheet_DB__05" displayName="__Anonymous_Sheet_DB__05" ref="A11:AMJ67" headerRowCount="0" totalsRowShown="0">
  <sortState xmlns:xlrd2="http://schemas.microsoft.com/office/spreadsheetml/2017/richdata2" ref="A11:AMJ67">
    <sortCondition ref="C11:C67"/>
    <sortCondition ref="E11:E67"/>
  </sortState>
  <tableColumns count="1024">
    <tableColumn id="1" xr3:uid="{00000000-0010-0000-0100-000001000000}" name="Kolom1"/>
    <tableColumn id="2" xr3:uid="{00000000-0010-0000-0100-000002000000}" name="Kolom2"/>
    <tableColumn id="3" xr3:uid="{00000000-0010-0000-0100-000003000000}" name="Kolom3"/>
    <tableColumn id="4" xr3:uid="{00000000-0010-0000-0100-000004000000}" name="Kolom4"/>
    <tableColumn id="5" xr3:uid="{00000000-0010-0000-0100-000005000000}" name="Kolom5"/>
    <tableColumn id="6" xr3:uid="{00000000-0010-0000-0100-000006000000}" name="Kolom6"/>
    <tableColumn id="7" xr3:uid="{00000000-0010-0000-0100-000007000000}" name="Kolom7"/>
    <tableColumn id="8" xr3:uid="{00000000-0010-0000-0100-000008000000}" name="Kolom8"/>
    <tableColumn id="9" xr3:uid="{00000000-0010-0000-0100-000009000000}" name="Kolom9"/>
    <tableColumn id="10" xr3:uid="{00000000-0010-0000-0100-00000A000000}" name="Kolom10"/>
    <tableColumn id="11" xr3:uid="{00000000-0010-0000-0100-00000B000000}" name="Kolom11"/>
    <tableColumn id="12" xr3:uid="{00000000-0010-0000-0100-00000C000000}" name="Kolom12"/>
    <tableColumn id="13" xr3:uid="{00000000-0010-0000-0100-00000D000000}" name="Kolom13"/>
    <tableColumn id="14" xr3:uid="{00000000-0010-0000-0100-00000E000000}" name="Kolom14"/>
    <tableColumn id="15" xr3:uid="{00000000-0010-0000-0100-00000F000000}" name="Kolom15"/>
    <tableColumn id="16" xr3:uid="{00000000-0010-0000-0100-000010000000}" name="Kolom16"/>
    <tableColumn id="17" xr3:uid="{00000000-0010-0000-0100-000011000000}" name="Kolom17"/>
    <tableColumn id="18" xr3:uid="{00000000-0010-0000-0100-000012000000}" name="Kolom18"/>
    <tableColumn id="19" xr3:uid="{00000000-0010-0000-0100-000013000000}" name="Kolom19"/>
    <tableColumn id="20" xr3:uid="{00000000-0010-0000-0100-000014000000}" name="Kolom20"/>
    <tableColumn id="21" xr3:uid="{00000000-0010-0000-0100-000015000000}" name="Kolom21"/>
    <tableColumn id="22" xr3:uid="{00000000-0010-0000-0100-000016000000}" name="Kolom22"/>
    <tableColumn id="23" xr3:uid="{00000000-0010-0000-0100-000017000000}" name="Kolom23"/>
    <tableColumn id="24" xr3:uid="{00000000-0010-0000-0100-000018000000}" name="Kolom24"/>
    <tableColumn id="25" xr3:uid="{00000000-0010-0000-0100-000019000000}" name="Kolom25"/>
    <tableColumn id="26" xr3:uid="{00000000-0010-0000-0100-00001A000000}" name="Kolom26"/>
    <tableColumn id="27" xr3:uid="{00000000-0010-0000-0100-00001B000000}" name="Kolom27"/>
    <tableColumn id="28" xr3:uid="{00000000-0010-0000-0100-00001C000000}" name="Kolom28"/>
    <tableColumn id="29" xr3:uid="{00000000-0010-0000-0100-00001D000000}" name="Kolom29"/>
    <tableColumn id="30" xr3:uid="{00000000-0010-0000-0100-00001E000000}" name="Kolom30"/>
    <tableColumn id="31" xr3:uid="{00000000-0010-0000-0100-00001F000000}" name="Kolom31"/>
    <tableColumn id="32" xr3:uid="{00000000-0010-0000-0100-000020000000}" name="Kolom32"/>
    <tableColumn id="33" xr3:uid="{00000000-0010-0000-0100-000021000000}" name="Kolom33"/>
    <tableColumn id="34" xr3:uid="{00000000-0010-0000-0100-000022000000}" name="Kolom34"/>
    <tableColumn id="35" xr3:uid="{00000000-0010-0000-0100-000023000000}" name="Kolom35"/>
    <tableColumn id="36" xr3:uid="{00000000-0010-0000-0100-000024000000}" name="Kolom36"/>
    <tableColumn id="37" xr3:uid="{00000000-0010-0000-0100-000025000000}" name="Kolom37"/>
    <tableColumn id="38" xr3:uid="{00000000-0010-0000-0100-000026000000}" name="Kolom38"/>
    <tableColumn id="39" xr3:uid="{00000000-0010-0000-0100-000027000000}" name="Kolom39"/>
    <tableColumn id="40" xr3:uid="{00000000-0010-0000-0100-000028000000}" name="Kolom40"/>
    <tableColumn id="41" xr3:uid="{00000000-0010-0000-0100-000029000000}" name="Kolom41"/>
    <tableColumn id="42" xr3:uid="{00000000-0010-0000-0100-00002A000000}" name="Kolom42"/>
    <tableColumn id="43" xr3:uid="{00000000-0010-0000-0100-00002B000000}" name="Kolom43"/>
    <tableColumn id="44" xr3:uid="{00000000-0010-0000-0100-00002C000000}" name="Kolom44"/>
    <tableColumn id="45" xr3:uid="{00000000-0010-0000-0100-00002D000000}" name="Kolom45"/>
    <tableColumn id="46" xr3:uid="{00000000-0010-0000-0100-00002E000000}" name="Kolom46"/>
    <tableColumn id="47" xr3:uid="{00000000-0010-0000-0100-00002F000000}" name="Kolom47"/>
    <tableColumn id="48" xr3:uid="{00000000-0010-0000-0100-000030000000}" name="Kolom48"/>
    <tableColumn id="49" xr3:uid="{00000000-0010-0000-0100-000031000000}" name="Kolom49"/>
    <tableColumn id="50" xr3:uid="{00000000-0010-0000-0100-000032000000}" name="Kolom50"/>
    <tableColumn id="51" xr3:uid="{00000000-0010-0000-0100-000033000000}" name="Kolom51"/>
    <tableColumn id="52" xr3:uid="{00000000-0010-0000-0100-000034000000}" name="Kolom52"/>
    <tableColumn id="53" xr3:uid="{00000000-0010-0000-0100-000035000000}" name="Kolom53"/>
    <tableColumn id="54" xr3:uid="{00000000-0010-0000-0100-000036000000}" name="Kolom54"/>
    <tableColumn id="55" xr3:uid="{00000000-0010-0000-0100-000037000000}" name="Kolom55"/>
    <tableColumn id="56" xr3:uid="{00000000-0010-0000-0100-000038000000}" name="Kolom56"/>
    <tableColumn id="57" xr3:uid="{00000000-0010-0000-0100-000039000000}" name="Kolom57"/>
    <tableColumn id="58" xr3:uid="{00000000-0010-0000-0100-00003A000000}" name="Kolom58"/>
    <tableColumn id="59" xr3:uid="{00000000-0010-0000-0100-00003B000000}" name="Kolom59"/>
    <tableColumn id="60" xr3:uid="{00000000-0010-0000-0100-00003C000000}" name="Kolom60"/>
    <tableColumn id="61" xr3:uid="{00000000-0010-0000-0100-00003D000000}" name="Kolom61"/>
    <tableColumn id="62" xr3:uid="{00000000-0010-0000-0100-00003E000000}" name="Kolom62"/>
    <tableColumn id="63" xr3:uid="{00000000-0010-0000-0100-00003F000000}" name="Kolom63"/>
    <tableColumn id="64" xr3:uid="{00000000-0010-0000-0100-000040000000}" name="Kolom64"/>
    <tableColumn id="65" xr3:uid="{00000000-0010-0000-0100-000041000000}" name="Kolom65"/>
    <tableColumn id="66" xr3:uid="{00000000-0010-0000-0100-000042000000}" name="Kolom66"/>
    <tableColumn id="67" xr3:uid="{00000000-0010-0000-0100-000043000000}" name="Kolom67"/>
    <tableColumn id="68" xr3:uid="{00000000-0010-0000-0100-000044000000}" name="Kolom68"/>
    <tableColumn id="69" xr3:uid="{00000000-0010-0000-0100-000045000000}" name="Kolom69"/>
    <tableColumn id="70" xr3:uid="{00000000-0010-0000-0100-000046000000}" name="Kolom70"/>
    <tableColumn id="71" xr3:uid="{00000000-0010-0000-0100-000047000000}" name="Kolom71"/>
    <tableColumn id="72" xr3:uid="{00000000-0010-0000-0100-000048000000}" name="Kolom72"/>
    <tableColumn id="73" xr3:uid="{00000000-0010-0000-0100-000049000000}" name="Kolom73"/>
    <tableColumn id="74" xr3:uid="{00000000-0010-0000-0100-00004A000000}" name="Kolom74"/>
    <tableColumn id="75" xr3:uid="{00000000-0010-0000-0100-00004B000000}" name="Kolom75"/>
    <tableColumn id="76" xr3:uid="{00000000-0010-0000-0100-00004C000000}" name="Kolom76"/>
    <tableColumn id="77" xr3:uid="{00000000-0010-0000-0100-00004D000000}" name="Kolom77"/>
    <tableColumn id="78" xr3:uid="{00000000-0010-0000-0100-00004E000000}" name="Kolom78"/>
    <tableColumn id="79" xr3:uid="{00000000-0010-0000-0100-00004F000000}" name="Kolom79"/>
    <tableColumn id="80" xr3:uid="{00000000-0010-0000-0100-000050000000}" name="Kolom80"/>
    <tableColumn id="81" xr3:uid="{00000000-0010-0000-0100-000051000000}" name="Kolom81"/>
    <tableColumn id="82" xr3:uid="{00000000-0010-0000-0100-000052000000}" name="Kolom82"/>
    <tableColumn id="83" xr3:uid="{00000000-0010-0000-0100-000053000000}" name="Kolom83"/>
    <tableColumn id="84" xr3:uid="{00000000-0010-0000-0100-000054000000}" name="Kolom84"/>
    <tableColumn id="85" xr3:uid="{00000000-0010-0000-0100-000055000000}" name="Kolom85"/>
    <tableColumn id="86" xr3:uid="{00000000-0010-0000-0100-000056000000}" name="Kolom86"/>
    <tableColumn id="87" xr3:uid="{00000000-0010-0000-0100-000057000000}" name="Kolom87"/>
    <tableColumn id="88" xr3:uid="{00000000-0010-0000-0100-000058000000}" name="Kolom88"/>
    <tableColumn id="89" xr3:uid="{00000000-0010-0000-0100-000059000000}" name="Kolom89"/>
    <tableColumn id="90" xr3:uid="{00000000-0010-0000-0100-00005A000000}" name="Kolom90"/>
    <tableColumn id="91" xr3:uid="{00000000-0010-0000-0100-00005B000000}" name="Kolom91"/>
    <tableColumn id="92" xr3:uid="{00000000-0010-0000-0100-00005C000000}" name="Kolom92"/>
    <tableColumn id="93" xr3:uid="{00000000-0010-0000-0100-00005D000000}" name="Kolom93"/>
    <tableColumn id="94" xr3:uid="{00000000-0010-0000-0100-00005E000000}" name="Kolom94"/>
    <tableColumn id="95" xr3:uid="{00000000-0010-0000-0100-00005F000000}" name="Kolom95"/>
    <tableColumn id="96" xr3:uid="{00000000-0010-0000-0100-000060000000}" name="Kolom96"/>
    <tableColumn id="97" xr3:uid="{00000000-0010-0000-0100-000061000000}" name="Kolom97"/>
    <tableColumn id="98" xr3:uid="{00000000-0010-0000-0100-000062000000}" name="Kolom98"/>
    <tableColumn id="99" xr3:uid="{00000000-0010-0000-0100-000063000000}" name="Kolom99"/>
    <tableColumn id="100" xr3:uid="{00000000-0010-0000-0100-000064000000}" name="Kolom100"/>
    <tableColumn id="101" xr3:uid="{00000000-0010-0000-0100-000065000000}" name="Kolom101"/>
    <tableColumn id="102" xr3:uid="{00000000-0010-0000-0100-000066000000}" name="Kolom102"/>
    <tableColumn id="103" xr3:uid="{00000000-0010-0000-0100-000067000000}" name="Kolom103"/>
    <tableColumn id="104" xr3:uid="{00000000-0010-0000-0100-000068000000}" name="Kolom104"/>
    <tableColumn id="105" xr3:uid="{00000000-0010-0000-0100-000069000000}" name="Kolom105"/>
    <tableColumn id="106" xr3:uid="{00000000-0010-0000-0100-00006A000000}" name="Kolom106"/>
    <tableColumn id="107" xr3:uid="{00000000-0010-0000-0100-00006B000000}" name="Kolom107"/>
    <tableColumn id="108" xr3:uid="{00000000-0010-0000-0100-00006C000000}" name="Kolom108"/>
    <tableColumn id="109" xr3:uid="{00000000-0010-0000-0100-00006D000000}" name="Kolom109"/>
    <tableColumn id="110" xr3:uid="{00000000-0010-0000-0100-00006E000000}" name="Kolom110"/>
    <tableColumn id="111" xr3:uid="{00000000-0010-0000-0100-00006F000000}" name="Kolom111"/>
    <tableColumn id="112" xr3:uid="{00000000-0010-0000-0100-000070000000}" name="Kolom112"/>
    <tableColumn id="113" xr3:uid="{00000000-0010-0000-0100-000071000000}" name="Kolom113"/>
    <tableColumn id="114" xr3:uid="{00000000-0010-0000-0100-000072000000}" name="Kolom114"/>
    <tableColumn id="115" xr3:uid="{00000000-0010-0000-0100-000073000000}" name="Kolom115"/>
    <tableColumn id="116" xr3:uid="{00000000-0010-0000-0100-000074000000}" name="Kolom116"/>
    <tableColumn id="117" xr3:uid="{00000000-0010-0000-0100-000075000000}" name="Kolom117"/>
    <tableColumn id="118" xr3:uid="{00000000-0010-0000-0100-000076000000}" name="Kolom118"/>
    <tableColumn id="119" xr3:uid="{00000000-0010-0000-0100-000077000000}" name="Kolom119"/>
    <tableColumn id="120" xr3:uid="{00000000-0010-0000-0100-000078000000}" name="Kolom120"/>
    <tableColumn id="121" xr3:uid="{00000000-0010-0000-0100-000079000000}" name="Kolom121"/>
    <tableColumn id="122" xr3:uid="{00000000-0010-0000-0100-00007A000000}" name="Kolom122"/>
    <tableColumn id="123" xr3:uid="{00000000-0010-0000-0100-00007B000000}" name="Kolom123"/>
    <tableColumn id="124" xr3:uid="{00000000-0010-0000-0100-00007C000000}" name="Kolom124"/>
    <tableColumn id="125" xr3:uid="{00000000-0010-0000-0100-00007D000000}" name="Kolom125"/>
    <tableColumn id="126" xr3:uid="{00000000-0010-0000-0100-00007E000000}" name="Kolom126"/>
    <tableColumn id="127" xr3:uid="{00000000-0010-0000-0100-00007F000000}" name="Kolom127"/>
    <tableColumn id="128" xr3:uid="{00000000-0010-0000-0100-000080000000}" name="Kolom128"/>
    <tableColumn id="129" xr3:uid="{00000000-0010-0000-0100-000081000000}" name="Kolom129"/>
    <tableColumn id="130" xr3:uid="{00000000-0010-0000-0100-000082000000}" name="Kolom130"/>
    <tableColumn id="131" xr3:uid="{00000000-0010-0000-0100-000083000000}" name="Kolom131"/>
    <tableColumn id="132" xr3:uid="{00000000-0010-0000-0100-000084000000}" name="Kolom132"/>
    <tableColumn id="133" xr3:uid="{00000000-0010-0000-0100-000085000000}" name="Kolom133"/>
    <tableColumn id="134" xr3:uid="{00000000-0010-0000-0100-000086000000}" name="Kolom134"/>
    <tableColumn id="135" xr3:uid="{00000000-0010-0000-0100-000087000000}" name="Kolom135"/>
    <tableColumn id="136" xr3:uid="{00000000-0010-0000-0100-000088000000}" name="Kolom136"/>
    <tableColumn id="137" xr3:uid="{00000000-0010-0000-0100-000089000000}" name="Kolom137"/>
    <tableColumn id="138" xr3:uid="{00000000-0010-0000-0100-00008A000000}" name="Kolom138"/>
    <tableColumn id="139" xr3:uid="{00000000-0010-0000-0100-00008B000000}" name="Kolom139"/>
    <tableColumn id="140" xr3:uid="{00000000-0010-0000-0100-00008C000000}" name="Kolom140"/>
    <tableColumn id="141" xr3:uid="{00000000-0010-0000-0100-00008D000000}" name="Kolom141"/>
    <tableColumn id="142" xr3:uid="{00000000-0010-0000-0100-00008E000000}" name="Kolom142"/>
    <tableColumn id="143" xr3:uid="{00000000-0010-0000-0100-00008F000000}" name="Kolom143"/>
    <tableColumn id="144" xr3:uid="{00000000-0010-0000-0100-000090000000}" name="Kolom144"/>
    <tableColumn id="145" xr3:uid="{00000000-0010-0000-0100-000091000000}" name="Kolom145"/>
    <tableColumn id="146" xr3:uid="{00000000-0010-0000-0100-000092000000}" name="Kolom146"/>
    <tableColumn id="147" xr3:uid="{00000000-0010-0000-0100-000093000000}" name="Kolom147"/>
    <tableColumn id="148" xr3:uid="{00000000-0010-0000-0100-000094000000}" name="Kolom148"/>
    <tableColumn id="149" xr3:uid="{00000000-0010-0000-0100-000095000000}" name="Kolom149"/>
    <tableColumn id="150" xr3:uid="{00000000-0010-0000-0100-000096000000}" name="Kolom150"/>
    <tableColumn id="151" xr3:uid="{00000000-0010-0000-0100-000097000000}" name="Kolom151"/>
    <tableColumn id="152" xr3:uid="{00000000-0010-0000-0100-000098000000}" name="Kolom152"/>
    <tableColumn id="153" xr3:uid="{00000000-0010-0000-0100-000099000000}" name="Kolom153"/>
    <tableColumn id="154" xr3:uid="{00000000-0010-0000-0100-00009A000000}" name="Kolom154"/>
    <tableColumn id="155" xr3:uid="{00000000-0010-0000-0100-00009B000000}" name="Kolom155"/>
    <tableColumn id="156" xr3:uid="{00000000-0010-0000-0100-00009C000000}" name="Kolom156"/>
    <tableColumn id="157" xr3:uid="{00000000-0010-0000-0100-00009D000000}" name="Kolom157"/>
    <tableColumn id="158" xr3:uid="{00000000-0010-0000-0100-00009E000000}" name="Kolom158"/>
    <tableColumn id="159" xr3:uid="{00000000-0010-0000-0100-00009F000000}" name="Kolom159"/>
    <tableColumn id="160" xr3:uid="{00000000-0010-0000-0100-0000A0000000}" name="Kolom160"/>
    <tableColumn id="161" xr3:uid="{00000000-0010-0000-0100-0000A1000000}" name="Kolom161"/>
    <tableColumn id="162" xr3:uid="{00000000-0010-0000-0100-0000A2000000}" name="Kolom162"/>
    <tableColumn id="163" xr3:uid="{00000000-0010-0000-0100-0000A3000000}" name="Kolom163"/>
    <tableColumn id="164" xr3:uid="{00000000-0010-0000-0100-0000A4000000}" name="Kolom164"/>
    <tableColumn id="165" xr3:uid="{00000000-0010-0000-0100-0000A5000000}" name="Kolom165"/>
    <tableColumn id="166" xr3:uid="{00000000-0010-0000-0100-0000A6000000}" name="Kolom166"/>
    <tableColumn id="167" xr3:uid="{00000000-0010-0000-0100-0000A7000000}" name="Kolom167"/>
    <tableColumn id="168" xr3:uid="{00000000-0010-0000-0100-0000A8000000}" name="Kolom168"/>
    <tableColumn id="169" xr3:uid="{00000000-0010-0000-0100-0000A9000000}" name="Kolom169"/>
    <tableColumn id="170" xr3:uid="{00000000-0010-0000-0100-0000AA000000}" name="Kolom170"/>
    <tableColumn id="171" xr3:uid="{00000000-0010-0000-0100-0000AB000000}" name="Kolom171"/>
    <tableColumn id="172" xr3:uid="{00000000-0010-0000-0100-0000AC000000}" name="Kolom172"/>
    <tableColumn id="173" xr3:uid="{00000000-0010-0000-0100-0000AD000000}" name="Kolom173"/>
    <tableColumn id="174" xr3:uid="{00000000-0010-0000-0100-0000AE000000}" name="Kolom174"/>
    <tableColumn id="175" xr3:uid="{00000000-0010-0000-0100-0000AF000000}" name="Kolom175"/>
    <tableColumn id="176" xr3:uid="{00000000-0010-0000-0100-0000B0000000}" name="Kolom176"/>
    <tableColumn id="177" xr3:uid="{00000000-0010-0000-0100-0000B1000000}" name="Kolom177"/>
    <tableColumn id="178" xr3:uid="{00000000-0010-0000-0100-0000B2000000}" name="Kolom178"/>
    <tableColumn id="179" xr3:uid="{00000000-0010-0000-0100-0000B3000000}" name="Kolom179"/>
    <tableColumn id="180" xr3:uid="{00000000-0010-0000-0100-0000B4000000}" name="Kolom180"/>
    <tableColumn id="181" xr3:uid="{00000000-0010-0000-0100-0000B5000000}" name="Kolom181"/>
    <tableColumn id="182" xr3:uid="{00000000-0010-0000-0100-0000B6000000}" name="Kolom182"/>
    <tableColumn id="183" xr3:uid="{00000000-0010-0000-0100-0000B7000000}" name="Kolom183"/>
    <tableColumn id="184" xr3:uid="{00000000-0010-0000-0100-0000B8000000}" name="Kolom184"/>
    <tableColumn id="185" xr3:uid="{00000000-0010-0000-0100-0000B9000000}" name="Kolom185"/>
    <tableColumn id="186" xr3:uid="{00000000-0010-0000-0100-0000BA000000}" name="Kolom186"/>
    <tableColumn id="187" xr3:uid="{00000000-0010-0000-0100-0000BB000000}" name="Kolom187"/>
    <tableColumn id="188" xr3:uid="{00000000-0010-0000-0100-0000BC000000}" name="Kolom188"/>
    <tableColumn id="189" xr3:uid="{00000000-0010-0000-0100-0000BD000000}" name="Kolom189"/>
    <tableColumn id="190" xr3:uid="{00000000-0010-0000-0100-0000BE000000}" name="Kolom190"/>
    <tableColumn id="191" xr3:uid="{00000000-0010-0000-0100-0000BF000000}" name="Kolom191"/>
    <tableColumn id="192" xr3:uid="{00000000-0010-0000-0100-0000C0000000}" name="Kolom192"/>
    <tableColumn id="193" xr3:uid="{00000000-0010-0000-0100-0000C1000000}" name="Kolom193"/>
    <tableColumn id="194" xr3:uid="{00000000-0010-0000-0100-0000C2000000}" name="Kolom194"/>
    <tableColumn id="195" xr3:uid="{00000000-0010-0000-0100-0000C3000000}" name="Kolom195"/>
    <tableColumn id="196" xr3:uid="{00000000-0010-0000-0100-0000C4000000}" name="Kolom196"/>
    <tableColumn id="197" xr3:uid="{00000000-0010-0000-0100-0000C5000000}" name="Kolom197"/>
    <tableColumn id="198" xr3:uid="{00000000-0010-0000-0100-0000C6000000}" name="Kolom198"/>
    <tableColumn id="199" xr3:uid="{00000000-0010-0000-0100-0000C7000000}" name="Kolom199"/>
    <tableColumn id="200" xr3:uid="{00000000-0010-0000-0100-0000C8000000}" name="Kolom200"/>
    <tableColumn id="201" xr3:uid="{00000000-0010-0000-0100-0000C9000000}" name="Kolom201"/>
    <tableColumn id="202" xr3:uid="{00000000-0010-0000-0100-0000CA000000}" name="Kolom202"/>
    <tableColumn id="203" xr3:uid="{00000000-0010-0000-0100-0000CB000000}" name="Kolom203"/>
    <tableColumn id="204" xr3:uid="{00000000-0010-0000-0100-0000CC000000}" name="Kolom204"/>
    <tableColumn id="205" xr3:uid="{00000000-0010-0000-0100-0000CD000000}" name="Kolom205"/>
    <tableColumn id="206" xr3:uid="{00000000-0010-0000-0100-0000CE000000}" name="Kolom206"/>
    <tableColumn id="207" xr3:uid="{00000000-0010-0000-0100-0000CF000000}" name="Kolom207"/>
    <tableColumn id="208" xr3:uid="{00000000-0010-0000-0100-0000D0000000}" name="Kolom208"/>
    <tableColumn id="209" xr3:uid="{00000000-0010-0000-0100-0000D1000000}" name="Kolom209"/>
    <tableColumn id="210" xr3:uid="{00000000-0010-0000-0100-0000D2000000}" name="Kolom210"/>
    <tableColumn id="211" xr3:uid="{00000000-0010-0000-0100-0000D3000000}" name="Kolom211"/>
    <tableColumn id="212" xr3:uid="{00000000-0010-0000-0100-0000D4000000}" name="Kolom212"/>
    <tableColumn id="213" xr3:uid="{00000000-0010-0000-0100-0000D5000000}" name="Kolom213"/>
    <tableColumn id="214" xr3:uid="{00000000-0010-0000-0100-0000D6000000}" name="Kolom214"/>
    <tableColumn id="215" xr3:uid="{00000000-0010-0000-0100-0000D7000000}" name="Kolom215"/>
    <tableColumn id="216" xr3:uid="{00000000-0010-0000-0100-0000D8000000}" name="Kolom216"/>
    <tableColumn id="217" xr3:uid="{00000000-0010-0000-0100-0000D9000000}" name="Kolom217"/>
    <tableColumn id="218" xr3:uid="{00000000-0010-0000-0100-0000DA000000}" name="Kolom218"/>
    <tableColumn id="219" xr3:uid="{00000000-0010-0000-0100-0000DB000000}" name="Kolom219"/>
    <tableColumn id="220" xr3:uid="{00000000-0010-0000-0100-0000DC000000}" name="Kolom220"/>
    <tableColumn id="221" xr3:uid="{00000000-0010-0000-0100-0000DD000000}" name="Kolom221"/>
    <tableColumn id="222" xr3:uid="{00000000-0010-0000-0100-0000DE000000}" name="Kolom222"/>
    <tableColumn id="223" xr3:uid="{00000000-0010-0000-0100-0000DF000000}" name="Kolom223"/>
    <tableColumn id="224" xr3:uid="{00000000-0010-0000-0100-0000E0000000}" name="Kolom224"/>
    <tableColumn id="225" xr3:uid="{00000000-0010-0000-0100-0000E1000000}" name="Kolom225"/>
    <tableColumn id="226" xr3:uid="{00000000-0010-0000-0100-0000E2000000}" name="Kolom226"/>
    <tableColumn id="227" xr3:uid="{00000000-0010-0000-0100-0000E3000000}" name="Kolom227"/>
    <tableColumn id="228" xr3:uid="{00000000-0010-0000-0100-0000E4000000}" name="Kolom228"/>
    <tableColumn id="229" xr3:uid="{00000000-0010-0000-0100-0000E5000000}" name="Kolom229"/>
    <tableColumn id="230" xr3:uid="{00000000-0010-0000-0100-0000E6000000}" name="Kolom230"/>
    <tableColumn id="231" xr3:uid="{00000000-0010-0000-0100-0000E7000000}" name="Kolom231"/>
    <tableColumn id="232" xr3:uid="{00000000-0010-0000-0100-0000E8000000}" name="Kolom232"/>
    <tableColumn id="233" xr3:uid="{00000000-0010-0000-0100-0000E9000000}" name="Kolom233"/>
    <tableColumn id="234" xr3:uid="{00000000-0010-0000-0100-0000EA000000}" name="Kolom234"/>
    <tableColumn id="235" xr3:uid="{00000000-0010-0000-0100-0000EB000000}" name="Kolom235"/>
    <tableColumn id="236" xr3:uid="{00000000-0010-0000-0100-0000EC000000}" name="Kolom236"/>
    <tableColumn id="237" xr3:uid="{00000000-0010-0000-0100-0000ED000000}" name="Kolom237"/>
    <tableColumn id="238" xr3:uid="{00000000-0010-0000-0100-0000EE000000}" name="Kolom238"/>
    <tableColumn id="239" xr3:uid="{00000000-0010-0000-0100-0000EF000000}" name="Kolom239"/>
    <tableColumn id="240" xr3:uid="{00000000-0010-0000-0100-0000F0000000}" name="Kolom240"/>
    <tableColumn id="241" xr3:uid="{00000000-0010-0000-0100-0000F1000000}" name="Kolom241"/>
    <tableColumn id="242" xr3:uid="{00000000-0010-0000-0100-0000F2000000}" name="Kolom242"/>
    <tableColumn id="243" xr3:uid="{00000000-0010-0000-0100-0000F3000000}" name="Kolom243"/>
    <tableColumn id="244" xr3:uid="{00000000-0010-0000-0100-0000F4000000}" name="Kolom244"/>
    <tableColumn id="245" xr3:uid="{00000000-0010-0000-0100-0000F5000000}" name="Kolom245"/>
    <tableColumn id="246" xr3:uid="{00000000-0010-0000-0100-0000F6000000}" name="Kolom246"/>
    <tableColumn id="247" xr3:uid="{00000000-0010-0000-0100-0000F7000000}" name="Kolom247"/>
    <tableColumn id="248" xr3:uid="{00000000-0010-0000-0100-0000F8000000}" name="Kolom248"/>
    <tableColumn id="249" xr3:uid="{00000000-0010-0000-0100-0000F9000000}" name="Kolom249"/>
    <tableColumn id="250" xr3:uid="{00000000-0010-0000-0100-0000FA000000}" name="Kolom250"/>
    <tableColumn id="251" xr3:uid="{00000000-0010-0000-0100-0000FB000000}" name="Kolom251"/>
    <tableColumn id="252" xr3:uid="{00000000-0010-0000-0100-0000FC000000}" name="Kolom252"/>
    <tableColumn id="253" xr3:uid="{00000000-0010-0000-0100-0000FD000000}" name="Kolom253"/>
    <tableColumn id="254" xr3:uid="{00000000-0010-0000-0100-0000FE000000}" name="Kolom254"/>
    <tableColumn id="255" xr3:uid="{00000000-0010-0000-0100-0000FF000000}" name="Kolom255"/>
    <tableColumn id="256" xr3:uid="{00000000-0010-0000-0100-000000010000}" name="Kolom256"/>
    <tableColumn id="257" xr3:uid="{00000000-0010-0000-0100-000001010000}" name="Kolom257"/>
    <tableColumn id="258" xr3:uid="{00000000-0010-0000-0100-000002010000}" name="Kolom258"/>
    <tableColumn id="259" xr3:uid="{00000000-0010-0000-0100-000003010000}" name="Kolom259"/>
    <tableColumn id="260" xr3:uid="{00000000-0010-0000-0100-000004010000}" name="Kolom260"/>
    <tableColumn id="261" xr3:uid="{00000000-0010-0000-0100-000005010000}" name="Kolom261"/>
    <tableColumn id="262" xr3:uid="{00000000-0010-0000-0100-000006010000}" name="Kolom262"/>
    <tableColumn id="263" xr3:uid="{00000000-0010-0000-0100-000007010000}" name="Kolom263"/>
    <tableColumn id="264" xr3:uid="{00000000-0010-0000-0100-000008010000}" name="Kolom264"/>
    <tableColumn id="265" xr3:uid="{00000000-0010-0000-0100-000009010000}" name="Kolom265"/>
    <tableColumn id="266" xr3:uid="{00000000-0010-0000-0100-00000A010000}" name="Kolom266"/>
    <tableColumn id="267" xr3:uid="{00000000-0010-0000-0100-00000B010000}" name="Kolom267"/>
    <tableColumn id="268" xr3:uid="{00000000-0010-0000-0100-00000C010000}" name="Kolom268"/>
    <tableColumn id="269" xr3:uid="{00000000-0010-0000-0100-00000D010000}" name="Kolom269"/>
    <tableColumn id="270" xr3:uid="{00000000-0010-0000-0100-00000E010000}" name="Kolom270"/>
    <tableColumn id="271" xr3:uid="{00000000-0010-0000-0100-00000F010000}" name="Kolom271"/>
    <tableColumn id="272" xr3:uid="{00000000-0010-0000-0100-000010010000}" name="Kolom272"/>
    <tableColumn id="273" xr3:uid="{00000000-0010-0000-0100-000011010000}" name="Kolom273"/>
    <tableColumn id="274" xr3:uid="{00000000-0010-0000-0100-000012010000}" name="Kolom274"/>
    <tableColumn id="275" xr3:uid="{00000000-0010-0000-0100-000013010000}" name="Kolom275"/>
    <tableColumn id="276" xr3:uid="{00000000-0010-0000-0100-000014010000}" name="Kolom276"/>
    <tableColumn id="277" xr3:uid="{00000000-0010-0000-0100-000015010000}" name="Kolom277"/>
    <tableColumn id="278" xr3:uid="{00000000-0010-0000-0100-000016010000}" name="Kolom278"/>
    <tableColumn id="279" xr3:uid="{00000000-0010-0000-0100-000017010000}" name="Kolom279"/>
    <tableColumn id="280" xr3:uid="{00000000-0010-0000-0100-000018010000}" name="Kolom280"/>
    <tableColumn id="281" xr3:uid="{00000000-0010-0000-0100-000019010000}" name="Kolom281"/>
    <tableColumn id="282" xr3:uid="{00000000-0010-0000-0100-00001A010000}" name="Kolom282"/>
    <tableColumn id="283" xr3:uid="{00000000-0010-0000-0100-00001B010000}" name="Kolom283"/>
    <tableColumn id="284" xr3:uid="{00000000-0010-0000-0100-00001C010000}" name="Kolom284"/>
    <tableColumn id="285" xr3:uid="{00000000-0010-0000-0100-00001D010000}" name="Kolom285"/>
    <tableColumn id="286" xr3:uid="{00000000-0010-0000-0100-00001E010000}" name="Kolom286"/>
    <tableColumn id="287" xr3:uid="{00000000-0010-0000-0100-00001F010000}" name="Kolom287"/>
    <tableColumn id="288" xr3:uid="{00000000-0010-0000-0100-000020010000}" name="Kolom288"/>
    <tableColumn id="289" xr3:uid="{00000000-0010-0000-0100-000021010000}" name="Kolom289"/>
    <tableColumn id="290" xr3:uid="{00000000-0010-0000-0100-000022010000}" name="Kolom290"/>
    <tableColumn id="291" xr3:uid="{00000000-0010-0000-0100-000023010000}" name="Kolom291"/>
    <tableColumn id="292" xr3:uid="{00000000-0010-0000-0100-000024010000}" name="Kolom292"/>
    <tableColumn id="293" xr3:uid="{00000000-0010-0000-0100-000025010000}" name="Kolom293"/>
    <tableColumn id="294" xr3:uid="{00000000-0010-0000-0100-000026010000}" name="Kolom294"/>
    <tableColumn id="295" xr3:uid="{00000000-0010-0000-0100-000027010000}" name="Kolom295"/>
    <tableColumn id="296" xr3:uid="{00000000-0010-0000-0100-000028010000}" name="Kolom296"/>
    <tableColumn id="297" xr3:uid="{00000000-0010-0000-0100-000029010000}" name="Kolom297"/>
    <tableColumn id="298" xr3:uid="{00000000-0010-0000-0100-00002A010000}" name="Kolom298"/>
    <tableColumn id="299" xr3:uid="{00000000-0010-0000-0100-00002B010000}" name="Kolom299"/>
    <tableColumn id="300" xr3:uid="{00000000-0010-0000-0100-00002C010000}" name="Kolom300"/>
    <tableColumn id="301" xr3:uid="{00000000-0010-0000-0100-00002D010000}" name="Kolom301"/>
    <tableColumn id="302" xr3:uid="{00000000-0010-0000-0100-00002E010000}" name="Kolom302"/>
    <tableColumn id="303" xr3:uid="{00000000-0010-0000-0100-00002F010000}" name="Kolom303"/>
    <tableColumn id="304" xr3:uid="{00000000-0010-0000-0100-000030010000}" name="Kolom304"/>
    <tableColumn id="305" xr3:uid="{00000000-0010-0000-0100-000031010000}" name="Kolom305"/>
    <tableColumn id="306" xr3:uid="{00000000-0010-0000-0100-000032010000}" name="Kolom306"/>
    <tableColumn id="307" xr3:uid="{00000000-0010-0000-0100-000033010000}" name="Kolom307"/>
    <tableColumn id="308" xr3:uid="{00000000-0010-0000-0100-000034010000}" name="Kolom308"/>
    <tableColumn id="309" xr3:uid="{00000000-0010-0000-0100-000035010000}" name="Kolom309"/>
    <tableColumn id="310" xr3:uid="{00000000-0010-0000-0100-000036010000}" name="Kolom310"/>
    <tableColumn id="311" xr3:uid="{00000000-0010-0000-0100-000037010000}" name="Kolom311"/>
    <tableColumn id="312" xr3:uid="{00000000-0010-0000-0100-000038010000}" name="Kolom312"/>
    <tableColumn id="313" xr3:uid="{00000000-0010-0000-0100-000039010000}" name="Kolom313"/>
    <tableColumn id="314" xr3:uid="{00000000-0010-0000-0100-00003A010000}" name="Kolom314"/>
    <tableColumn id="315" xr3:uid="{00000000-0010-0000-0100-00003B010000}" name="Kolom315"/>
    <tableColumn id="316" xr3:uid="{00000000-0010-0000-0100-00003C010000}" name="Kolom316"/>
    <tableColumn id="317" xr3:uid="{00000000-0010-0000-0100-00003D010000}" name="Kolom317"/>
    <tableColumn id="318" xr3:uid="{00000000-0010-0000-0100-00003E010000}" name="Kolom318"/>
    <tableColumn id="319" xr3:uid="{00000000-0010-0000-0100-00003F010000}" name="Kolom319"/>
    <tableColumn id="320" xr3:uid="{00000000-0010-0000-0100-000040010000}" name="Kolom320"/>
    <tableColumn id="321" xr3:uid="{00000000-0010-0000-0100-000041010000}" name="Kolom321"/>
    <tableColumn id="322" xr3:uid="{00000000-0010-0000-0100-000042010000}" name="Kolom322"/>
    <tableColumn id="323" xr3:uid="{00000000-0010-0000-0100-000043010000}" name="Kolom323"/>
    <tableColumn id="324" xr3:uid="{00000000-0010-0000-0100-000044010000}" name="Kolom324"/>
    <tableColumn id="325" xr3:uid="{00000000-0010-0000-0100-000045010000}" name="Kolom325"/>
    <tableColumn id="326" xr3:uid="{00000000-0010-0000-0100-000046010000}" name="Kolom326"/>
    <tableColumn id="327" xr3:uid="{00000000-0010-0000-0100-000047010000}" name="Kolom327"/>
    <tableColumn id="328" xr3:uid="{00000000-0010-0000-0100-000048010000}" name="Kolom328"/>
    <tableColumn id="329" xr3:uid="{00000000-0010-0000-0100-000049010000}" name="Kolom329"/>
    <tableColumn id="330" xr3:uid="{00000000-0010-0000-0100-00004A010000}" name="Kolom330"/>
    <tableColumn id="331" xr3:uid="{00000000-0010-0000-0100-00004B010000}" name="Kolom331"/>
    <tableColumn id="332" xr3:uid="{00000000-0010-0000-0100-00004C010000}" name="Kolom332"/>
    <tableColumn id="333" xr3:uid="{00000000-0010-0000-0100-00004D010000}" name="Kolom333"/>
    <tableColumn id="334" xr3:uid="{00000000-0010-0000-0100-00004E010000}" name="Kolom334"/>
    <tableColumn id="335" xr3:uid="{00000000-0010-0000-0100-00004F010000}" name="Kolom335"/>
    <tableColumn id="336" xr3:uid="{00000000-0010-0000-0100-000050010000}" name="Kolom336"/>
    <tableColumn id="337" xr3:uid="{00000000-0010-0000-0100-000051010000}" name="Kolom337"/>
    <tableColumn id="338" xr3:uid="{00000000-0010-0000-0100-000052010000}" name="Kolom338"/>
    <tableColumn id="339" xr3:uid="{00000000-0010-0000-0100-000053010000}" name="Kolom339"/>
    <tableColumn id="340" xr3:uid="{00000000-0010-0000-0100-000054010000}" name="Kolom340"/>
    <tableColumn id="341" xr3:uid="{00000000-0010-0000-0100-000055010000}" name="Kolom341"/>
    <tableColumn id="342" xr3:uid="{00000000-0010-0000-0100-000056010000}" name="Kolom342"/>
    <tableColumn id="343" xr3:uid="{00000000-0010-0000-0100-000057010000}" name="Kolom343"/>
    <tableColumn id="344" xr3:uid="{00000000-0010-0000-0100-000058010000}" name="Kolom344"/>
    <tableColumn id="345" xr3:uid="{00000000-0010-0000-0100-000059010000}" name="Kolom345"/>
    <tableColumn id="346" xr3:uid="{00000000-0010-0000-0100-00005A010000}" name="Kolom346"/>
    <tableColumn id="347" xr3:uid="{00000000-0010-0000-0100-00005B010000}" name="Kolom347"/>
    <tableColumn id="348" xr3:uid="{00000000-0010-0000-0100-00005C010000}" name="Kolom348"/>
    <tableColumn id="349" xr3:uid="{00000000-0010-0000-0100-00005D010000}" name="Kolom349"/>
    <tableColumn id="350" xr3:uid="{00000000-0010-0000-0100-00005E010000}" name="Kolom350"/>
    <tableColumn id="351" xr3:uid="{00000000-0010-0000-0100-00005F010000}" name="Kolom351"/>
    <tableColumn id="352" xr3:uid="{00000000-0010-0000-0100-000060010000}" name="Kolom352"/>
    <tableColumn id="353" xr3:uid="{00000000-0010-0000-0100-000061010000}" name="Kolom353"/>
    <tableColumn id="354" xr3:uid="{00000000-0010-0000-0100-000062010000}" name="Kolom354"/>
    <tableColumn id="355" xr3:uid="{00000000-0010-0000-0100-000063010000}" name="Kolom355"/>
    <tableColumn id="356" xr3:uid="{00000000-0010-0000-0100-000064010000}" name="Kolom356"/>
    <tableColumn id="357" xr3:uid="{00000000-0010-0000-0100-000065010000}" name="Kolom357"/>
    <tableColumn id="358" xr3:uid="{00000000-0010-0000-0100-000066010000}" name="Kolom358"/>
    <tableColumn id="359" xr3:uid="{00000000-0010-0000-0100-000067010000}" name="Kolom359"/>
    <tableColumn id="360" xr3:uid="{00000000-0010-0000-0100-000068010000}" name="Kolom360"/>
    <tableColumn id="361" xr3:uid="{00000000-0010-0000-0100-000069010000}" name="Kolom361"/>
    <tableColumn id="362" xr3:uid="{00000000-0010-0000-0100-00006A010000}" name="Kolom362"/>
    <tableColumn id="363" xr3:uid="{00000000-0010-0000-0100-00006B010000}" name="Kolom363"/>
    <tableColumn id="364" xr3:uid="{00000000-0010-0000-0100-00006C010000}" name="Kolom364"/>
    <tableColumn id="365" xr3:uid="{00000000-0010-0000-0100-00006D010000}" name="Kolom365"/>
    <tableColumn id="366" xr3:uid="{00000000-0010-0000-0100-00006E010000}" name="Kolom366"/>
    <tableColumn id="367" xr3:uid="{00000000-0010-0000-0100-00006F010000}" name="Kolom367"/>
    <tableColumn id="368" xr3:uid="{00000000-0010-0000-0100-000070010000}" name="Kolom368"/>
    <tableColumn id="369" xr3:uid="{00000000-0010-0000-0100-000071010000}" name="Kolom369"/>
    <tableColumn id="370" xr3:uid="{00000000-0010-0000-0100-000072010000}" name="Kolom370"/>
    <tableColumn id="371" xr3:uid="{00000000-0010-0000-0100-000073010000}" name="Kolom371"/>
    <tableColumn id="372" xr3:uid="{00000000-0010-0000-0100-000074010000}" name="Kolom372"/>
    <tableColumn id="373" xr3:uid="{00000000-0010-0000-0100-000075010000}" name="Kolom373"/>
    <tableColumn id="374" xr3:uid="{00000000-0010-0000-0100-000076010000}" name="Kolom374"/>
    <tableColumn id="375" xr3:uid="{00000000-0010-0000-0100-000077010000}" name="Kolom375"/>
    <tableColumn id="376" xr3:uid="{00000000-0010-0000-0100-000078010000}" name="Kolom376"/>
    <tableColumn id="377" xr3:uid="{00000000-0010-0000-0100-000079010000}" name="Kolom377"/>
    <tableColumn id="378" xr3:uid="{00000000-0010-0000-0100-00007A010000}" name="Kolom378"/>
    <tableColumn id="379" xr3:uid="{00000000-0010-0000-0100-00007B010000}" name="Kolom379"/>
    <tableColumn id="380" xr3:uid="{00000000-0010-0000-0100-00007C010000}" name="Kolom380"/>
    <tableColumn id="381" xr3:uid="{00000000-0010-0000-0100-00007D010000}" name="Kolom381"/>
    <tableColumn id="382" xr3:uid="{00000000-0010-0000-0100-00007E010000}" name="Kolom382"/>
    <tableColumn id="383" xr3:uid="{00000000-0010-0000-0100-00007F010000}" name="Kolom383"/>
    <tableColumn id="384" xr3:uid="{00000000-0010-0000-0100-000080010000}" name="Kolom384"/>
    <tableColumn id="385" xr3:uid="{00000000-0010-0000-0100-000081010000}" name="Kolom385"/>
    <tableColumn id="386" xr3:uid="{00000000-0010-0000-0100-000082010000}" name="Kolom386"/>
    <tableColumn id="387" xr3:uid="{00000000-0010-0000-0100-000083010000}" name="Kolom387"/>
    <tableColumn id="388" xr3:uid="{00000000-0010-0000-0100-000084010000}" name="Kolom388"/>
    <tableColumn id="389" xr3:uid="{00000000-0010-0000-0100-000085010000}" name="Kolom389"/>
    <tableColumn id="390" xr3:uid="{00000000-0010-0000-0100-000086010000}" name="Kolom390"/>
    <tableColumn id="391" xr3:uid="{00000000-0010-0000-0100-000087010000}" name="Kolom391"/>
    <tableColumn id="392" xr3:uid="{00000000-0010-0000-0100-000088010000}" name="Kolom392"/>
    <tableColumn id="393" xr3:uid="{00000000-0010-0000-0100-000089010000}" name="Kolom393"/>
    <tableColumn id="394" xr3:uid="{00000000-0010-0000-0100-00008A010000}" name="Kolom394"/>
    <tableColumn id="395" xr3:uid="{00000000-0010-0000-0100-00008B010000}" name="Kolom395"/>
    <tableColumn id="396" xr3:uid="{00000000-0010-0000-0100-00008C010000}" name="Kolom396"/>
    <tableColumn id="397" xr3:uid="{00000000-0010-0000-0100-00008D010000}" name="Kolom397"/>
    <tableColumn id="398" xr3:uid="{00000000-0010-0000-0100-00008E010000}" name="Kolom398"/>
    <tableColumn id="399" xr3:uid="{00000000-0010-0000-0100-00008F010000}" name="Kolom399"/>
    <tableColumn id="400" xr3:uid="{00000000-0010-0000-0100-000090010000}" name="Kolom400"/>
    <tableColumn id="401" xr3:uid="{00000000-0010-0000-0100-000091010000}" name="Kolom401"/>
    <tableColumn id="402" xr3:uid="{00000000-0010-0000-0100-000092010000}" name="Kolom402"/>
    <tableColumn id="403" xr3:uid="{00000000-0010-0000-0100-000093010000}" name="Kolom403"/>
    <tableColumn id="404" xr3:uid="{00000000-0010-0000-0100-000094010000}" name="Kolom404"/>
    <tableColumn id="405" xr3:uid="{00000000-0010-0000-0100-000095010000}" name="Kolom405"/>
    <tableColumn id="406" xr3:uid="{00000000-0010-0000-0100-000096010000}" name="Kolom406"/>
    <tableColumn id="407" xr3:uid="{00000000-0010-0000-0100-000097010000}" name="Kolom407"/>
    <tableColumn id="408" xr3:uid="{00000000-0010-0000-0100-000098010000}" name="Kolom408"/>
    <tableColumn id="409" xr3:uid="{00000000-0010-0000-0100-000099010000}" name="Kolom409"/>
    <tableColumn id="410" xr3:uid="{00000000-0010-0000-0100-00009A010000}" name="Kolom410"/>
    <tableColumn id="411" xr3:uid="{00000000-0010-0000-0100-00009B010000}" name="Kolom411"/>
    <tableColumn id="412" xr3:uid="{00000000-0010-0000-0100-00009C010000}" name="Kolom412"/>
    <tableColumn id="413" xr3:uid="{00000000-0010-0000-0100-00009D010000}" name="Kolom413"/>
    <tableColumn id="414" xr3:uid="{00000000-0010-0000-0100-00009E010000}" name="Kolom414"/>
    <tableColumn id="415" xr3:uid="{00000000-0010-0000-0100-00009F010000}" name="Kolom415"/>
    <tableColumn id="416" xr3:uid="{00000000-0010-0000-0100-0000A0010000}" name="Kolom416"/>
    <tableColumn id="417" xr3:uid="{00000000-0010-0000-0100-0000A1010000}" name="Kolom417"/>
    <tableColumn id="418" xr3:uid="{00000000-0010-0000-0100-0000A2010000}" name="Kolom418"/>
    <tableColumn id="419" xr3:uid="{00000000-0010-0000-0100-0000A3010000}" name="Kolom419"/>
    <tableColumn id="420" xr3:uid="{00000000-0010-0000-0100-0000A4010000}" name="Kolom420"/>
    <tableColumn id="421" xr3:uid="{00000000-0010-0000-0100-0000A5010000}" name="Kolom421"/>
    <tableColumn id="422" xr3:uid="{00000000-0010-0000-0100-0000A6010000}" name="Kolom422"/>
    <tableColumn id="423" xr3:uid="{00000000-0010-0000-0100-0000A7010000}" name="Kolom423"/>
    <tableColumn id="424" xr3:uid="{00000000-0010-0000-0100-0000A8010000}" name="Kolom424"/>
    <tableColumn id="425" xr3:uid="{00000000-0010-0000-0100-0000A9010000}" name="Kolom425"/>
    <tableColumn id="426" xr3:uid="{00000000-0010-0000-0100-0000AA010000}" name="Kolom426"/>
    <tableColumn id="427" xr3:uid="{00000000-0010-0000-0100-0000AB010000}" name="Kolom427"/>
    <tableColumn id="428" xr3:uid="{00000000-0010-0000-0100-0000AC010000}" name="Kolom428"/>
    <tableColumn id="429" xr3:uid="{00000000-0010-0000-0100-0000AD010000}" name="Kolom429"/>
    <tableColumn id="430" xr3:uid="{00000000-0010-0000-0100-0000AE010000}" name="Kolom430"/>
    <tableColumn id="431" xr3:uid="{00000000-0010-0000-0100-0000AF010000}" name="Kolom431"/>
    <tableColumn id="432" xr3:uid="{00000000-0010-0000-0100-0000B0010000}" name="Kolom432"/>
    <tableColumn id="433" xr3:uid="{00000000-0010-0000-0100-0000B1010000}" name="Kolom433"/>
    <tableColumn id="434" xr3:uid="{00000000-0010-0000-0100-0000B2010000}" name="Kolom434"/>
    <tableColumn id="435" xr3:uid="{00000000-0010-0000-0100-0000B3010000}" name="Kolom435"/>
    <tableColumn id="436" xr3:uid="{00000000-0010-0000-0100-0000B4010000}" name="Kolom436"/>
    <tableColumn id="437" xr3:uid="{00000000-0010-0000-0100-0000B5010000}" name="Kolom437"/>
    <tableColumn id="438" xr3:uid="{00000000-0010-0000-0100-0000B6010000}" name="Kolom438"/>
    <tableColumn id="439" xr3:uid="{00000000-0010-0000-0100-0000B7010000}" name="Kolom439"/>
    <tableColumn id="440" xr3:uid="{00000000-0010-0000-0100-0000B8010000}" name="Kolom440"/>
    <tableColumn id="441" xr3:uid="{00000000-0010-0000-0100-0000B9010000}" name="Kolom441"/>
    <tableColumn id="442" xr3:uid="{00000000-0010-0000-0100-0000BA010000}" name="Kolom442"/>
    <tableColumn id="443" xr3:uid="{00000000-0010-0000-0100-0000BB010000}" name="Kolom443"/>
    <tableColumn id="444" xr3:uid="{00000000-0010-0000-0100-0000BC010000}" name="Kolom444"/>
    <tableColumn id="445" xr3:uid="{00000000-0010-0000-0100-0000BD010000}" name="Kolom445"/>
    <tableColumn id="446" xr3:uid="{00000000-0010-0000-0100-0000BE010000}" name="Kolom446"/>
    <tableColumn id="447" xr3:uid="{00000000-0010-0000-0100-0000BF010000}" name="Kolom447"/>
    <tableColumn id="448" xr3:uid="{00000000-0010-0000-0100-0000C0010000}" name="Kolom448"/>
    <tableColumn id="449" xr3:uid="{00000000-0010-0000-0100-0000C1010000}" name="Kolom449"/>
    <tableColumn id="450" xr3:uid="{00000000-0010-0000-0100-0000C2010000}" name="Kolom450"/>
    <tableColumn id="451" xr3:uid="{00000000-0010-0000-0100-0000C3010000}" name="Kolom451"/>
    <tableColumn id="452" xr3:uid="{00000000-0010-0000-0100-0000C4010000}" name="Kolom452"/>
    <tableColumn id="453" xr3:uid="{00000000-0010-0000-0100-0000C5010000}" name="Kolom453"/>
    <tableColumn id="454" xr3:uid="{00000000-0010-0000-0100-0000C6010000}" name="Kolom454"/>
    <tableColumn id="455" xr3:uid="{00000000-0010-0000-0100-0000C7010000}" name="Kolom455"/>
    <tableColumn id="456" xr3:uid="{00000000-0010-0000-0100-0000C8010000}" name="Kolom456"/>
    <tableColumn id="457" xr3:uid="{00000000-0010-0000-0100-0000C9010000}" name="Kolom457"/>
    <tableColumn id="458" xr3:uid="{00000000-0010-0000-0100-0000CA010000}" name="Kolom458"/>
    <tableColumn id="459" xr3:uid="{00000000-0010-0000-0100-0000CB010000}" name="Kolom459"/>
    <tableColumn id="460" xr3:uid="{00000000-0010-0000-0100-0000CC010000}" name="Kolom460"/>
    <tableColumn id="461" xr3:uid="{00000000-0010-0000-0100-0000CD010000}" name="Kolom461"/>
    <tableColumn id="462" xr3:uid="{00000000-0010-0000-0100-0000CE010000}" name="Kolom462"/>
    <tableColumn id="463" xr3:uid="{00000000-0010-0000-0100-0000CF010000}" name="Kolom463"/>
    <tableColumn id="464" xr3:uid="{00000000-0010-0000-0100-0000D0010000}" name="Kolom464"/>
    <tableColumn id="465" xr3:uid="{00000000-0010-0000-0100-0000D1010000}" name="Kolom465"/>
    <tableColumn id="466" xr3:uid="{00000000-0010-0000-0100-0000D2010000}" name="Kolom466"/>
    <tableColumn id="467" xr3:uid="{00000000-0010-0000-0100-0000D3010000}" name="Kolom467"/>
    <tableColumn id="468" xr3:uid="{00000000-0010-0000-0100-0000D4010000}" name="Kolom468"/>
    <tableColumn id="469" xr3:uid="{00000000-0010-0000-0100-0000D5010000}" name="Kolom469"/>
    <tableColumn id="470" xr3:uid="{00000000-0010-0000-0100-0000D6010000}" name="Kolom470"/>
    <tableColumn id="471" xr3:uid="{00000000-0010-0000-0100-0000D7010000}" name="Kolom471"/>
    <tableColumn id="472" xr3:uid="{00000000-0010-0000-0100-0000D8010000}" name="Kolom472"/>
    <tableColumn id="473" xr3:uid="{00000000-0010-0000-0100-0000D9010000}" name="Kolom473"/>
    <tableColumn id="474" xr3:uid="{00000000-0010-0000-0100-0000DA010000}" name="Kolom474"/>
    <tableColumn id="475" xr3:uid="{00000000-0010-0000-0100-0000DB010000}" name="Kolom475"/>
    <tableColumn id="476" xr3:uid="{00000000-0010-0000-0100-0000DC010000}" name="Kolom476"/>
    <tableColumn id="477" xr3:uid="{00000000-0010-0000-0100-0000DD010000}" name="Kolom477"/>
    <tableColumn id="478" xr3:uid="{00000000-0010-0000-0100-0000DE010000}" name="Kolom478"/>
    <tableColumn id="479" xr3:uid="{00000000-0010-0000-0100-0000DF010000}" name="Kolom479"/>
    <tableColumn id="480" xr3:uid="{00000000-0010-0000-0100-0000E0010000}" name="Kolom480"/>
    <tableColumn id="481" xr3:uid="{00000000-0010-0000-0100-0000E1010000}" name="Kolom481"/>
    <tableColumn id="482" xr3:uid="{00000000-0010-0000-0100-0000E2010000}" name="Kolom482"/>
    <tableColumn id="483" xr3:uid="{00000000-0010-0000-0100-0000E3010000}" name="Kolom483"/>
    <tableColumn id="484" xr3:uid="{00000000-0010-0000-0100-0000E4010000}" name="Kolom484"/>
    <tableColumn id="485" xr3:uid="{00000000-0010-0000-0100-0000E5010000}" name="Kolom485"/>
    <tableColumn id="486" xr3:uid="{00000000-0010-0000-0100-0000E6010000}" name="Kolom486"/>
    <tableColumn id="487" xr3:uid="{00000000-0010-0000-0100-0000E7010000}" name="Kolom487"/>
    <tableColumn id="488" xr3:uid="{00000000-0010-0000-0100-0000E8010000}" name="Kolom488"/>
    <tableColumn id="489" xr3:uid="{00000000-0010-0000-0100-0000E9010000}" name="Kolom489"/>
    <tableColumn id="490" xr3:uid="{00000000-0010-0000-0100-0000EA010000}" name="Kolom490"/>
    <tableColumn id="491" xr3:uid="{00000000-0010-0000-0100-0000EB010000}" name="Kolom491"/>
    <tableColumn id="492" xr3:uid="{00000000-0010-0000-0100-0000EC010000}" name="Kolom492"/>
    <tableColumn id="493" xr3:uid="{00000000-0010-0000-0100-0000ED010000}" name="Kolom493"/>
    <tableColumn id="494" xr3:uid="{00000000-0010-0000-0100-0000EE010000}" name="Kolom494"/>
    <tableColumn id="495" xr3:uid="{00000000-0010-0000-0100-0000EF010000}" name="Kolom495"/>
    <tableColumn id="496" xr3:uid="{00000000-0010-0000-0100-0000F0010000}" name="Kolom496"/>
    <tableColumn id="497" xr3:uid="{00000000-0010-0000-0100-0000F1010000}" name="Kolom497"/>
    <tableColumn id="498" xr3:uid="{00000000-0010-0000-0100-0000F2010000}" name="Kolom498"/>
    <tableColumn id="499" xr3:uid="{00000000-0010-0000-0100-0000F3010000}" name="Kolom499"/>
    <tableColumn id="500" xr3:uid="{00000000-0010-0000-0100-0000F4010000}" name="Kolom500"/>
    <tableColumn id="501" xr3:uid="{00000000-0010-0000-0100-0000F5010000}" name="Kolom501"/>
    <tableColumn id="502" xr3:uid="{00000000-0010-0000-0100-0000F6010000}" name="Kolom502"/>
    <tableColumn id="503" xr3:uid="{00000000-0010-0000-0100-0000F7010000}" name="Kolom503"/>
    <tableColumn id="504" xr3:uid="{00000000-0010-0000-0100-0000F8010000}" name="Kolom504"/>
    <tableColumn id="505" xr3:uid="{00000000-0010-0000-0100-0000F9010000}" name="Kolom505"/>
    <tableColumn id="506" xr3:uid="{00000000-0010-0000-0100-0000FA010000}" name="Kolom506"/>
    <tableColumn id="507" xr3:uid="{00000000-0010-0000-0100-0000FB010000}" name="Kolom507"/>
    <tableColumn id="508" xr3:uid="{00000000-0010-0000-0100-0000FC010000}" name="Kolom508"/>
    <tableColumn id="509" xr3:uid="{00000000-0010-0000-0100-0000FD010000}" name="Kolom509"/>
    <tableColumn id="510" xr3:uid="{00000000-0010-0000-0100-0000FE010000}" name="Kolom510"/>
    <tableColumn id="511" xr3:uid="{00000000-0010-0000-0100-0000FF010000}" name="Kolom511"/>
    <tableColumn id="512" xr3:uid="{00000000-0010-0000-0100-000000020000}" name="Kolom512"/>
    <tableColumn id="513" xr3:uid="{00000000-0010-0000-0100-000001020000}" name="Kolom513"/>
    <tableColumn id="514" xr3:uid="{00000000-0010-0000-0100-000002020000}" name="Kolom514"/>
    <tableColumn id="515" xr3:uid="{00000000-0010-0000-0100-000003020000}" name="Kolom515"/>
    <tableColumn id="516" xr3:uid="{00000000-0010-0000-0100-000004020000}" name="Kolom516"/>
    <tableColumn id="517" xr3:uid="{00000000-0010-0000-0100-000005020000}" name="Kolom517"/>
    <tableColumn id="518" xr3:uid="{00000000-0010-0000-0100-000006020000}" name="Kolom518"/>
    <tableColumn id="519" xr3:uid="{00000000-0010-0000-0100-000007020000}" name="Kolom519"/>
    <tableColumn id="520" xr3:uid="{00000000-0010-0000-0100-000008020000}" name="Kolom520"/>
    <tableColumn id="521" xr3:uid="{00000000-0010-0000-0100-000009020000}" name="Kolom521"/>
    <tableColumn id="522" xr3:uid="{00000000-0010-0000-0100-00000A020000}" name="Kolom522"/>
    <tableColumn id="523" xr3:uid="{00000000-0010-0000-0100-00000B020000}" name="Kolom523"/>
    <tableColumn id="524" xr3:uid="{00000000-0010-0000-0100-00000C020000}" name="Kolom524"/>
    <tableColumn id="525" xr3:uid="{00000000-0010-0000-0100-00000D020000}" name="Kolom525"/>
    <tableColumn id="526" xr3:uid="{00000000-0010-0000-0100-00000E020000}" name="Kolom526"/>
    <tableColumn id="527" xr3:uid="{00000000-0010-0000-0100-00000F020000}" name="Kolom527"/>
    <tableColumn id="528" xr3:uid="{00000000-0010-0000-0100-000010020000}" name="Kolom528"/>
    <tableColumn id="529" xr3:uid="{00000000-0010-0000-0100-000011020000}" name="Kolom529"/>
    <tableColumn id="530" xr3:uid="{00000000-0010-0000-0100-000012020000}" name="Kolom530"/>
    <tableColumn id="531" xr3:uid="{00000000-0010-0000-0100-000013020000}" name="Kolom531"/>
    <tableColumn id="532" xr3:uid="{00000000-0010-0000-0100-000014020000}" name="Kolom532"/>
    <tableColumn id="533" xr3:uid="{00000000-0010-0000-0100-000015020000}" name="Kolom533"/>
    <tableColumn id="534" xr3:uid="{00000000-0010-0000-0100-000016020000}" name="Kolom534"/>
    <tableColumn id="535" xr3:uid="{00000000-0010-0000-0100-000017020000}" name="Kolom535"/>
    <tableColumn id="536" xr3:uid="{00000000-0010-0000-0100-000018020000}" name="Kolom536"/>
    <tableColumn id="537" xr3:uid="{00000000-0010-0000-0100-000019020000}" name="Kolom537"/>
    <tableColumn id="538" xr3:uid="{00000000-0010-0000-0100-00001A020000}" name="Kolom538"/>
    <tableColumn id="539" xr3:uid="{00000000-0010-0000-0100-00001B020000}" name="Kolom539"/>
    <tableColumn id="540" xr3:uid="{00000000-0010-0000-0100-00001C020000}" name="Kolom540"/>
    <tableColumn id="541" xr3:uid="{00000000-0010-0000-0100-00001D020000}" name="Kolom541"/>
    <tableColumn id="542" xr3:uid="{00000000-0010-0000-0100-00001E020000}" name="Kolom542"/>
    <tableColumn id="543" xr3:uid="{00000000-0010-0000-0100-00001F020000}" name="Kolom543"/>
    <tableColumn id="544" xr3:uid="{00000000-0010-0000-0100-000020020000}" name="Kolom544"/>
    <tableColumn id="545" xr3:uid="{00000000-0010-0000-0100-000021020000}" name="Kolom545"/>
    <tableColumn id="546" xr3:uid="{00000000-0010-0000-0100-000022020000}" name="Kolom546"/>
    <tableColumn id="547" xr3:uid="{00000000-0010-0000-0100-000023020000}" name="Kolom547"/>
    <tableColumn id="548" xr3:uid="{00000000-0010-0000-0100-000024020000}" name="Kolom548"/>
    <tableColumn id="549" xr3:uid="{00000000-0010-0000-0100-000025020000}" name="Kolom549"/>
    <tableColumn id="550" xr3:uid="{00000000-0010-0000-0100-000026020000}" name="Kolom550"/>
    <tableColumn id="551" xr3:uid="{00000000-0010-0000-0100-000027020000}" name="Kolom551"/>
    <tableColumn id="552" xr3:uid="{00000000-0010-0000-0100-000028020000}" name="Kolom552"/>
    <tableColumn id="553" xr3:uid="{00000000-0010-0000-0100-000029020000}" name="Kolom553"/>
    <tableColumn id="554" xr3:uid="{00000000-0010-0000-0100-00002A020000}" name="Kolom554"/>
    <tableColumn id="555" xr3:uid="{00000000-0010-0000-0100-00002B020000}" name="Kolom555"/>
    <tableColumn id="556" xr3:uid="{00000000-0010-0000-0100-00002C020000}" name="Kolom556"/>
    <tableColumn id="557" xr3:uid="{00000000-0010-0000-0100-00002D020000}" name="Kolom557"/>
    <tableColumn id="558" xr3:uid="{00000000-0010-0000-0100-00002E020000}" name="Kolom558"/>
    <tableColumn id="559" xr3:uid="{00000000-0010-0000-0100-00002F020000}" name="Kolom559"/>
    <tableColumn id="560" xr3:uid="{00000000-0010-0000-0100-000030020000}" name="Kolom560"/>
    <tableColumn id="561" xr3:uid="{00000000-0010-0000-0100-000031020000}" name="Kolom561"/>
    <tableColumn id="562" xr3:uid="{00000000-0010-0000-0100-000032020000}" name="Kolom562"/>
    <tableColumn id="563" xr3:uid="{00000000-0010-0000-0100-000033020000}" name="Kolom563"/>
    <tableColumn id="564" xr3:uid="{00000000-0010-0000-0100-000034020000}" name="Kolom564"/>
    <tableColumn id="565" xr3:uid="{00000000-0010-0000-0100-000035020000}" name="Kolom565"/>
    <tableColumn id="566" xr3:uid="{00000000-0010-0000-0100-000036020000}" name="Kolom566"/>
    <tableColumn id="567" xr3:uid="{00000000-0010-0000-0100-000037020000}" name="Kolom567"/>
    <tableColumn id="568" xr3:uid="{00000000-0010-0000-0100-000038020000}" name="Kolom568"/>
    <tableColumn id="569" xr3:uid="{00000000-0010-0000-0100-000039020000}" name="Kolom569"/>
    <tableColumn id="570" xr3:uid="{00000000-0010-0000-0100-00003A020000}" name="Kolom570"/>
    <tableColumn id="571" xr3:uid="{00000000-0010-0000-0100-00003B020000}" name="Kolom571"/>
    <tableColumn id="572" xr3:uid="{00000000-0010-0000-0100-00003C020000}" name="Kolom572"/>
    <tableColumn id="573" xr3:uid="{00000000-0010-0000-0100-00003D020000}" name="Kolom573"/>
    <tableColumn id="574" xr3:uid="{00000000-0010-0000-0100-00003E020000}" name="Kolom574"/>
    <tableColumn id="575" xr3:uid="{00000000-0010-0000-0100-00003F020000}" name="Kolom575"/>
    <tableColumn id="576" xr3:uid="{00000000-0010-0000-0100-000040020000}" name="Kolom576"/>
    <tableColumn id="577" xr3:uid="{00000000-0010-0000-0100-000041020000}" name="Kolom577"/>
    <tableColumn id="578" xr3:uid="{00000000-0010-0000-0100-000042020000}" name="Kolom578"/>
    <tableColumn id="579" xr3:uid="{00000000-0010-0000-0100-000043020000}" name="Kolom579"/>
    <tableColumn id="580" xr3:uid="{00000000-0010-0000-0100-000044020000}" name="Kolom580"/>
    <tableColumn id="581" xr3:uid="{00000000-0010-0000-0100-000045020000}" name="Kolom581"/>
    <tableColumn id="582" xr3:uid="{00000000-0010-0000-0100-000046020000}" name="Kolom582"/>
    <tableColumn id="583" xr3:uid="{00000000-0010-0000-0100-000047020000}" name="Kolom583"/>
    <tableColumn id="584" xr3:uid="{00000000-0010-0000-0100-000048020000}" name="Kolom584"/>
    <tableColumn id="585" xr3:uid="{00000000-0010-0000-0100-000049020000}" name="Kolom585"/>
    <tableColumn id="586" xr3:uid="{00000000-0010-0000-0100-00004A020000}" name="Kolom586"/>
    <tableColumn id="587" xr3:uid="{00000000-0010-0000-0100-00004B020000}" name="Kolom587"/>
    <tableColumn id="588" xr3:uid="{00000000-0010-0000-0100-00004C020000}" name="Kolom588"/>
    <tableColumn id="589" xr3:uid="{00000000-0010-0000-0100-00004D020000}" name="Kolom589"/>
    <tableColumn id="590" xr3:uid="{00000000-0010-0000-0100-00004E020000}" name="Kolom590"/>
    <tableColumn id="591" xr3:uid="{00000000-0010-0000-0100-00004F020000}" name="Kolom591"/>
    <tableColumn id="592" xr3:uid="{00000000-0010-0000-0100-000050020000}" name="Kolom592"/>
    <tableColumn id="593" xr3:uid="{00000000-0010-0000-0100-000051020000}" name="Kolom593"/>
    <tableColumn id="594" xr3:uid="{00000000-0010-0000-0100-000052020000}" name="Kolom594"/>
    <tableColumn id="595" xr3:uid="{00000000-0010-0000-0100-000053020000}" name="Kolom595"/>
    <tableColumn id="596" xr3:uid="{00000000-0010-0000-0100-000054020000}" name="Kolom596"/>
    <tableColumn id="597" xr3:uid="{00000000-0010-0000-0100-000055020000}" name="Kolom597"/>
    <tableColumn id="598" xr3:uid="{00000000-0010-0000-0100-000056020000}" name="Kolom598"/>
    <tableColumn id="599" xr3:uid="{00000000-0010-0000-0100-000057020000}" name="Kolom599"/>
    <tableColumn id="600" xr3:uid="{00000000-0010-0000-0100-000058020000}" name="Kolom600"/>
    <tableColumn id="601" xr3:uid="{00000000-0010-0000-0100-000059020000}" name="Kolom601"/>
    <tableColumn id="602" xr3:uid="{00000000-0010-0000-0100-00005A020000}" name="Kolom602"/>
    <tableColumn id="603" xr3:uid="{00000000-0010-0000-0100-00005B020000}" name="Kolom603"/>
    <tableColumn id="604" xr3:uid="{00000000-0010-0000-0100-00005C020000}" name="Kolom604"/>
    <tableColumn id="605" xr3:uid="{00000000-0010-0000-0100-00005D020000}" name="Kolom605"/>
    <tableColumn id="606" xr3:uid="{00000000-0010-0000-0100-00005E020000}" name="Kolom606"/>
    <tableColumn id="607" xr3:uid="{00000000-0010-0000-0100-00005F020000}" name="Kolom607"/>
    <tableColumn id="608" xr3:uid="{00000000-0010-0000-0100-000060020000}" name="Kolom608"/>
    <tableColumn id="609" xr3:uid="{00000000-0010-0000-0100-000061020000}" name="Kolom609"/>
    <tableColumn id="610" xr3:uid="{00000000-0010-0000-0100-000062020000}" name="Kolom610"/>
    <tableColumn id="611" xr3:uid="{00000000-0010-0000-0100-000063020000}" name="Kolom611"/>
    <tableColumn id="612" xr3:uid="{00000000-0010-0000-0100-000064020000}" name="Kolom612"/>
    <tableColumn id="613" xr3:uid="{00000000-0010-0000-0100-000065020000}" name="Kolom613"/>
    <tableColumn id="614" xr3:uid="{00000000-0010-0000-0100-000066020000}" name="Kolom614"/>
    <tableColumn id="615" xr3:uid="{00000000-0010-0000-0100-000067020000}" name="Kolom615"/>
    <tableColumn id="616" xr3:uid="{00000000-0010-0000-0100-000068020000}" name="Kolom616"/>
    <tableColumn id="617" xr3:uid="{00000000-0010-0000-0100-000069020000}" name="Kolom617"/>
    <tableColumn id="618" xr3:uid="{00000000-0010-0000-0100-00006A020000}" name="Kolom618"/>
    <tableColumn id="619" xr3:uid="{00000000-0010-0000-0100-00006B020000}" name="Kolom619"/>
    <tableColumn id="620" xr3:uid="{00000000-0010-0000-0100-00006C020000}" name="Kolom620"/>
    <tableColumn id="621" xr3:uid="{00000000-0010-0000-0100-00006D020000}" name="Kolom621"/>
    <tableColumn id="622" xr3:uid="{00000000-0010-0000-0100-00006E020000}" name="Kolom622"/>
    <tableColumn id="623" xr3:uid="{00000000-0010-0000-0100-00006F020000}" name="Kolom623"/>
    <tableColumn id="624" xr3:uid="{00000000-0010-0000-0100-000070020000}" name="Kolom624"/>
    <tableColumn id="625" xr3:uid="{00000000-0010-0000-0100-000071020000}" name="Kolom625"/>
    <tableColumn id="626" xr3:uid="{00000000-0010-0000-0100-000072020000}" name="Kolom626"/>
    <tableColumn id="627" xr3:uid="{00000000-0010-0000-0100-000073020000}" name="Kolom627"/>
    <tableColumn id="628" xr3:uid="{00000000-0010-0000-0100-000074020000}" name="Kolom628"/>
    <tableColumn id="629" xr3:uid="{00000000-0010-0000-0100-000075020000}" name="Kolom629"/>
    <tableColumn id="630" xr3:uid="{00000000-0010-0000-0100-000076020000}" name="Kolom630"/>
    <tableColumn id="631" xr3:uid="{00000000-0010-0000-0100-000077020000}" name="Kolom631"/>
    <tableColumn id="632" xr3:uid="{00000000-0010-0000-0100-000078020000}" name="Kolom632"/>
    <tableColumn id="633" xr3:uid="{00000000-0010-0000-0100-000079020000}" name="Kolom633"/>
    <tableColumn id="634" xr3:uid="{00000000-0010-0000-0100-00007A020000}" name="Kolom634"/>
    <tableColumn id="635" xr3:uid="{00000000-0010-0000-0100-00007B020000}" name="Kolom635"/>
    <tableColumn id="636" xr3:uid="{00000000-0010-0000-0100-00007C020000}" name="Kolom636"/>
    <tableColumn id="637" xr3:uid="{00000000-0010-0000-0100-00007D020000}" name="Kolom637"/>
    <tableColumn id="638" xr3:uid="{00000000-0010-0000-0100-00007E020000}" name="Kolom638"/>
    <tableColumn id="639" xr3:uid="{00000000-0010-0000-0100-00007F020000}" name="Kolom639"/>
    <tableColumn id="640" xr3:uid="{00000000-0010-0000-0100-000080020000}" name="Kolom640"/>
    <tableColumn id="641" xr3:uid="{00000000-0010-0000-0100-000081020000}" name="Kolom641"/>
    <tableColumn id="642" xr3:uid="{00000000-0010-0000-0100-000082020000}" name="Kolom642"/>
    <tableColumn id="643" xr3:uid="{00000000-0010-0000-0100-000083020000}" name="Kolom643"/>
    <tableColumn id="644" xr3:uid="{00000000-0010-0000-0100-000084020000}" name="Kolom644"/>
    <tableColumn id="645" xr3:uid="{00000000-0010-0000-0100-000085020000}" name="Kolom645"/>
    <tableColumn id="646" xr3:uid="{00000000-0010-0000-0100-000086020000}" name="Kolom646"/>
    <tableColumn id="647" xr3:uid="{00000000-0010-0000-0100-000087020000}" name="Kolom647"/>
    <tableColumn id="648" xr3:uid="{00000000-0010-0000-0100-000088020000}" name="Kolom648"/>
    <tableColumn id="649" xr3:uid="{00000000-0010-0000-0100-000089020000}" name="Kolom649"/>
    <tableColumn id="650" xr3:uid="{00000000-0010-0000-0100-00008A020000}" name="Kolom650"/>
    <tableColumn id="651" xr3:uid="{00000000-0010-0000-0100-00008B020000}" name="Kolom651"/>
    <tableColumn id="652" xr3:uid="{00000000-0010-0000-0100-00008C020000}" name="Kolom652"/>
    <tableColumn id="653" xr3:uid="{00000000-0010-0000-0100-00008D020000}" name="Kolom653"/>
    <tableColumn id="654" xr3:uid="{00000000-0010-0000-0100-00008E020000}" name="Kolom654"/>
    <tableColumn id="655" xr3:uid="{00000000-0010-0000-0100-00008F020000}" name="Kolom655"/>
    <tableColumn id="656" xr3:uid="{00000000-0010-0000-0100-000090020000}" name="Kolom656"/>
    <tableColumn id="657" xr3:uid="{00000000-0010-0000-0100-000091020000}" name="Kolom657"/>
    <tableColumn id="658" xr3:uid="{00000000-0010-0000-0100-000092020000}" name="Kolom658"/>
    <tableColumn id="659" xr3:uid="{00000000-0010-0000-0100-000093020000}" name="Kolom659"/>
    <tableColumn id="660" xr3:uid="{00000000-0010-0000-0100-000094020000}" name="Kolom660"/>
    <tableColumn id="661" xr3:uid="{00000000-0010-0000-0100-000095020000}" name="Kolom661"/>
    <tableColumn id="662" xr3:uid="{00000000-0010-0000-0100-000096020000}" name="Kolom662"/>
    <tableColumn id="663" xr3:uid="{00000000-0010-0000-0100-000097020000}" name="Kolom663"/>
    <tableColumn id="664" xr3:uid="{00000000-0010-0000-0100-000098020000}" name="Kolom664"/>
    <tableColumn id="665" xr3:uid="{00000000-0010-0000-0100-000099020000}" name="Kolom665"/>
    <tableColumn id="666" xr3:uid="{00000000-0010-0000-0100-00009A020000}" name="Kolom666"/>
    <tableColumn id="667" xr3:uid="{00000000-0010-0000-0100-00009B020000}" name="Kolom667"/>
    <tableColumn id="668" xr3:uid="{00000000-0010-0000-0100-00009C020000}" name="Kolom668"/>
    <tableColumn id="669" xr3:uid="{00000000-0010-0000-0100-00009D020000}" name="Kolom669"/>
    <tableColumn id="670" xr3:uid="{00000000-0010-0000-0100-00009E020000}" name="Kolom670"/>
    <tableColumn id="671" xr3:uid="{00000000-0010-0000-0100-00009F020000}" name="Kolom671"/>
    <tableColumn id="672" xr3:uid="{00000000-0010-0000-0100-0000A0020000}" name="Kolom672"/>
    <tableColumn id="673" xr3:uid="{00000000-0010-0000-0100-0000A1020000}" name="Kolom673"/>
    <tableColumn id="674" xr3:uid="{00000000-0010-0000-0100-0000A2020000}" name="Kolom674"/>
    <tableColumn id="675" xr3:uid="{00000000-0010-0000-0100-0000A3020000}" name="Kolom675"/>
    <tableColumn id="676" xr3:uid="{00000000-0010-0000-0100-0000A4020000}" name="Kolom676"/>
    <tableColumn id="677" xr3:uid="{00000000-0010-0000-0100-0000A5020000}" name="Kolom677"/>
    <tableColumn id="678" xr3:uid="{00000000-0010-0000-0100-0000A6020000}" name="Kolom678"/>
    <tableColumn id="679" xr3:uid="{00000000-0010-0000-0100-0000A7020000}" name="Kolom679"/>
    <tableColumn id="680" xr3:uid="{00000000-0010-0000-0100-0000A8020000}" name="Kolom680"/>
    <tableColumn id="681" xr3:uid="{00000000-0010-0000-0100-0000A9020000}" name="Kolom681"/>
    <tableColumn id="682" xr3:uid="{00000000-0010-0000-0100-0000AA020000}" name="Kolom682"/>
    <tableColumn id="683" xr3:uid="{00000000-0010-0000-0100-0000AB020000}" name="Kolom683"/>
    <tableColumn id="684" xr3:uid="{00000000-0010-0000-0100-0000AC020000}" name="Kolom684"/>
    <tableColumn id="685" xr3:uid="{00000000-0010-0000-0100-0000AD020000}" name="Kolom685"/>
    <tableColumn id="686" xr3:uid="{00000000-0010-0000-0100-0000AE020000}" name="Kolom686"/>
    <tableColumn id="687" xr3:uid="{00000000-0010-0000-0100-0000AF020000}" name="Kolom687"/>
    <tableColumn id="688" xr3:uid="{00000000-0010-0000-0100-0000B0020000}" name="Kolom688"/>
    <tableColumn id="689" xr3:uid="{00000000-0010-0000-0100-0000B1020000}" name="Kolom689"/>
    <tableColumn id="690" xr3:uid="{00000000-0010-0000-0100-0000B2020000}" name="Kolom690"/>
    <tableColumn id="691" xr3:uid="{00000000-0010-0000-0100-0000B3020000}" name="Kolom691"/>
    <tableColumn id="692" xr3:uid="{00000000-0010-0000-0100-0000B4020000}" name="Kolom692"/>
    <tableColumn id="693" xr3:uid="{00000000-0010-0000-0100-0000B5020000}" name="Kolom693"/>
    <tableColumn id="694" xr3:uid="{00000000-0010-0000-0100-0000B6020000}" name="Kolom694"/>
    <tableColumn id="695" xr3:uid="{00000000-0010-0000-0100-0000B7020000}" name="Kolom695"/>
    <tableColumn id="696" xr3:uid="{00000000-0010-0000-0100-0000B8020000}" name="Kolom696"/>
    <tableColumn id="697" xr3:uid="{00000000-0010-0000-0100-0000B9020000}" name="Kolom697"/>
    <tableColumn id="698" xr3:uid="{00000000-0010-0000-0100-0000BA020000}" name="Kolom698"/>
    <tableColumn id="699" xr3:uid="{00000000-0010-0000-0100-0000BB020000}" name="Kolom699"/>
    <tableColumn id="700" xr3:uid="{00000000-0010-0000-0100-0000BC020000}" name="Kolom700"/>
    <tableColumn id="701" xr3:uid="{00000000-0010-0000-0100-0000BD020000}" name="Kolom701"/>
    <tableColumn id="702" xr3:uid="{00000000-0010-0000-0100-0000BE020000}" name="Kolom702"/>
    <tableColumn id="703" xr3:uid="{00000000-0010-0000-0100-0000BF020000}" name="Kolom703"/>
    <tableColumn id="704" xr3:uid="{00000000-0010-0000-0100-0000C0020000}" name="Kolom704"/>
    <tableColumn id="705" xr3:uid="{00000000-0010-0000-0100-0000C1020000}" name="Kolom705"/>
    <tableColumn id="706" xr3:uid="{00000000-0010-0000-0100-0000C2020000}" name="Kolom706"/>
    <tableColumn id="707" xr3:uid="{00000000-0010-0000-0100-0000C3020000}" name="Kolom707"/>
    <tableColumn id="708" xr3:uid="{00000000-0010-0000-0100-0000C4020000}" name="Kolom708"/>
    <tableColumn id="709" xr3:uid="{00000000-0010-0000-0100-0000C5020000}" name="Kolom709"/>
    <tableColumn id="710" xr3:uid="{00000000-0010-0000-0100-0000C6020000}" name="Kolom710"/>
    <tableColumn id="711" xr3:uid="{00000000-0010-0000-0100-0000C7020000}" name="Kolom711"/>
    <tableColumn id="712" xr3:uid="{00000000-0010-0000-0100-0000C8020000}" name="Kolom712"/>
    <tableColumn id="713" xr3:uid="{00000000-0010-0000-0100-0000C9020000}" name="Kolom713"/>
    <tableColumn id="714" xr3:uid="{00000000-0010-0000-0100-0000CA020000}" name="Kolom714"/>
    <tableColumn id="715" xr3:uid="{00000000-0010-0000-0100-0000CB020000}" name="Kolom715"/>
    <tableColumn id="716" xr3:uid="{00000000-0010-0000-0100-0000CC020000}" name="Kolom716"/>
    <tableColumn id="717" xr3:uid="{00000000-0010-0000-0100-0000CD020000}" name="Kolom717"/>
    <tableColumn id="718" xr3:uid="{00000000-0010-0000-0100-0000CE020000}" name="Kolom718"/>
    <tableColumn id="719" xr3:uid="{00000000-0010-0000-0100-0000CF020000}" name="Kolom719"/>
    <tableColumn id="720" xr3:uid="{00000000-0010-0000-0100-0000D0020000}" name="Kolom720"/>
    <tableColumn id="721" xr3:uid="{00000000-0010-0000-0100-0000D1020000}" name="Kolom721"/>
    <tableColumn id="722" xr3:uid="{00000000-0010-0000-0100-0000D2020000}" name="Kolom722"/>
    <tableColumn id="723" xr3:uid="{00000000-0010-0000-0100-0000D3020000}" name="Kolom723"/>
    <tableColumn id="724" xr3:uid="{00000000-0010-0000-0100-0000D4020000}" name="Kolom724"/>
    <tableColumn id="725" xr3:uid="{00000000-0010-0000-0100-0000D5020000}" name="Kolom725"/>
    <tableColumn id="726" xr3:uid="{00000000-0010-0000-0100-0000D6020000}" name="Kolom726"/>
    <tableColumn id="727" xr3:uid="{00000000-0010-0000-0100-0000D7020000}" name="Kolom727"/>
    <tableColumn id="728" xr3:uid="{00000000-0010-0000-0100-0000D8020000}" name="Kolom728"/>
    <tableColumn id="729" xr3:uid="{00000000-0010-0000-0100-0000D9020000}" name="Kolom729"/>
    <tableColumn id="730" xr3:uid="{00000000-0010-0000-0100-0000DA020000}" name="Kolom730"/>
    <tableColumn id="731" xr3:uid="{00000000-0010-0000-0100-0000DB020000}" name="Kolom731"/>
    <tableColumn id="732" xr3:uid="{00000000-0010-0000-0100-0000DC020000}" name="Kolom732"/>
    <tableColumn id="733" xr3:uid="{00000000-0010-0000-0100-0000DD020000}" name="Kolom733"/>
    <tableColumn id="734" xr3:uid="{00000000-0010-0000-0100-0000DE020000}" name="Kolom734"/>
    <tableColumn id="735" xr3:uid="{00000000-0010-0000-0100-0000DF020000}" name="Kolom735"/>
    <tableColumn id="736" xr3:uid="{00000000-0010-0000-0100-0000E0020000}" name="Kolom736"/>
    <tableColumn id="737" xr3:uid="{00000000-0010-0000-0100-0000E1020000}" name="Kolom737"/>
    <tableColumn id="738" xr3:uid="{00000000-0010-0000-0100-0000E2020000}" name="Kolom738"/>
    <tableColumn id="739" xr3:uid="{00000000-0010-0000-0100-0000E3020000}" name="Kolom739"/>
    <tableColumn id="740" xr3:uid="{00000000-0010-0000-0100-0000E4020000}" name="Kolom740"/>
    <tableColumn id="741" xr3:uid="{00000000-0010-0000-0100-0000E5020000}" name="Kolom741"/>
    <tableColumn id="742" xr3:uid="{00000000-0010-0000-0100-0000E6020000}" name="Kolom742"/>
    <tableColumn id="743" xr3:uid="{00000000-0010-0000-0100-0000E7020000}" name="Kolom743"/>
    <tableColumn id="744" xr3:uid="{00000000-0010-0000-0100-0000E8020000}" name="Kolom744"/>
    <tableColumn id="745" xr3:uid="{00000000-0010-0000-0100-0000E9020000}" name="Kolom745"/>
    <tableColumn id="746" xr3:uid="{00000000-0010-0000-0100-0000EA020000}" name="Kolom746"/>
    <tableColumn id="747" xr3:uid="{00000000-0010-0000-0100-0000EB020000}" name="Kolom747"/>
    <tableColumn id="748" xr3:uid="{00000000-0010-0000-0100-0000EC020000}" name="Kolom748"/>
    <tableColumn id="749" xr3:uid="{00000000-0010-0000-0100-0000ED020000}" name="Kolom749"/>
    <tableColumn id="750" xr3:uid="{00000000-0010-0000-0100-0000EE020000}" name="Kolom750"/>
    <tableColumn id="751" xr3:uid="{00000000-0010-0000-0100-0000EF020000}" name="Kolom751"/>
    <tableColumn id="752" xr3:uid="{00000000-0010-0000-0100-0000F0020000}" name="Kolom752"/>
    <tableColumn id="753" xr3:uid="{00000000-0010-0000-0100-0000F1020000}" name="Kolom753"/>
    <tableColumn id="754" xr3:uid="{00000000-0010-0000-0100-0000F2020000}" name="Kolom754"/>
    <tableColumn id="755" xr3:uid="{00000000-0010-0000-0100-0000F3020000}" name="Kolom755"/>
    <tableColumn id="756" xr3:uid="{00000000-0010-0000-0100-0000F4020000}" name="Kolom756"/>
    <tableColumn id="757" xr3:uid="{00000000-0010-0000-0100-0000F5020000}" name="Kolom757"/>
    <tableColumn id="758" xr3:uid="{00000000-0010-0000-0100-0000F6020000}" name="Kolom758"/>
    <tableColumn id="759" xr3:uid="{00000000-0010-0000-0100-0000F7020000}" name="Kolom759"/>
    <tableColumn id="760" xr3:uid="{00000000-0010-0000-0100-0000F8020000}" name="Kolom760"/>
    <tableColumn id="761" xr3:uid="{00000000-0010-0000-0100-0000F9020000}" name="Kolom761"/>
    <tableColumn id="762" xr3:uid="{00000000-0010-0000-0100-0000FA020000}" name="Kolom762"/>
    <tableColumn id="763" xr3:uid="{00000000-0010-0000-0100-0000FB020000}" name="Kolom763"/>
    <tableColumn id="764" xr3:uid="{00000000-0010-0000-0100-0000FC020000}" name="Kolom764"/>
    <tableColumn id="765" xr3:uid="{00000000-0010-0000-0100-0000FD020000}" name="Kolom765"/>
    <tableColumn id="766" xr3:uid="{00000000-0010-0000-0100-0000FE020000}" name="Kolom766"/>
    <tableColumn id="767" xr3:uid="{00000000-0010-0000-0100-0000FF020000}" name="Kolom767"/>
    <tableColumn id="768" xr3:uid="{00000000-0010-0000-0100-000000030000}" name="Kolom768"/>
    <tableColumn id="769" xr3:uid="{00000000-0010-0000-0100-000001030000}" name="Kolom769"/>
    <tableColumn id="770" xr3:uid="{00000000-0010-0000-0100-000002030000}" name="Kolom770"/>
    <tableColumn id="771" xr3:uid="{00000000-0010-0000-0100-000003030000}" name="Kolom771"/>
    <tableColumn id="772" xr3:uid="{00000000-0010-0000-0100-000004030000}" name="Kolom772"/>
    <tableColumn id="773" xr3:uid="{00000000-0010-0000-0100-000005030000}" name="Kolom773"/>
    <tableColumn id="774" xr3:uid="{00000000-0010-0000-0100-000006030000}" name="Kolom774"/>
    <tableColumn id="775" xr3:uid="{00000000-0010-0000-0100-000007030000}" name="Kolom775"/>
    <tableColumn id="776" xr3:uid="{00000000-0010-0000-0100-000008030000}" name="Kolom776"/>
    <tableColumn id="777" xr3:uid="{00000000-0010-0000-0100-000009030000}" name="Kolom777"/>
    <tableColumn id="778" xr3:uid="{00000000-0010-0000-0100-00000A030000}" name="Kolom778"/>
    <tableColumn id="779" xr3:uid="{00000000-0010-0000-0100-00000B030000}" name="Kolom779"/>
    <tableColumn id="780" xr3:uid="{00000000-0010-0000-0100-00000C030000}" name="Kolom780"/>
    <tableColumn id="781" xr3:uid="{00000000-0010-0000-0100-00000D030000}" name="Kolom781"/>
    <tableColumn id="782" xr3:uid="{00000000-0010-0000-0100-00000E030000}" name="Kolom782"/>
    <tableColumn id="783" xr3:uid="{00000000-0010-0000-0100-00000F030000}" name="Kolom783"/>
    <tableColumn id="784" xr3:uid="{00000000-0010-0000-0100-000010030000}" name="Kolom784"/>
    <tableColumn id="785" xr3:uid="{00000000-0010-0000-0100-000011030000}" name="Kolom785"/>
    <tableColumn id="786" xr3:uid="{00000000-0010-0000-0100-000012030000}" name="Kolom786"/>
    <tableColumn id="787" xr3:uid="{00000000-0010-0000-0100-000013030000}" name="Kolom787"/>
    <tableColumn id="788" xr3:uid="{00000000-0010-0000-0100-000014030000}" name="Kolom788"/>
    <tableColumn id="789" xr3:uid="{00000000-0010-0000-0100-000015030000}" name="Kolom789"/>
    <tableColumn id="790" xr3:uid="{00000000-0010-0000-0100-000016030000}" name="Kolom790"/>
    <tableColumn id="791" xr3:uid="{00000000-0010-0000-0100-000017030000}" name="Kolom791"/>
    <tableColumn id="792" xr3:uid="{00000000-0010-0000-0100-000018030000}" name="Kolom792"/>
    <tableColumn id="793" xr3:uid="{00000000-0010-0000-0100-000019030000}" name="Kolom793"/>
    <tableColumn id="794" xr3:uid="{00000000-0010-0000-0100-00001A030000}" name="Kolom794"/>
    <tableColumn id="795" xr3:uid="{00000000-0010-0000-0100-00001B030000}" name="Kolom795"/>
    <tableColumn id="796" xr3:uid="{00000000-0010-0000-0100-00001C030000}" name="Kolom796"/>
    <tableColumn id="797" xr3:uid="{00000000-0010-0000-0100-00001D030000}" name="Kolom797"/>
    <tableColumn id="798" xr3:uid="{00000000-0010-0000-0100-00001E030000}" name="Kolom798"/>
    <tableColumn id="799" xr3:uid="{00000000-0010-0000-0100-00001F030000}" name="Kolom799"/>
    <tableColumn id="800" xr3:uid="{00000000-0010-0000-0100-000020030000}" name="Kolom800"/>
    <tableColumn id="801" xr3:uid="{00000000-0010-0000-0100-000021030000}" name="Kolom801"/>
    <tableColumn id="802" xr3:uid="{00000000-0010-0000-0100-000022030000}" name="Kolom802"/>
    <tableColumn id="803" xr3:uid="{00000000-0010-0000-0100-000023030000}" name="Kolom803"/>
    <tableColumn id="804" xr3:uid="{00000000-0010-0000-0100-000024030000}" name="Kolom804"/>
    <tableColumn id="805" xr3:uid="{00000000-0010-0000-0100-000025030000}" name="Kolom805"/>
    <tableColumn id="806" xr3:uid="{00000000-0010-0000-0100-000026030000}" name="Kolom806"/>
    <tableColumn id="807" xr3:uid="{00000000-0010-0000-0100-000027030000}" name="Kolom807"/>
    <tableColumn id="808" xr3:uid="{00000000-0010-0000-0100-000028030000}" name="Kolom808"/>
    <tableColumn id="809" xr3:uid="{00000000-0010-0000-0100-000029030000}" name="Kolom809"/>
    <tableColumn id="810" xr3:uid="{00000000-0010-0000-0100-00002A030000}" name="Kolom810"/>
    <tableColumn id="811" xr3:uid="{00000000-0010-0000-0100-00002B030000}" name="Kolom811"/>
    <tableColumn id="812" xr3:uid="{00000000-0010-0000-0100-00002C030000}" name="Kolom812"/>
    <tableColumn id="813" xr3:uid="{00000000-0010-0000-0100-00002D030000}" name="Kolom813"/>
    <tableColumn id="814" xr3:uid="{00000000-0010-0000-0100-00002E030000}" name="Kolom814"/>
    <tableColumn id="815" xr3:uid="{00000000-0010-0000-0100-00002F030000}" name="Kolom815"/>
    <tableColumn id="816" xr3:uid="{00000000-0010-0000-0100-000030030000}" name="Kolom816"/>
    <tableColumn id="817" xr3:uid="{00000000-0010-0000-0100-000031030000}" name="Kolom817"/>
    <tableColumn id="818" xr3:uid="{00000000-0010-0000-0100-000032030000}" name="Kolom818"/>
    <tableColumn id="819" xr3:uid="{00000000-0010-0000-0100-000033030000}" name="Kolom819"/>
    <tableColumn id="820" xr3:uid="{00000000-0010-0000-0100-000034030000}" name="Kolom820"/>
    <tableColumn id="821" xr3:uid="{00000000-0010-0000-0100-000035030000}" name="Kolom821"/>
    <tableColumn id="822" xr3:uid="{00000000-0010-0000-0100-000036030000}" name="Kolom822"/>
    <tableColumn id="823" xr3:uid="{00000000-0010-0000-0100-000037030000}" name="Kolom823"/>
    <tableColumn id="824" xr3:uid="{00000000-0010-0000-0100-000038030000}" name="Kolom824"/>
    <tableColumn id="825" xr3:uid="{00000000-0010-0000-0100-000039030000}" name="Kolom825"/>
    <tableColumn id="826" xr3:uid="{00000000-0010-0000-0100-00003A030000}" name="Kolom826"/>
    <tableColumn id="827" xr3:uid="{00000000-0010-0000-0100-00003B030000}" name="Kolom827"/>
    <tableColumn id="828" xr3:uid="{00000000-0010-0000-0100-00003C030000}" name="Kolom828"/>
    <tableColumn id="829" xr3:uid="{00000000-0010-0000-0100-00003D030000}" name="Kolom829"/>
    <tableColumn id="830" xr3:uid="{00000000-0010-0000-0100-00003E030000}" name="Kolom830"/>
    <tableColumn id="831" xr3:uid="{00000000-0010-0000-0100-00003F030000}" name="Kolom831"/>
    <tableColumn id="832" xr3:uid="{00000000-0010-0000-0100-000040030000}" name="Kolom832"/>
    <tableColumn id="833" xr3:uid="{00000000-0010-0000-0100-000041030000}" name="Kolom833"/>
    <tableColumn id="834" xr3:uid="{00000000-0010-0000-0100-000042030000}" name="Kolom834"/>
    <tableColumn id="835" xr3:uid="{00000000-0010-0000-0100-000043030000}" name="Kolom835"/>
    <tableColumn id="836" xr3:uid="{00000000-0010-0000-0100-000044030000}" name="Kolom836"/>
    <tableColumn id="837" xr3:uid="{00000000-0010-0000-0100-000045030000}" name="Kolom837"/>
    <tableColumn id="838" xr3:uid="{00000000-0010-0000-0100-000046030000}" name="Kolom838"/>
    <tableColumn id="839" xr3:uid="{00000000-0010-0000-0100-000047030000}" name="Kolom839"/>
    <tableColumn id="840" xr3:uid="{00000000-0010-0000-0100-000048030000}" name="Kolom840"/>
    <tableColumn id="841" xr3:uid="{00000000-0010-0000-0100-000049030000}" name="Kolom841"/>
    <tableColumn id="842" xr3:uid="{00000000-0010-0000-0100-00004A030000}" name="Kolom842"/>
    <tableColumn id="843" xr3:uid="{00000000-0010-0000-0100-00004B030000}" name="Kolom843"/>
    <tableColumn id="844" xr3:uid="{00000000-0010-0000-0100-00004C030000}" name="Kolom844"/>
    <tableColumn id="845" xr3:uid="{00000000-0010-0000-0100-00004D030000}" name="Kolom845"/>
    <tableColumn id="846" xr3:uid="{00000000-0010-0000-0100-00004E030000}" name="Kolom846"/>
    <tableColumn id="847" xr3:uid="{00000000-0010-0000-0100-00004F030000}" name="Kolom847"/>
    <tableColumn id="848" xr3:uid="{00000000-0010-0000-0100-000050030000}" name="Kolom848"/>
    <tableColumn id="849" xr3:uid="{00000000-0010-0000-0100-000051030000}" name="Kolom849"/>
    <tableColumn id="850" xr3:uid="{00000000-0010-0000-0100-000052030000}" name="Kolom850"/>
    <tableColumn id="851" xr3:uid="{00000000-0010-0000-0100-000053030000}" name="Kolom851"/>
    <tableColumn id="852" xr3:uid="{00000000-0010-0000-0100-000054030000}" name="Kolom852"/>
    <tableColumn id="853" xr3:uid="{00000000-0010-0000-0100-000055030000}" name="Kolom853"/>
    <tableColumn id="854" xr3:uid="{00000000-0010-0000-0100-000056030000}" name="Kolom854"/>
    <tableColumn id="855" xr3:uid="{00000000-0010-0000-0100-000057030000}" name="Kolom855"/>
    <tableColumn id="856" xr3:uid="{00000000-0010-0000-0100-000058030000}" name="Kolom856"/>
    <tableColumn id="857" xr3:uid="{00000000-0010-0000-0100-000059030000}" name="Kolom857"/>
    <tableColumn id="858" xr3:uid="{00000000-0010-0000-0100-00005A030000}" name="Kolom858"/>
    <tableColumn id="859" xr3:uid="{00000000-0010-0000-0100-00005B030000}" name="Kolom859"/>
    <tableColumn id="860" xr3:uid="{00000000-0010-0000-0100-00005C030000}" name="Kolom860"/>
    <tableColumn id="861" xr3:uid="{00000000-0010-0000-0100-00005D030000}" name="Kolom861"/>
    <tableColumn id="862" xr3:uid="{00000000-0010-0000-0100-00005E030000}" name="Kolom862"/>
    <tableColumn id="863" xr3:uid="{00000000-0010-0000-0100-00005F030000}" name="Kolom863"/>
    <tableColumn id="864" xr3:uid="{00000000-0010-0000-0100-000060030000}" name="Kolom864"/>
    <tableColumn id="865" xr3:uid="{00000000-0010-0000-0100-000061030000}" name="Kolom865"/>
    <tableColumn id="866" xr3:uid="{00000000-0010-0000-0100-000062030000}" name="Kolom866"/>
    <tableColumn id="867" xr3:uid="{00000000-0010-0000-0100-000063030000}" name="Kolom867"/>
    <tableColumn id="868" xr3:uid="{00000000-0010-0000-0100-000064030000}" name="Kolom868"/>
    <tableColumn id="869" xr3:uid="{00000000-0010-0000-0100-000065030000}" name="Kolom869"/>
    <tableColumn id="870" xr3:uid="{00000000-0010-0000-0100-000066030000}" name="Kolom870"/>
    <tableColumn id="871" xr3:uid="{00000000-0010-0000-0100-000067030000}" name="Kolom871"/>
    <tableColumn id="872" xr3:uid="{00000000-0010-0000-0100-000068030000}" name="Kolom872"/>
    <tableColumn id="873" xr3:uid="{00000000-0010-0000-0100-000069030000}" name="Kolom873"/>
    <tableColumn id="874" xr3:uid="{00000000-0010-0000-0100-00006A030000}" name="Kolom874"/>
    <tableColumn id="875" xr3:uid="{00000000-0010-0000-0100-00006B030000}" name="Kolom875"/>
    <tableColumn id="876" xr3:uid="{00000000-0010-0000-0100-00006C030000}" name="Kolom876"/>
    <tableColumn id="877" xr3:uid="{00000000-0010-0000-0100-00006D030000}" name="Kolom877"/>
    <tableColumn id="878" xr3:uid="{00000000-0010-0000-0100-00006E030000}" name="Kolom878"/>
    <tableColumn id="879" xr3:uid="{00000000-0010-0000-0100-00006F030000}" name="Kolom879"/>
    <tableColumn id="880" xr3:uid="{00000000-0010-0000-0100-000070030000}" name="Kolom880"/>
    <tableColumn id="881" xr3:uid="{00000000-0010-0000-0100-000071030000}" name="Kolom881"/>
    <tableColumn id="882" xr3:uid="{00000000-0010-0000-0100-000072030000}" name="Kolom882"/>
    <tableColumn id="883" xr3:uid="{00000000-0010-0000-0100-000073030000}" name="Kolom883"/>
    <tableColumn id="884" xr3:uid="{00000000-0010-0000-0100-000074030000}" name="Kolom884"/>
    <tableColumn id="885" xr3:uid="{00000000-0010-0000-0100-000075030000}" name="Kolom885"/>
    <tableColumn id="886" xr3:uid="{00000000-0010-0000-0100-000076030000}" name="Kolom886"/>
    <tableColumn id="887" xr3:uid="{00000000-0010-0000-0100-000077030000}" name="Kolom887"/>
    <tableColumn id="888" xr3:uid="{00000000-0010-0000-0100-000078030000}" name="Kolom888"/>
    <tableColumn id="889" xr3:uid="{00000000-0010-0000-0100-000079030000}" name="Kolom889"/>
    <tableColumn id="890" xr3:uid="{00000000-0010-0000-0100-00007A030000}" name="Kolom890"/>
    <tableColumn id="891" xr3:uid="{00000000-0010-0000-0100-00007B030000}" name="Kolom891"/>
    <tableColumn id="892" xr3:uid="{00000000-0010-0000-0100-00007C030000}" name="Kolom892"/>
    <tableColumn id="893" xr3:uid="{00000000-0010-0000-0100-00007D030000}" name="Kolom893"/>
    <tableColumn id="894" xr3:uid="{00000000-0010-0000-0100-00007E030000}" name="Kolom894"/>
    <tableColumn id="895" xr3:uid="{00000000-0010-0000-0100-00007F030000}" name="Kolom895"/>
    <tableColumn id="896" xr3:uid="{00000000-0010-0000-0100-000080030000}" name="Kolom896"/>
    <tableColumn id="897" xr3:uid="{00000000-0010-0000-0100-000081030000}" name="Kolom897"/>
    <tableColumn id="898" xr3:uid="{00000000-0010-0000-0100-000082030000}" name="Kolom898"/>
    <tableColumn id="899" xr3:uid="{00000000-0010-0000-0100-000083030000}" name="Kolom899"/>
    <tableColumn id="900" xr3:uid="{00000000-0010-0000-0100-000084030000}" name="Kolom900"/>
    <tableColumn id="901" xr3:uid="{00000000-0010-0000-0100-000085030000}" name="Kolom901"/>
    <tableColumn id="902" xr3:uid="{00000000-0010-0000-0100-000086030000}" name="Kolom902"/>
    <tableColumn id="903" xr3:uid="{00000000-0010-0000-0100-000087030000}" name="Kolom903"/>
    <tableColumn id="904" xr3:uid="{00000000-0010-0000-0100-000088030000}" name="Kolom904"/>
    <tableColumn id="905" xr3:uid="{00000000-0010-0000-0100-000089030000}" name="Kolom905"/>
    <tableColumn id="906" xr3:uid="{00000000-0010-0000-0100-00008A030000}" name="Kolom906"/>
    <tableColumn id="907" xr3:uid="{00000000-0010-0000-0100-00008B030000}" name="Kolom907"/>
    <tableColumn id="908" xr3:uid="{00000000-0010-0000-0100-00008C030000}" name="Kolom908"/>
    <tableColumn id="909" xr3:uid="{00000000-0010-0000-0100-00008D030000}" name="Kolom909"/>
    <tableColumn id="910" xr3:uid="{00000000-0010-0000-0100-00008E030000}" name="Kolom910"/>
    <tableColumn id="911" xr3:uid="{00000000-0010-0000-0100-00008F030000}" name="Kolom911"/>
    <tableColumn id="912" xr3:uid="{00000000-0010-0000-0100-000090030000}" name="Kolom912"/>
    <tableColumn id="913" xr3:uid="{00000000-0010-0000-0100-000091030000}" name="Kolom913"/>
    <tableColumn id="914" xr3:uid="{00000000-0010-0000-0100-000092030000}" name="Kolom914"/>
    <tableColumn id="915" xr3:uid="{00000000-0010-0000-0100-000093030000}" name="Kolom915"/>
    <tableColumn id="916" xr3:uid="{00000000-0010-0000-0100-000094030000}" name="Kolom916"/>
    <tableColumn id="917" xr3:uid="{00000000-0010-0000-0100-000095030000}" name="Kolom917"/>
    <tableColumn id="918" xr3:uid="{00000000-0010-0000-0100-000096030000}" name="Kolom918"/>
    <tableColumn id="919" xr3:uid="{00000000-0010-0000-0100-000097030000}" name="Kolom919"/>
    <tableColumn id="920" xr3:uid="{00000000-0010-0000-0100-000098030000}" name="Kolom920"/>
    <tableColumn id="921" xr3:uid="{00000000-0010-0000-0100-000099030000}" name="Kolom921"/>
    <tableColumn id="922" xr3:uid="{00000000-0010-0000-0100-00009A030000}" name="Kolom922"/>
    <tableColumn id="923" xr3:uid="{00000000-0010-0000-0100-00009B030000}" name="Kolom923"/>
    <tableColumn id="924" xr3:uid="{00000000-0010-0000-0100-00009C030000}" name="Kolom924"/>
    <tableColumn id="925" xr3:uid="{00000000-0010-0000-0100-00009D030000}" name="Kolom925"/>
    <tableColumn id="926" xr3:uid="{00000000-0010-0000-0100-00009E030000}" name="Kolom926"/>
    <tableColumn id="927" xr3:uid="{00000000-0010-0000-0100-00009F030000}" name="Kolom927"/>
    <tableColumn id="928" xr3:uid="{00000000-0010-0000-0100-0000A0030000}" name="Kolom928"/>
    <tableColumn id="929" xr3:uid="{00000000-0010-0000-0100-0000A1030000}" name="Kolom929"/>
    <tableColumn id="930" xr3:uid="{00000000-0010-0000-0100-0000A2030000}" name="Kolom930"/>
    <tableColumn id="931" xr3:uid="{00000000-0010-0000-0100-0000A3030000}" name="Kolom931"/>
    <tableColumn id="932" xr3:uid="{00000000-0010-0000-0100-0000A4030000}" name="Kolom932"/>
    <tableColumn id="933" xr3:uid="{00000000-0010-0000-0100-0000A5030000}" name="Kolom933"/>
    <tableColumn id="934" xr3:uid="{00000000-0010-0000-0100-0000A6030000}" name="Kolom934"/>
    <tableColumn id="935" xr3:uid="{00000000-0010-0000-0100-0000A7030000}" name="Kolom935"/>
    <tableColumn id="936" xr3:uid="{00000000-0010-0000-0100-0000A8030000}" name="Kolom936"/>
    <tableColumn id="937" xr3:uid="{00000000-0010-0000-0100-0000A9030000}" name="Kolom937"/>
    <tableColumn id="938" xr3:uid="{00000000-0010-0000-0100-0000AA030000}" name="Kolom938"/>
    <tableColumn id="939" xr3:uid="{00000000-0010-0000-0100-0000AB030000}" name="Kolom939"/>
    <tableColumn id="940" xr3:uid="{00000000-0010-0000-0100-0000AC030000}" name="Kolom940"/>
    <tableColumn id="941" xr3:uid="{00000000-0010-0000-0100-0000AD030000}" name="Kolom941"/>
    <tableColumn id="942" xr3:uid="{00000000-0010-0000-0100-0000AE030000}" name="Kolom942"/>
    <tableColumn id="943" xr3:uid="{00000000-0010-0000-0100-0000AF030000}" name="Kolom943"/>
    <tableColumn id="944" xr3:uid="{00000000-0010-0000-0100-0000B0030000}" name="Kolom944"/>
    <tableColumn id="945" xr3:uid="{00000000-0010-0000-0100-0000B1030000}" name="Kolom945"/>
    <tableColumn id="946" xr3:uid="{00000000-0010-0000-0100-0000B2030000}" name="Kolom946"/>
    <tableColumn id="947" xr3:uid="{00000000-0010-0000-0100-0000B3030000}" name="Kolom947"/>
    <tableColumn id="948" xr3:uid="{00000000-0010-0000-0100-0000B4030000}" name="Kolom948"/>
    <tableColumn id="949" xr3:uid="{00000000-0010-0000-0100-0000B5030000}" name="Kolom949"/>
    <tableColumn id="950" xr3:uid="{00000000-0010-0000-0100-0000B6030000}" name="Kolom950"/>
    <tableColumn id="951" xr3:uid="{00000000-0010-0000-0100-0000B7030000}" name="Kolom951"/>
    <tableColumn id="952" xr3:uid="{00000000-0010-0000-0100-0000B8030000}" name="Kolom952"/>
    <tableColumn id="953" xr3:uid="{00000000-0010-0000-0100-0000B9030000}" name="Kolom953"/>
    <tableColumn id="954" xr3:uid="{00000000-0010-0000-0100-0000BA030000}" name="Kolom954"/>
    <tableColumn id="955" xr3:uid="{00000000-0010-0000-0100-0000BB030000}" name="Kolom955"/>
    <tableColumn id="956" xr3:uid="{00000000-0010-0000-0100-0000BC030000}" name="Kolom956"/>
    <tableColumn id="957" xr3:uid="{00000000-0010-0000-0100-0000BD030000}" name="Kolom957"/>
    <tableColumn id="958" xr3:uid="{00000000-0010-0000-0100-0000BE030000}" name="Kolom958"/>
    <tableColumn id="959" xr3:uid="{00000000-0010-0000-0100-0000BF030000}" name="Kolom959"/>
    <tableColumn id="960" xr3:uid="{00000000-0010-0000-0100-0000C0030000}" name="Kolom960"/>
    <tableColumn id="961" xr3:uid="{00000000-0010-0000-0100-0000C1030000}" name="Kolom961"/>
    <tableColumn id="962" xr3:uid="{00000000-0010-0000-0100-0000C2030000}" name="Kolom962"/>
    <tableColumn id="963" xr3:uid="{00000000-0010-0000-0100-0000C3030000}" name="Kolom963"/>
    <tableColumn id="964" xr3:uid="{00000000-0010-0000-0100-0000C4030000}" name="Kolom964"/>
    <tableColumn id="965" xr3:uid="{00000000-0010-0000-0100-0000C5030000}" name="Kolom965"/>
    <tableColumn id="966" xr3:uid="{00000000-0010-0000-0100-0000C6030000}" name="Kolom966"/>
    <tableColumn id="967" xr3:uid="{00000000-0010-0000-0100-0000C7030000}" name="Kolom967"/>
    <tableColumn id="968" xr3:uid="{00000000-0010-0000-0100-0000C8030000}" name="Kolom968"/>
    <tableColumn id="969" xr3:uid="{00000000-0010-0000-0100-0000C9030000}" name="Kolom969"/>
    <tableColumn id="970" xr3:uid="{00000000-0010-0000-0100-0000CA030000}" name="Kolom970"/>
    <tableColumn id="971" xr3:uid="{00000000-0010-0000-0100-0000CB030000}" name="Kolom971"/>
    <tableColumn id="972" xr3:uid="{00000000-0010-0000-0100-0000CC030000}" name="Kolom972"/>
    <tableColumn id="973" xr3:uid="{00000000-0010-0000-0100-0000CD030000}" name="Kolom973"/>
    <tableColumn id="974" xr3:uid="{00000000-0010-0000-0100-0000CE030000}" name="Kolom974"/>
    <tableColumn id="975" xr3:uid="{00000000-0010-0000-0100-0000CF030000}" name="Kolom975"/>
    <tableColumn id="976" xr3:uid="{00000000-0010-0000-0100-0000D0030000}" name="Kolom976"/>
    <tableColumn id="977" xr3:uid="{00000000-0010-0000-0100-0000D1030000}" name="Kolom977"/>
    <tableColumn id="978" xr3:uid="{00000000-0010-0000-0100-0000D2030000}" name="Kolom978"/>
    <tableColumn id="979" xr3:uid="{00000000-0010-0000-0100-0000D3030000}" name="Kolom979"/>
    <tableColumn id="980" xr3:uid="{00000000-0010-0000-0100-0000D4030000}" name="Kolom980"/>
    <tableColumn id="981" xr3:uid="{00000000-0010-0000-0100-0000D5030000}" name="Kolom981"/>
    <tableColumn id="982" xr3:uid="{00000000-0010-0000-0100-0000D6030000}" name="Kolom982"/>
    <tableColumn id="983" xr3:uid="{00000000-0010-0000-0100-0000D7030000}" name="Kolom983"/>
    <tableColumn id="984" xr3:uid="{00000000-0010-0000-0100-0000D8030000}" name="Kolom984"/>
    <tableColumn id="985" xr3:uid="{00000000-0010-0000-0100-0000D9030000}" name="Kolom985"/>
    <tableColumn id="986" xr3:uid="{00000000-0010-0000-0100-0000DA030000}" name="Kolom986"/>
    <tableColumn id="987" xr3:uid="{00000000-0010-0000-0100-0000DB030000}" name="Kolom987"/>
    <tableColumn id="988" xr3:uid="{00000000-0010-0000-0100-0000DC030000}" name="Kolom988"/>
    <tableColumn id="989" xr3:uid="{00000000-0010-0000-0100-0000DD030000}" name="Kolom989"/>
    <tableColumn id="990" xr3:uid="{00000000-0010-0000-0100-0000DE030000}" name="Kolom990"/>
    <tableColumn id="991" xr3:uid="{00000000-0010-0000-0100-0000DF030000}" name="Kolom991"/>
    <tableColumn id="992" xr3:uid="{00000000-0010-0000-0100-0000E0030000}" name="Kolom992"/>
    <tableColumn id="993" xr3:uid="{00000000-0010-0000-0100-0000E1030000}" name="Kolom993"/>
    <tableColumn id="994" xr3:uid="{00000000-0010-0000-0100-0000E2030000}" name="Kolom994"/>
    <tableColumn id="995" xr3:uid="{00000000-0010-0000-0100-0000E3030000}" name="Kolom995"/>
    <tableColumn id="996" xr3:uid="{00000000-0010-0000-0100-0000E4030000}" name="Kolom996"/>
    <tableColumn id="997" xr3:uid="{00000000-0010-0000-0100-0000E5030000}" name="Kolom997"/>
    <tableColumn id="998" xr3:uid="{00000000-0010-0000-0100-0000E6030000}" name="Kolom998"/>
    <tableColumn id="999" xr3:uid="{00000000-0010-0000-0100-0000E7030000}" name="Kolom999"/>
    <tableColumn id="1000" xr3:uid="{00000000-0010-0000-0100-0000E8030000}" name="Kolom1000"/>
    <tableColumn id="1001" xr3:uid="{00000000-0010-0000-0100-0000E9030000}" name="Kolom1001"/>
    <tableColumn id="1002" xr3:uid="{00000000-0010-0000-0100-0000EA030000}" name="Kolom1002"/>
    <tableColumn id="1003" xr3:uid="{00000000-0010-0000-0100-0000EB030000}" name="Kolom1003"/>
    <tableColumn id="1004" xr3:uid="{00000000-0010-0000-0100-0000EC030000}" name="Kolom1004"/>
    <tableColumn id="1005" xr3:uid="{00000000-0010-0000-0100-0000ED030000}" name="Kolom1005"/>
    <tableColumn id="1006" xr3:uid="{00000000-0010-0000-0100-0000EE030000}" name="Kolom1006"/>
    <tableColumn id="1007" xr3:uid="{00000000-0010-0000-0100-0000EF030000}" name="Kolom1007"/>
    <tableColumn id="1008" xr3:uid="{00000000-0010-0000-0100-0000F0030000}" name="Kolom1008"/>
    <tableColumn id="1009" xr3:uid="{00000000-0010-0000-0100-0000F1030000}" name="Kolom1009"/>
    <tableColumn id="1010" xr3:uid="{00000000-0010-0000-0100-0000F2030000}" name="Kolom1010"/>
    <tableColumn id="1011" xr3:uid="{00000000-0010-0000-0100-0000F3030000}" name="Kolom1011"/>
    <tableColumn id="1012" xr3:uid="{00000000-0010-0000-0100-0000F4030000}" name="Kolom1012"/>
    <tableColumn id="1013" xr3:uid="{00000000-0010-0000-0100-0000F5030000}" name="Kolom1013"/>
    <tableColumn id="1014" xr3:uid="{00000000-0010-0000-0100-0000F6030000}" name="Kolom1014"/>
    <tableColumn id="1015" xr3:uid="{00000000-0010-0000-0100-0000F7030000}" name="Kolom1015"/>
    <tableColumn id="1016" xr3:uid="{00000000-0010-0000-0100-0000F8030000}" name="Kolom1016"/>
    <tableColumn id="1017" xr3:uid="{00000000-0010-0000-0100-0000F9030000}" name="Kolom1017"/>
    <tableColumn id="1018" xr3:uid="{00000000-0010-0000-0100-0000FA030000}" name="Kolom1018"/>
    <tableColumn id="1019" xr3:uid="{00000000-0010-0000-0100-0000FB030000}" name="Kolom1019"/>
    <tableColumn id="1020" xr3:uid="{00000000-0010-0000-0100-0000FC030000}" name="Kolom1020"/>
    <tableColumn id="1021" xr3:uid="{00000000-0010-0000-0100-0000FD030000}" name="Kolom1021"/>
    <tableColumn id="1022" xr3:uid="{00000000-0010-0000-0100-0000FE030000}" name="Kolom1022"/>
    <tableColumn id="1023" xr3:uid="{00000000-0010-0000-0100-0000FF030000}" name="Kolom1023"/>
    <tableColumn id="1024" xr3:uid="{00000000-0010-0000-0100-000000040000}" name="Kolom10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1"/>
  <sheetViews>
    <sheetView tabSelected="1" workbookViewId="0">
      <selection activeCell="A19" sqref="A19"/>
    </sheetView>
  </sheetViews>
  <sheetFormatPr defaultRowHeight="14.4" x14ac:dyDescent="0.3"/>
  <cols>
    <col min="1" max="1" width="44.88671875" bestFit="1" customWidth="1"/>
    <col min="2" max="2" width="9" hidden="1" customWidth="1"/>
    <col min="3" max="3" width="2.6640625" bestFit="1" customWidth="1"/>
    <col min="4" max="4" width="41.33203125" bestFit="1" customWidth="1"/>
    <col min="5" max="5" width="31.88671875" bestFit="1" customWidth="1"/>
    <col min="6" max="6" width="14.5546875" bestFit="1" customWidth="1"/>
    <col min="7" max="7" width="14.109375" bestFit="1" customWidth="1"/>
    <col min="8" max="9" width="15" customWidth="1"/>
    <col min="10" max="10" width="8.88671875" customWidth="1"/>
  </cols>
  <sheetData>
    <row r="1" spans="1:9" ht="17.399999999999999" x14ac:dyDescent="0.3">
      <c r="A1" s="1" t="s">
        <v>0</v>
      </c>
      <c r="B1" s="1"/>
      <c r="C1" s="1"/>
      <c r="D1" s="2"/>
      <c r="E1" s="2"/>
    </row>
    <row r="2" spans="1:9" x14ac:dyDescent="0.3">
      <c r="A2" t="s">
        <v>1</v>
      </c>
      <c r="D2" t="s">
        <v>2</v>
      </c>
      <c r="F2">
        <v>-29606948.650000017</v>
      </c>
      <c r="G2">
        <v>-30659726.149999987</v>
      </c>
    </row>
    <row r="3" spans="1:9" ht="15" thickBot="1" x14ac:dyDescent="0.35">
      <c r="F3" s="3" t="s">
        <v>3</v>
      </c>
      <c r="G3" s="3" t="s">
        <v>4</v>
      </c>
    </row>
    <row r="4" spans="1:9" ht="15" thickBot="1" x14ac:dyDescent="0.35">
      <c r="A4" s="4" t="s">
        <v>5</v>
      </c>
      <c r="B4" s="4"/>
      <c r="C4" s="4"/>
      <c r="D4" s="4" t="s">
        <v>6</v>
      </c>
      <c r="E4" s="4" t="s">
        <v>7</v>
      </c>
      <c r="F4" s="5">
        <f>F6+F5</f>
        <v>29606948.649999999</v>
      </c>
      <c r="G4" s="5">
        <f>G6+G5</f>
        <v>30659726.149999995</v>
      </c>
      <c r="H4" s="6"/>
      <c r="I4" s="6"/>
    </row>
    <row r="5" spans="1:9" ht="15" thickBot="1" x14ac:dyDescent="0.35">
      <c r="A5" s="7" t="s">
        <v>8</v>
      </c>
      <c r="B5" s="8"/>
      <c r="C5" s="8"/>
      <c r="D5" s="9" t="s">
        <v>9</v>
      </c>
      <c r="E5" s="10"/>
      <c r="F5" s="5">
        <v>160409.50000000003</v>
      </c>
      <c r="G5" s="5">
        <v>153193.29999999999</v>
      </c>
    </row>
    <row r="6" spans="1:9" ht="43.2" x14ac:dyDescent="0.3">
      <c r="A6" s="11" t="s">
        <v>10</v>
      </c>
      <c r="B6" s="12"/>
      <c r="C6" s="12"/>
      <c r="D6" s="13" t="s">
        <v>11</v>
      </c>
      <c r="E6" s="14"/>
      <c r="F6" s="5">
        <f>F44+F49+F95+F99+F106+F114+F131+F141</f>
        <v>29446539.149999999</v>
      </c>
      <c r="G6" s="5">
        <f>G44+G49+G95+G99+G106+G114+G131+G141</f>
        <v>30506532.849999994</v>
      </c>
    </row>
    <row r="7" spans="1:9" x14ac:dyDescent="0.3">
      <c r="A7" s="15"/>
      <c r="B7" s="16"/>
      <c r="C7" s="16"/>
      <c r="E7" s="17"/>
    </row>
    <row r="8" spans="1:9" x14ac:dyDescent="0.3">
      <c r="A8" s="18" t="s">
        <v>12</v>
      </c>
      <c r="B8" s="19" t="s">
        <v>13</v>
      </c>
      <c r="C8" s="20" t="s">
        <v>14</v>
      </c>
      <c r="D8" s="21" t="s">
        <v>15</v>
      </c>
      <c r="E8" s="22" t="s">
        <v>16</v>
      </c>
      <c r="F8" s="23">
        <v>12198.740000000002</v>
      </c>
      <c r="G8" s="23">
        <v>5744.84</v>
      </c>
    </row>
    <row r="9" spans="1:9" x14ac:dyDescent="0.3">
      <c r="A9" s="19" t="s">
        <v>12</v>
      </c>
      <c r="B9" s="19" t="s">
        <v>17</v>
      </c>
      <c r="C9" s="19" t="s">
        <v>14</v>
      </c>
      <c r="D9" s="21" t="s">
        <v>18</v>
      </c>
      <c r="E9" s="24" t="s">
        <v>19</v>
      </c>
      <c r="F9" s="23">
        <v>7947.59</v>
      </c>
      <c r="G9" s="23">
        <v>7947.6</v>
      </c>
    </row>
    <row r="10" spans="1:9" x14ac:dyDescent="0.3">
      <c r="A10" s="18" t="s">
        <v>12</v>
      </c>
      <c r="B10" s="18" t="s">
        <v>20</v>
      </c>
      <c r="C10" s="19" t="s">
        <v>14</v>
      </c>
      <c r="D10" s="25" t="s">
        <v>21</v>
      </c>
      <c r="E10" s="24" t="s">
        <v>22</v>
      </c>
      <c r="F10" s="23">
        <v>3251.57</v>
      </c>
      <c r="G10" s="23">
        <v>4746.5200000000004</v>
      </c>
    </row>
    <row r="11" spans="1:9" x14ac:dyDescent="0.3">
      <c r="A11" s="26" t="s">
        <v>12</v>
      </c>
      <c r="B11" s="26" t="s">
        <v>23</v>
      </c>
      <c r="C11" s="19" t="s">
        <v>14</v>
      </c>
      <c r="D11" s="25" t="s">
        <v>24</v>
      </c>
      <c r="E11" s="24" t="s">
        <v>25</v>
      </c>
      <c r="F11" s="23">
        <v>47577.81</v>
      </c>
      <c r="G11" s="23">
        <v>2027.46</v>
      </c>
    </row>
    <row r="12" spans="1:9" x14ac:dyDescent="0.3">
      <c r="A12" s="26" t="s">
        <v>12</v>
      </c>
      <c r="B12" s="26" t="s">
        <v>26</v>
      </c>
      <c r="C12" s="19" t="s">
        <v>14</v>
      </c>
      <c r="D12" s="25" t="s">
        <v>27</v>
      </c>
      <c r="E12" s="24" t="s">
        <v>28</v>
      </c>
      <c r="F12" s="23">
        <v>19404.84</v>
      </c>
      <c r="G12" s="23">
        <v>12046.34</v>
      </c>
    </row>
    <row r="13" spans="1:9" x14ac:dyDescent="0.3">
      <c r="A13" s="18" t="s">
        <v>12</v>
      </c>
      <c r="B13" s="18" t="s">
        <v>29</v>
      </c>
      <c r="C13" s="19" t="s">
        <v>14</v>
      </c>
      <c r="D13" s="27" t="s">
        <v>30</v>
      </c>
      <c r="E13" s="28" t="s">
        <v>31</v>
      </c>
      <c r="F13" s="23">
        <v>57486.09</v>
      </c>
      <c r="G13" s="23">
        <v>57486.09</v>
      </c>
    </row>
    <row r="14" spans="1:9" x14ac:dyDescent="0.3">
      <c r="A14" s="18" t="s">
        <v>32</v>
      </c>
      <c r="B14" s="18" t="s">
        <v>33</v>
      </c>
      <c r="C14" s="19" t="s">
        <v>14</v>
      </c>
      <c r="D14" s="25" t="s">
        <v>34</v>
      </c>
      <c r="E14" s="24" t="s">
        <v>35</v>
      </c>
      <c r="F14" s="23">
        <v>4000</v>
      </c>
      <c r="G14" s="23">
        <v>4000</v>
      </c>
    </row>
    <row r="15" spans="1:9" x14ac:dyDescent="0.3">
      <c r="A15" s="19" t="s">
        <v>32</v>
      </c>
      <c r="B15" s="19" t="s">
        <v>36</v>
      </c>
      <c r="C15" s="19" t="s">
        <v>14</v>
      </c>
      <c r="D15" s="21" t="s">
        <v>37</v>
      </c>
      <c r="E15" s="24" t="s">
        <v>19</v>
      </c>
      <c r="F15" s="23">
        <v>3778.33</v>
      </c>
      <c r="G15" s="23">
        <v>3778.32</v>
      </c>
    </row>
    <row r="16" spans="1:9" x14ac:dyDescent="0.3">
      <c r="A16" s="19" t="s">
        <v>32</v>
      </c>
      <c r="B16" s="19" t="s">
        <v>38</v>
      </c>
      <c r="C16" s="19" t="s">
        <v>14</v>
      </c>
      <c r="D16" s="21" t="s">
        <v>39</v>
      </c>
      <c r="E16" s="24" t="s">
        <v>40</v>
      </c>
      <c r="F16" s="23">
        <v>5322</v>
      </c>
      <c r="G16" s="23">
        <v>5322</v>
      </c>
    </row>
    <row r="17" spans="1:9" x14ac:dyDescent="0.3">
      <c r="A17" s="20" t="s">
        <v>41</v>
      </c>
      <c r="B17" s="20" t="s">
        <v>42</v>
      </c>
      <c r="C17" s="19" t="s">
        <v>14</v>
      </c>
      <c r="D17" s="21" t="s">
        <v>27</v>
      </c>
      <c r="E17" s="24" t="s">
        <v>28</v>
      </c>
      <c r="F17" s="23">
        <v>1025.1199999999999</v>
      </c>
      <c r="G17" s="23">
        <v>636.37</v>
      </c>
    </row>
    <row r="18" spans="1:9" x14ac:dyDescent="0.3">
      <c r="A18" s="20" t="s">
        <v>41</v>
      </c>
      <c r="B18" s="26" t="s">
        <v>43</v>
      </c>
      <c r="C18" s="19" t="s">
        <v>14</v>
      </c>
      <c r="D18" s="25" t="s">
        <v>24</v>
      </c>
      <c r="E18" s="24" t="s">
        <v>25</v>
      </c>
      <c r="F18" s="23">
        <v>5950</v>
      </c>
      <c r="G18" s="23">
        <v>253.55</v>
      </c>
    </row>
    <row r="19" spans="1:9" x14ac:dyDescent="0.3">
      <c r="A19" s="20" t="s">
        <v>44</v>
      </c>
      <c r="B19" s="26" t="s">
        <v>45</v>
      </c>
      <c r="C19" s="19" t="s">
        <v>14</v>
      </c>
      <c r="D19" s="25" t="s">
        <v>46</v>
      </c>
      <c r="E19" s="24" t="s">
        <v>47</v>
      </c>
      <c r="F19" s="23">
        <v>3726.75</v>
      </c>
      <c r="G19" s="23">
        <v>3856.06</v>
      </c>
    </row>
    <row r="20" spans="1:9" x14ac:dyDescent="0.3">
      <c r="A20" s="19" t="s">
        <v>48</v>
      </c>
      <c r="B20" s="18" t="s">
        <v>49</v>
      </c>
      <c r="C20" s="19" t="s">
        <v>14</v>
      </c>
      <c r="D20" s="27" t="s">
        <v>50</v>
      </c>
      <c r="E20" s="24" t="s">
        <v>16</v>
      </c>
      <c r="F20" s="23">
        <v>15166892.140000001</v>
      </c>
      <c r="G20" s="23">
        <v>15390610.649999999</v>
      </c>
    </row>
    <row r="21" spans="1:9" x14ac:dyDescent="0.3">
      <c r="A21" s="20" t="s">
        <v>51</v>
      </c>
      <c r="B21" s="20" t="s">
        <v>52</v>
      </c>
      <c r="C21" s="19" t="s">
        <v>14</v>
      </c>
      <c r="D21" s="29" t="s">
        <v>53</v>
      </c>
      <c r="E21" s="24" t="s">
        <v>16</v>
      </c>
      <c r="F21" s="23">
        <v>4100</v>
      </c>
      <c r="G21" s="23">
        <v>0</v>
      </c>
    </row>
    <row r="22" spans="1:9" x14ac:dyDescent="0.3">
      <c r="A22" s="20" t="s">
        <v>54</v>
      </c>
      <c r="B22" s="20" t="s">
        <v>55</v>
      </c>
      <c r="C22" s="19" t="s">
        <v>14</v>
      </c>
      <c r="D22" s="21" t="s">
        <v>56</v>
      </c>
      <c r="E22" s="24" t="s">
        <v>57</v>
      </c>
      <c r="F22" s="23">
        <v>9800</v>
      </c>
      <c r="G22" s="23">
        <v>9800</v>
      </c>
    </row>
    <row r="23" spans="1:9" x14ac:dyDescent="0.3">
      <c r="A23" s="30" t="s">
        <v>58</v>
      </c>
      <c r="B23" s="30" t="s">
        <v>59</v>
      </c>
      <c r="C23" s="19" t="s">
        <v>14</v>
      </c>
      <c r="D23" s="30" t="s">
        <v>58</v>
      </c>
      <c r="E23" s="24"/>
      <c r="F23" s="23">
        <v>6730.75</v>
      </c>
      <c r="G23" s="23">
        <v>4032.48</v>
      </c>
    </row>
    <row r="24" spans="1:9" x14ac:dyDescent="0.3">
      <c r="A24" s="30" t="s">
        <v>60</v>
      </c>
      <c r="B24" s="30" t="s">
        <v>61</v>
      </c>
      <c r="C24" s="19" t="s">
        <v>14</v>
      </c>
      <c r="D24" s="30" t="s">
        <v>62</v>
      </c>
      <c r="E24" s="24" t="s">
        <v>16</v>
      </c>
      <c r="F24" s="23">
        <v>23377</v>
      </c>
      <c r="G24" s="23">
        <v>0</v>
      </c>
    </row>
    <row r="25" spans="1:9" x14ac:dyDescent="0.3">
      <c r="A25" s="30" t="s">
        <v>63</v>
      </c>
      <c r="B25" s="30" t="s">
        <v>64</v>
      </c>
      <c r="C25" s="19" t="s">
        <v>14</v>
      </c>
      <c r="D25" s="30" t="s">
        <v>65</v>
      </c>
      <c r="E25" s="24" t="s">
        <v>66</v>
      </c>
      <c r="F25" s="23">
        <v>134439.14000000001</v>
      </c>
      <c r="G25" s="23">
        <v>134055.34</v>
      </c>
    </row>
    <row r="26" spans="1:9" x14ac:dyDescent="0.3">
      <c r="A26" s="20" t="s">
        <v>67</v>
      </c>
      <c r="B26" s="20" t="s">
        <v>68</v>
      </c>
      <c r="C26" s="19" t="s">
        <v>14</v>
      </c>
      <c r="D26" s="21" t="s">
        <v>69</v>
      </c>
      <c r="E26" s="24"/>
      <c r="F26" s="23">
        <v>5755</v>
      </c>
      <c r="G26" s="23">
        <v>5755</v>
      </c>
    </row>
    <row r="27" spans="1:9" x14ac:dyDescent="0.3">
      <c r="A27" s="31" t="s">
        <v>70</v>
      </c>
      <c r="B27" s="31" t="s">
        <v>71</v>
      </c>
      <c r="C27" s="19" t="s">
        <v>14</v>
      </c>
      <c r="D27" s="30" t="s">
        <v>72</v>
      </c>
      <c r="E27" s="24" t="s">
        <v>16</v>
      </c>
      <c r="F27" s="23">
        <v>349107.61999999994</v>
      </c>
      <c r="G27" s="23">
        <v>488501.45999999979</v>
      </c>
    </row>
    <row r="28" spans="1:9" x14ac:dyDescent="0.3">
      <c r="A28" s="20" t="s">
        <v>73</v>
      </c>
      <c r="B28" s="20" t="s">
        <v>74</v>
      </c>
      <c r="C28" s="19" t="s">
        <v>14</v>
      </c>
      <c r="D28" s="21" t="s">
        <v>75</v>
      </c>
      <c r="E28" s="24" t="s">
        <v>76</v>
      </c>
      <c r="F28" s="23">
        <v>20100</v>
      </c>
      <c r="G28" s="23">
        <v>24580</v>
      </c>
    </row>
    <row r="29" spans="1:9" hidden="1" x14ac:dyDescent="0.3">
      <c r="A29" s="32" t="s">
        <v>77</v>
      </c>
      <c r="B29" s="33">
        <v>732</v>
      </c>
      <c r="C29" s="33" t="s">
        <v>14</v>
      </c>
      <c r="D29" s="34"/>
      <c r="E29" s="34"/>
      <c r="F29" s="35">
        <f>SUM(F8:F28)</f>
        <v>15891970.49</v>
      </c>
      <c r="G29" s="35">
        <f>SUM(G8:G28)</f>
        <v>16165180.079999998</v>
      </c>
      <c r="H29" s="35">
        <v>-7.4505805969238281E-9</v>
      </c>
      <c r="I29" s="35">
        <v>0</v>
      </c>
    </row>
    <row r="30" spans="1:9" x14ac:dyDescent="0.3">
      <c r="A30" s="19" t="s">
        <v>12</v>
      </c>
      <c r="B30" s="19" t="s">
        <v>13</v>
      </c>
      <c r="C30" s="30" t="s">
        <v>78</v>
      </c>
      <c r="D30" s="21" t="s">
        <v>15</v>
      </c>
      <c r="E30" s="24" t="s">
        <v>79</v>
      </c>
      <c r="F30" s="23">
        <v>0</v>
      </c>
      <c r="G30" s="23">
        <v>9514.99</v>
      </c>
    </row>
    <row r="31" spans="1:9" x14ac:dyDescent="0.3">
      <c r="A31" s="19" t="s">
        <v>12</v>
      </c>
      <c r="B31" s="19" t="s">
        <v>80</v>
      </c>
      <c r="C31" s="30" t="s">
        <v>78</v>
      </c>
      <c r="D31" s="21" t="s">
        <v>81</v>
      </c>
      <c r="E31" s="24" t="s">
        <v>82</v>
      </c>
      <c r="F31" s="23">
        <v>46175.29</v>
      </c>
      <c r="G31" s="23">
        <v>46175.29</v>
      </c>
    </row>
    <row r="32" spans="1:9" x14ac:dyDescent="0.3">
      <c r="A32" s="26" t="s">
        <v>12</v>
      </c>
      <c r="B32" s="26" t="s">
        <v>23</v>
      </c>
      <c r="C32" s="19" t="s">
        <v>78</v>
      </c>
      <c r="D32" s="25" t="s">
        <v>24</v>
      </c>
      <c r="E32" s="24" t="s">
        <v>83</v>
      </c>
      <c r="F32" s="23">
        <v>0</v>
      </c>
      <c r="G32" s="23">
        <v>45550.34</v>
      </c>
    </row>
    <row r="33" spans="1:9" x14ac:dyDescent="0.3">
      <c r="A33" s="26" t="s">
        <v>12</v>
      </c>
      <c r="B33" s="26" t="s">
        <v>26</v>
      </c>
      <c r="C33" s="19" t="s">
        <v>78</v>
      </c>
      <c r="D33" s="25" t="s">
        <v>27</v>
      </c>
      <c r="E33" s="24" t="s">
        <v>84</v>
      </c>
      <c r="F33" s="23">
        <v>0</v>
      </c>
      <c r="G33" s="23">
        <v>11805.09</v>
      </c>
    </row>
    <row r="34" spans="1:9" x14ac:dyDescent="0.3">
      <c r="A34" s="19" t="s">
        <v>32</v>
      </c>
      <c r="B34" s="19" t="s">
        <v>85</v>
      </c>
      <c r="C34" s="30" t="s">
        <v>78</v>
      </c>
      <c r="D34" s="21" t="s">
        <v>81</v>
      </c>
      <c r="E34" s="24" t="s">
        <v>82</v>
      </c>
      <c r="F34" s="23">
        <v>27831.67</v>
      </c>
      <c r="G34" s="23">
        <v>27831.67</v>
      </c>
    </row>
    <row r="35" spans="1:9" x14ac:dyDescent="0.3">
      <c r="A35" s="19" t="s">
        <v>32</v>
      </c>
      <c r="B35" s="19" t="s">
        <v>86</v>
      </c>
      <c r="C35" s="30" t="s">
        <v>78</v>
      </c>
      <c r="D35" s="21" t="s">
        <v>87</v>
      </c>
      <c r="E35" s="24" t="s">
        <v>87</v>
      </c>
      <c r="F35" s="23">
        <v>6874.76</v>
      </c>
      <c r="G35" s="23">
        <v>6874.76</v>
      </c>
    </row>
    <row r="36" spans="1:9" x14ac:dyDescent="0.3">
      <c r="A36" s="20" t="s">
        <v>41</v>
      </c>
      <c r="B36" s="20" t="s">
        <v>42</v>
      </c>
      <c r="C36" s="30" t="s">
        <v>78</v>
      </c>
      <c r="D36" s="21" t="s">
        <v>27</v>
      </c>
      <c r="E36" s="24" t="s">
        <v>84</v>
      </c>
      <c r="F36" s="23">
        <v>0</v>
      </c>
      <c r="G36" s="23">
        <v>623.63</v>
      </c>
    </row>
    <row r="37" spans="1:9" x14ac:dyDescent="0.3">
      <c r="A37" s="20" t="s">
        <v>41</v>
      </c>
      <c r="B37" s="26" t="s">
        <v>43</v>
      </c>
      <c r="C37" s="30" t="s">
        <v>78</v>
      </c>
      <c r="D37" s="25" t="s">
        <v>24</v>
      </c>
      <c r="E37" s="24" t="s">
        <v>83</v>
      </c>
      <c r="F37" s="23">
        <v>0</v>
      </c>
      <c r="G37" s="23">
        <v>5696.45</v>
      </c>
    </row>
    <row r="38" spans="1:9" x14ac:dyDescent="0.3">
      <c r="A38" s="19" t="s">
        <v>32</v>
      </c>
      <c r="B38" s="19" t="s">
        <v>88</v>
      </c>
      <c r="C38" s="30" t="s">
        <v>78</v>
      </c>
      <c r="D38" s="21" t="s">
        <v>89</v>
      </c>
      <c r="E38" s="24" t="s">
        <v>90</v>
      </c>
      <c r="F38" s="23">
        <v>599.80999999999995</v>
      </c>
      <c r="G38" s="23">
        <v>0</v>
      </c>
    </row>
    <row r="39" spans="1:9" x14ac:dyDescent="0.3">
      <c r="A39" s="19" t="s">
        <v>32</v>
      </c>
      <c r="B39" s="19" t="s">
        <v>91</v>
      </c>
      <c r="C39" s="30" t="s">
        <v>78</v>
      </c>
      <c r="D39" s="21" t="s">
        <v>89</v>
      </c>
      <c r="E39" s="24" t="s">
        <v>90</v>
      </c>
      <c r="F39" s="23">
        <v>0</v>
      </c>
      <c r="G39" s="23">
        <v>599.80999999999995</v>
      </c>
    </row>
    <row r="40" spans="1:9" x14ac:dyDescent="0.3">
      <c r="A40" s="19"/>
      <c r="B40" s="19" t="s">
        <v>55</v>
      </c>
      <c r="C40" s="30" t="s">
        <v>78</v>
      </c>
      <c r="D40" s="21"/>
      <c r="E40" s="24" t="s">
        <v>92</v>
      </c>
      <c r="F40" s="23">
        <v>0</v>
      </c>
      <c r="G40" s="23">
        <v>55557</v>
      </c>
    </row>
    <row r="41" spans="1:9" x14ac:dyDescent="0.3">
      <c r="A41" s="19" t="s">
        <v>93</v>
      </c>
      <c r="B41" s="19" t="s">
        <v>94</v>
      </c>
      <c r="C41" s="20" t="s">
        <v>78</v>
      </c>
      <c r="D41" s="21" t="s">
        <v>95</v>
      </c>
      <c r="E41" s="28" t="s">
        <v>90</v>
      </c>
      <c r="F41" s="23">
        <v>29000</v>
      </c>
      <c r="G41" s="23">
        <v>0</v>
      </c>
    </row>
    <row r="42" spans="1:9" x14ac:dyDescent="0.3">
      <c r="A42" s="31" t="s">
        <v>70</v>
      </c>
      <c r="B42" s="31" t="s">
        <v>71</v>
      </c>
      <c r="C42" s="19" t="s">
        <v>78</v>
      </c>
      <c r="D42" s="30" t="s">
        <v>72</v>
      </c>
      <c r="E42" s="24" t="s">
        <v>96</v>
      </c>
      <c r="F42" s="23">
        <v>57649.1</v>
      </c>
      <c r="G42" s="23">
        <v>0</v>
      </c>
    </row>
    <row r="43" spans="1:9" hidden="1" x14ac:dyDescent="0.3">
      <c r="A43" s="32" t="s">
        <v>97</v>
      </c>
      <c r="B43" s="33">
        <v>732</v>
      </c>
      <c r="C43" s="33" t="s">
        <v>78</v>
      </c>
      <c r="D43" s="36"/>
      <c r="E43" s="37"/>
      <c r="F43" s="38">
        <f>SUM(F30:F42)</f>
        <v>168130.62999999998</v>
      </c>
      <c r="G43" s="38">
        <f>SUM(G30:G42)</f>
        <v>210229.03000000003</v>
      </c>
      <c r="H43" s="35">
        <v>0</v>
      </c>
      <c r="I43" s="35">
        <v>2.9103830456733704E-11</v>
      </c>
    </row>
    <row r="44" spans="1:9" x14ac:dyDescent="0.3">
      <c r="A44" s="32" t="s">
        <v>98</v>
      </c>
      <c r="B44" s="33"/>
      <c r="C44" s="33"/>
      <c r="D44" s="34"/>
      <c r="E44" s="34"/>
      <c r="F44" s="35">
        <f>F29+F43</f>
        <v>16060101.120000001</v>
      </c>
      <c r="G44" s="35">
        <f>G29+G43</f>
        <v>16375409.109999998</v>
      </c>
    </row>
    <row r="45" spans="1:9" x14ac:dyDescent="0.3">
      <c r="A45" s="19" t="s">
        <v>32</v>
      </c>
      <c r="B45" s="19" t="s">
        <v>99</v>
      </c>
      <c r="C45" s="30" t="s">
        <v>100</v>
      </c>
      <c r="D45" s="21" t="s">
        <v>101</v>
      </c>
      <c r="E45" s="24" t="s">
        <v>102</v>
      </c>
      <c r="F45" s="23">
        <v>2411.4</v>
      </c>
      <c r="G45" s="23">
        <v>0</v>
      </c>
    </row>
    <row r="46" spans="1:9" x14ac:dyDescent="0.3">
      <c r="A46" s="19" t="s">
        <v>32</v>
      </c>
      <c r="B46" s="19" t="s">
        <v>103</v>
      </c>
      <c r="C46" s="30" t="s">
        <v>100</v>
      </c>
      <c r="D46" s="21" t="s">
        <v>101</v>
      </c>
      <c r="E46" s="24" t="s">
        <v>102</v>
      </c>
      <c r="F46" s="23">
        <v>0</v>
      </c>
      <c r="G46" s="23">
        <v>2411.4</v>
      </c>
    </row>
    <row r="47" spans="1:9" x14ac:dyDescent="0.3">
      <c r="A47" s="19" t="s">
        <v>32</v>
      </c>
      <c r="B47" s="19" t="s">
        <v>104</v>
      </c>
      <c r="C47" s="30" t="s">
        <v>100</v>
      </c>
      <c r="D47" s="21" t="s">
        <v>105</v>
      </c>
      <c r="E47" s="24" t="s">
        <v>106</v>
      </c>
      <c r="F47" s="23">
        <v>7277.08</v>
      </c>
      <c r="G47" s="23">
        <v>0</v>
      </c>
    </row>
    <row r="48" spans="1:9" x14ac:dyDescent="0.3">
      <c r="A48" s="19" t="s">
        <v>32</v>
      </c>
      <c r="B48" s="19" t="s">
        <v>107</v>
      </c>
      <c r="C48" s="30" t="s">
        <v>100</v>
      </c>
      <c r="D48" s="21" t="s">
        <v>105</v>
      </c>
      <c r="E48" s="24" t="s">
        <v>106</v>
      </c>
      <c r="F48" s="23">
        <v>0</v>
      </c>
      <c r="G48" s="23">
        <v>7277.08</v>
      </c>
    </row>
    <row r="49" spans="1:9" x14ac:dyDescent="0.3">
      <c r="A49" s="32" t="s">
        <v>108</v>
      </c>
      <c r="B49" s="33">
        <v>732</v>
      </c>
      <c r="C49" s="33" t="s">
        <v>100</v>
      </c>
      <c r="D49" s="36"/>
      <c r="E49" s="37"/>
      <c r="F49" s="38">
        <f>SUM(F45:F48)</f>
        <v>9688.48</v>
      </c>
      <c r="G49" s="38">
        <f>SUM(G45:G48)</f>
        <v>9688.48</v>
      </c>
      <c r="H49" s="35">
        <v>-1.0913936421275139E-11</v>
      </c>
      <c r="I49" s="35">
        <v>3.637978807091713E-12</v>
      </c>
    </row>
    <row r="50" spans="1:9" x14ac:dyDescent="0.3">
      <c r="A50" s="26" t="s">
        <v>12</v>
      </c>
      <c r="B50" s="26" t="s">
        <v>26</v>
      </c>
      <c r="C50" s="20" t="s">
        <v>109</v>
      </c>
      <c r="D50" s="25" t="s">
        <v>27</v>
      </c>
      <c r="E50" s="22" t="s">
        <v>110</v>
      </c>
      <c r="F50" s="23">
        <v>471.36</v>
      </c>
      <c r="G50" s="23">
        <v>0</v>
      </c>
    </row>
    <row r="51" spans="1:9" x14ac:dyDescent="0.3">
      <c r="A51" s="20" t="s">
        <v>41</v>
      </c>
      <c r="B51" s="20" t="s">
        <v>42</v>
      </c>
      <c r="C51" s="20" t="s">
        <v>109</v>
      </c>
      <c r="D51" s="25" t="s">
        <v>27</v>
      </c>
      <c r="E51" s="22" t="s">
        <v>110</v>
      </c>
      <c r="F51" s="23">
        <v>24.88</v>
      </c>
      <c r="G51" s="23">
        <v>0</v>
      </c>
    </row>
    <row r="52" spans="1:9" x14ac:dyDescent="0.3">
      <c r="A52" s="30" t="s">
        <v>32</v>
      </c>
      <c r="B52" s="30" t="s">
        <v>111</v>
      </c>
      <c r="C52" s="20" t="s">
        <v>109</v>
      </c>
      <c r="D52" s="30" t="s">
        <v>112</v>
      </c>
      <c r="E52" s="24" t="s">
        <v>113</v>
      </c>
      <c r="F52" s="23">
        <v>5000</v>
      </c>
      <c r="G52" s="23">
        <v>5000</v>
      </c>
    </row>
    <row r="53" spans="1:9" x14ac:dyDescent="0.3">
      <c r="A53" s="20" t="s">
        <v>58</v>
      </c>
      <c r="B53" s="20" t="s">
        <v>59</v>
      </c>
      <c r="C53" s="20" t="s">
        <v>109</v>
      </c>
      <c r="D53" s="21" t="s">
        <v>114</v>
      </c>
      <c r="E53" s="24" t="s">
        <v>115</v>
      </c>
      <c r="F53" s="23">
        <v>12853.460000000001</v>
      </c>
      <c r="G53" s="23">
        <v>0</v>
      </c>
    </row>
    <row r="54" spans="1:9" x14ac:dyDescent="0.3">
      <c r="A54" s="20"/>
      <c r="B54" s="20" t="s">
        <v>45</v>
      </c>
      <c r="C54" s="20" t="s">
        <v>109</v>
      </c>
      <c r="D54" s="21" t="s">
        <v>116</v>
      </c>
      <c r="E54" s="24" t="s">
        <v>117</v>
      </c>
      <c r="F54" s="23">
        <v>2511.52</v>
      </c>
      <c r="G54" s="23">
        <v>3729.4</v>
      </c>
    </row>
    <row r="55" spans="1:9" x14ac:dyDescent="0.3">
      <c r="A55" s="19" t="s">
        <v>67</v>
      </c>
      <c r="B55" s="19" t="s">
        <v>118</v>
      </c>
      <c r="C55" s="20" t="s">
        <v>109</v>
      </c>
      <c r="D55" s="29" t="s">
        <v>119</v>
      </c>
      <c r="E55" s="24" t="s">
        <v>120</v>
      </c>
      <c r="F55" s="23">
        <v>208235.43</v>
      </c>
      <c r="G55" s="23">
        <v>255376.9</v>
      </c>
    </row>
    <row r="56" spans="1:9" x14ac:dyDescent="0.3">
      <c r="A56" s="19" t="s">
        <v>67</v>
      </c>
      <c r="B56" s="19" t="s">
        <v>121</v>
      </c>
      <c r="C56" s="20" t="s">
        <v>109</v>
      </c>
      <c r="D56" s="29" t="s">
        <v>122</v>
      </c>
      <c r="E56" s="24" t="s">
        <v>123</v>
      </c>
      <c r="F56" s="23">
        <v>1357022.19</v>
      </c>
      <c r="G56" s="23">
        <v>1431250</v>
      </c>
    </row>
    <row r="57" spans="1:9" x14ac:dyDescent="0.3">
      <c r="A57" s="19" t="s">
        <v>67</v>
      </c>
      <c r="B57" s="19" t="s">
        <v>124</v>
      </c>
      <c r="C57" s="20" t="s">
        <v>109</v>
      </c>
      <c r="D57" s="21" t="s">
        <v>125</v>
      </c>
      <c r="E57" s="24" t="s">
        <v>126</v>
      </c>
      <c r="F57" s="23">
        <v>47796.66</v>
      </c>
      <c r="G57" s="23">
        <v>34000</v>
      </c>
    </row>
    <row r="58" spans="1:9" x14ac:dyDescent="0.3">
      <c r="A58" s="19" t="s">
        <v>67</v>
      </c>
      <c r="B58" s="19" t="s">
        <v>127</v>
      </c>
      <c r="C58" s="20" t="s">
        <v>109</v>
      </c>
      <c r="D58" s="21" t="s">
        <v>128</v>
      </c>
      <c r="E58" s="24" t="s">
        <v>129</v>
      </c>
      <c r="F58" s="23">
        <v>809664.89</v>
      </c>
      <c r="G58" s="23">
        <v>839602.23</v>
      </c>
    </row>
    <row r="59" spans="1:9" x14ac:dyDescent="0.3">
      <c r="A59" s="19" t="s">
        <v>67</v>
      </c>
      <c r="B59" s="19" t="s">
        <v>130</v>
      </c>
      <c r="C59" s="20" t="s">
        <v>109</v>
      </c>
      <c r="D59" s="21" t="s">
        <v>131</v>
      </c>
      <c r="E59" s="24" t="s">
        <v>132</v>
      </c>
      <c r="F59" s="23">
        <v>632400</v>
      </c>
      <c r="G59" s="23">
        <v>724710</v>
      </c>
    </row>
    <row r="60" spans="1:9" x14ac:dyDescent="0.3">
      <c r="A60" s="19" t="s">
        <v>67</v>
      </c>
      <c r="B60" s="19" t="s">
        <v>133</v>
      </c>
      <c r="C60" s="20" t="s">
        <v>109</v>
      </c>
      <c r="D60" s="29" t="s">
        <v>134</v>
      </c>
      <c r="E60" s="24" t="s">
        <v>135</v>
      </c>
      <c r="F60" s="23">
        <v>219765.16</v>
      </c>
      <c r="G60" s="23">
        <v>237114</v>
      </c>
    </row>
    <row r="61" spans="1:9" x14ac:dyDescent="0.3">
      <c r="A61" s="19" t="s">
        <v>67</v>
      </c>
      <c r="B61" s="19" t="s">
        <v>136</v>
      </c>
      <c r="C61" s="20" t="s">
        <v>109</v>
      </c>
      <c r="D61" s="29" t="s">
        <v>137</v>
      </c>
      <c r="E61" s="24" t="s">
        <v>138</v>
      </c>
      <c r="F61" s="23">
        <v>86529.47</v>
      </c>
      <c r="G61" s="23">
        <v>91290</v>
      </c>
    </row>
    <row r="62" spans="1:9" x14ac:dyDescent="0.3">
      <c r="A62" s="19" t="s">
        <v>67</v>
      </c>
      <c r="B62" s="19" t="s">
        <v>139</v>
      </c>
      <c r="C62" s="20" t="s">
        <v>109</v>
      </c>
      <c r="D62" s="21" t="s">
        <v>140</v>
      </c>
      <c r="E62" s="24" t="s">
        <v>141</v>
      </c>
      <c r="F62" s="23">
        <v>137458.01</v>
      </c>
      <c r="G62" s="23">
        <v>139944</v>
      </c>
    </row>
    <row r="63" spans="1:9" x14ac:dyDescent="0.3">
      <c r="A63" s="19" t="s">
        <v>67</v>
      </c>
      <c r="B63" s="19" t="s">
        <v>142</v>
      </c>
      <c r="C63" s="20" t="s">
        <v>109</v>
      </c>
      <c r="D63" s="21" t="s">
        <v>143</v>
      </c>
      <c r="E63" s="24" t="s">
        <v>144</v>
      </c>
      <c r="F63" s="23">
        <v>288507.98</v>
      </c>
      <c r="G63" s="23">
        <v>305085</v>
      </c>
    </row>
    <row r="64" spans="1:9" x14ac:dyDescent="0.3">
      <c r="A64" s="20" t="s">
        <v>67</v>
      </c>
      <c r="B64" s="20" t="s">
        <v>145</v>
      </c>
      <c r="C64" s="20" t="s">
        <v>109</v>
      </c>
      <c r="D64" s="21" t="s">
        <v>146</v>
      </c>
      <c r="E64" s="24" t="s">
        <v>147</v>
      </c>
      <c r="F64" s="23">
        <v>302300.79999999999</v>
      </c>
      <c r="G64" s="23">
        <v>288639.69</v>
      </c>
    </row>
    <row r="65" spans="1:9" x14ac:dyDescent="0.3">
      <c r="A65" s="19" t="s">
        <v>67</v>
      </c>
      <c r="B65" s="19" t="s">
        <v>148</v>
      </c>
      <c r="C65" s="20" t="s">
        <v>109</v>
      </c>
      <c r="D65" s="21" t="s">
        <v>149</v>
      </c>
      <c r="E65" s="24" t="s">
        <v>150</v>
      </c>
      <c r="F65" s="23">
        <v>187680</v>
      </c>
      <c r="G65" s="23">
        <v>187192.53</v>
      </c>
    </row>
    <row r="66" spans="1:9" x14ac:dyDescent="0.3">
      <c r="A66" s="19" t="s">
        <v>67</v>
      </c>
      <c r="B66" s="19" t="s">
        <v>151</v>
      </c>
      <c r="C66" s="20" t="s">
        <v>109</v>
      </c>
      <c r="D66" s="21" t="s">
        <v>152</v>
      </c>
      <c r="E66" s="24" t="s">
        <v>153</v>
      </c>
      <c r="F66" s="23">
        <v>136532.44</v>
      </c>
      <c r="G66" s="23">
        <v>140454</v>
      </c>
    </row>
    <row r="67" spans="1:9" x14ac:dyDescent="0.3">
      <c r="A67" s="19" t="s">
        <v>67</v>
      </c>
      <c r="B67" s="19" t="s">
        <v>154</v>
      </c>
      <c r="C67" s="20" t="s">
        <v>109</v>
      </c>
      <c r="D67" s="21" t="s">
        <v>155</v>
      </c>
      <c r="E67" s="24" t="s">
        <v>155</v>
      </c>
      <c r="F67" s="23">
        <v>4264</v>
      </c>
      <c r="G67" s="23">
        <v>0</v>
      </c>
    </row>
    <row r="68" spans="1:9" x14ac:dyDescent="0.3">
      <c r="A68" s="30" t="s">
        <v>67</v>
      </c>
      <c r="B68" s="30" t="s">
        <v>156</v>
      </c>
      <c r="C68" s="20" t="s">
        <v>109</v>
      </c>
      <c r="D68" s="30" t="s">
        <v>157</v>
      </c>
      <c r="E68" s="24" t="s">
        <v>157</v>
      </c>
      <c r="F68" s="23">
        <v>65000</v>
      </c>
      <c r="G68" s="23">
        <v>65000</v>
      </c>
    </row>
    <row r="69" spans="1:9" x14ac:dyDescent="0.3">
      <c r="A69" s="19" t="s">
        <v>67</v>
      </c>
      <c r="B69" s="19" t="s">
        <v>158</v>
      </c>
      <c r="C69" s="20" t="s">
        <v>109</v>
      </c>
      <c r="D69" s="21" t="s">
        <v>159</v>
      </c>
      <c r="E69" s="23" t="str">
        <f>D69</f>
        <v>Gezinscoach Kinderarmoede</v>
      </c>
      <c r="F69" s="23">
        <v>115553.01</v>
      </c>
      <c r="G69" s="23">
        <v>95372.24</v>
      </c>
    </row>
    <row r="70" spans="1:9" x14ac:dyDescent="0.3">
      <c r="A70" s="19" t="s">
        <v>67</v>
      </c>
      <c r="B70" s="19" t="s">
        <v>160</v>
      </c>
      <c r="C70" s="20" t="s">
        <v>109</v>
      </c>
      <c r="D70" s="21" t="s">
        <v>161</v>
      </c>
      <c r="E70" s="23" t="s">
        <v>113</v>
      </c>
      <c r="F70" s="23">
        <v>103693.6</v>
      </c>
      <c r="G70" s="23">
        <v>122200</v>
      </c>
    </row>
    <row r="71" spans="1:9" x14ac:dyDescent="0.3">
      <c r="A71" s="19" t="s">
        <v>67</v>
      </c>
      <c r="B71" s="20" t="s">
        <v>162</v>
      </c>
      <c r="C71" s="20" t="s">
        <v>109</v>
      </c>
      <c r="D71" s="21" t="s">
        <v>163</v>
      </c>
      <c r="E71" s="24" t="s">
        <v>113</v>
      </c>
      <c r="F71" s="23">
        <v>252356</v>
      </c>
      <c r="G71" s="23">
        <v>257404</v>
      </c>
    </row>
    <row r="72" spans="1:9" x14ac:dyDescent="0.3">
      <c r="A72" s="19" t="s">
        <v>67</v>
      </c>
      <c r="B72" s="20" t="s">
        <v>164</v>
      </c>
      <c r="C72" s="20" t="s">
        <v>109</v>
      </c>
      <c r="D72" s="21" t="s">
        <v>165</v>
      </c>
      <c r="E72" s="24" t="s">
        <v>165</v>
      </c>
      <c r="F72" s="23">
        <v>31075.63</v>
      </c>
      <c r="G72" s="23">
        <v>0</v>
      </c>
    </row>
    <row r="73" spans="1:9" x14ac:dyDescent="0.3">
      <c r="A73" s="19" t="s">
        <v>67</v>
      </c>
      <c r="B73" s="20" t="s">
        <v>166</v>
      </c>
      <c r="C73" s="20" t="s">
        <v>109</v>
      </c>
      <c r="D73" s="21" t="s">
        <v>167</v>
      </c>
      <c r="E73" s="24" t="s">
        <v>167</v>
      </c>
      <c r="F73" s="23">
        <v>66500</v>
      </c>
      <c r="G73" s="23">
        <v>0</v>
      </c>
    </row>
    <row r="74" spans="1:9" hidden="1" x14ac:dyDescent="0.3">
      <c r="A74" s="39" t="s">
        <v>168</v>
      </c>
      <c r="B74" s="39">
        <v>732</v>
      </c>
      <c r="C74" s="39" t="s">
        <v>109</v>
      </c>
      <c r="D74" s="40"/>
      <c r="E74" s="41"/>
      <c r="F74" s="38">
        <f>SUM(F50:F73)</f>
        <v>5073196.49</v>
      </c>
      <c r="G74" s="38">
        <f>SUM(G50:G73)</f>
        <v>5223363.9900000012</v>
      </c>
      <c r="H74" s="35">
        <v>0</v>
      </c>
      <c r="I74" s="35">
        <v>-885628.11999999848</v>
      </c>
    </row>
    <row r="75" spans="1:9" x14ac:dyDescent="0.3">
      <c r="A75" s="19" t="s">
        <v>93</v>
      </c>
      <c r="B75" s="19" t="s">
        <v>169</v>
      </c>
      <c r="C75" s="20" t="s">
        <v>170</v>
      </c>
      <c r="D75" s="29" t="s">
        <v>171</v>
      </c>
      <c r="E75" s="24" t="s">
        <v>172</v>
      </c>
      <c r="F75" s="23">
        <v>407373.91</v>
      </c>
      <c r="G75" s="23">
        <v>434202.78</v>
      </c>
    </row>
    <row r="76" spans="1:9" x14ac:dyDescent="0.3">
      <c r="A76" s="19" t="s">
        <v>93</v>
      </c>
      <c r="B76" s="19" t="s">
        <v>173</v>
      </c>
      <c r="C76" s="20" t="s">
        <v>170</v>
      </c>
      <c r="D76" s="21" t="s">
        <v>174</v>
      </c>
      <c r="E76" s="24" t="s">
        <v>175</v>
      </c>
      <c r="F76" s="23">
        <v>10533.61</v>
      </c>
      <c r="G76" s="23">
        <v>0</v>
      </c>
    </row>
    <row r="77" spans="1:9" x14ac:dyDescent="0.3">
      <c r="A77" s="19" t="s">
        <v>93</v>
      </c>
      <c r="B77" s="19" t="s">
        <v>176</v>
      </c>
      <c r="C77" s="20" t="s">
        <v>170</v>
      </c>
      <c r="D77" s="21" t="s">
        <v>177</v>
      </c>
      <c r="E77" s="24" t="s">
        <v>178</v>
      </c>
      <c r="F77" s="23">
        <v>216183</v>
      </c>
      <c r="G77" s="23">
        <v>216183</v>
      </c>
    </row>
    <row r="78" spans="1:9" x14ac:dyDescent="0.3">
      <c r="A78" s="19" t="s">
        <v>93</v>
      </c>
      <c r="B78" s="19" t="s">
        <v>179</v>
      </c>
      <c r="C78" s="20" t="s">
        <v>170</v>
      </c>
      <c r="D78" s="21" t="s">
        <v>180</v>
      </c>
      <c r="E78" s="24" t="s">
        <v>181</v>
      </c>
      <c r="F78" s="23">
        <v>248649.60000000001</v>
      </c>
      <c r="G78" s="23">
        <v>0</v>
      </c>
    </row>
    <row r="79" spans="1:9" hidden="1" x14ac:dyDescent="0.3">
      <c r="A79" s="33" t="s">
        <v>182</v>
      </c>
      <c r="B79" s="33">
        <v>732</v>
      </c>
      <c r="C79" s="20" t="s">
        <v>170</v>
      </c>
      <c r="D79" s="42"/>
      <c r="E79" s="37"/>
      <c r="F79" s="38">
        <f>SUM(F75:F78)</f>
        <v>882740.12</v>
      </c>
      <c r="G79" s="38">
        <f>SUM(G75:G78)</f>
        <v>650385.78</v>
      </c>
      <c r="H79" s="35">
        <v>-241349.6999999999</v>
      </c>
      <c r="I79" s="35">
        <v>-2569920</v>
      </c>
    </row>
    <row r="80" spans="1:9" x14ac:dyDescent="0.3">
      <c r="A80" s="18" t="s">
        <v>12</v>
      </c>
      <c r="B80" s="18" t="s">
        <v>20</v>
      </c>
      <c r="C80" s="20" t="s">
        <v>183</v>
      </c>
      <c r="D80" s="25" t="s">
        <v>21</v>
      </c>
      <c r="E80" s="24" t="s">
        <v>22</v>
      </c>
      <c r="F80" s="23">
        <v>4696.5600000000004</v>
      </c>
      <c r="G80" s="23">
        <v>0</v>
      </c>
    </row>
    <row r="81" spans="1:9" x14ac:dyDescent="0.3">
      <c r="A81" s="18" t="s">
        <v>12</v>
      </c>
      <c r="B81" s="18" t="s">
        <v>20</v>
      </c>
      <c r="C81" s="20" t="s">
        <v>170</v>
      </c>
      <c r="D81" s="25" t="s">
        <v>21</v>
      </c>
      <c r="E81" s="24" t="s">
        <v>22</v>
      </c>
      <c r="F81" s="23">
        <v>0</v>
      </c>
      <c r="G81" s="23">
        <v>3050.74</v>
      </c>
    </row>
    <row r="82" spans="1:9" x14ac:dyDescent="0.3">
      <c r="A82" s="19" t="s">
        <v>93</v>
      </c>
      <c r="B82" s="19" t="s">
        <v>184</v>
      </c>
      <c r="C82" s="30" t="s">
        <v>183</v>
      </c>
      <c r="D82" s="29" t="s">
        <v>185</v>
      </c>
      <c r="E82" s="24" t="s">
        <v>186</v>
      </c>
      <c r="F82" s="23">
        <v>1156406.3399999999</v>
      </c>
      <c r="G82" s="23">
        <v>0</v>
      </c>
    </row>
    <row r="83" spans="1:9" x14ac:dyDescent="0.3">
      <c r="A83" s="19" t="s">
        <v>93</v>
      </c>
      <c r="B83" s="19" t="s">
        <v>184</v>
      </c>
      <c r="C83" s="30" t="s">
        <v>170</v>
      </c>
      <c r="D83" s="29" t="s">
        <v>185</v>
      </c>
      <c r="E83" s="24" t="s">
        <v>186</v>
      </c>
      <c r="F83" s="23">
        <v>0</v>
      </c>
      <c r="G83" s="23">
        <v>1178513.0099999998</v>
      </c>
    </row>
    <row r="84" spans="1:9" x14ac:dyDescent="0.3">
      <c r="A84" s="19" t="s">
        <v>93</v>
      </c>
      <c r="B84" s="19" t="s">
        <v>187</v>
      </c>
      <c r="C84" s="20" t="s">
        <v>170</v>
      </c>
      <c r="D84" s="29" t="s">
        <v>188</v>
      </c>
      <c r="E84" s="24" t="s">
        <v>189</v>
      </c>
      <c r="F84" s="23">
        <v>0</v>
      </c>
      <c r="G84" s="23">
        <v>1232175.3399999999</v>
      </c>
    </row>
    <row r="85" spans="1:9" x14ac:dyDescent="0.3">
      <c r="A85" s="19" t="s">
        <v>93</v>
      </c>
      <c r="B85" s="19" t="s">
        <v>190</v>
      </c>
      <c r="C85" s="20" t="s">
        <v>170</v>
      </c>
      <c r="D85" s="21" t="s">
        <v>191</v>
      </c>
      <c r="E85" s="24" t="s">
        <v>192</v>
      </c>
      <c r="F85" s="23">
        <v>14138.72</v>
      </c>
      <c r="G85" s="23">
        <v>22495.96</v>
      </c>
    </row>
    <row r="86" spans="1:9" x14ac:dyDescent="0.3">
      <c r="A86" s="19" t="s">
        <v>93</v>
      </c>
      <c r="B86" s="19" t="s">
        <v>193</v>
      </c>
      <c r="C86" s="20" t="s">
        <v>170</v>
      </c>
      <c r="D86" s="21" t="s">
        <v>194</v>
      </c>
      <c r="E86" s="24" t="s">
        <v>195</v>
      </c>
      <c r="F86" s="23">
        <v>119968.28</v>
      </c>
      <c r="G86" s="23">
        <v>109647.63</v>
      </c>
    </row>
    <row r="87" spans="1:9" x14ac:dyDescent="0.3">
      <c r="A87" s="19" t="s">
        <v>93</v>
      </c>
      <c r="B87" s="20" t="s">
        <v>196</v>
      </c>
      <c r="C87" s="20" t="s">
        <v>170</v>
      </c>
      <c r="D87" s="21" t="s">
        <v>197</v>
      </c>
      <c r="E87" s="24" t="s">
        <v>197</v>
      </c>
      <c r="F87" s="23">
        <v>83046.38</v>
      </c>
      <c r="G87" s="23">
        <v>0</v>
      </c>
    </row>
    <row r="88" spans="1:9" x14ac:dyDescent="0.3">
      <c r="A88" s="19" t="s">
        <v>93</v>
      </c>
      <c r="B88" s="19" t="s">
        <v>94</v>
      </c>
      <c r="C88" s="20" t="s">
        <v>170</v>
      </c>
      <c r="D88" s="21" t="s">
        <v>95</v>
      </c>
      <c r="E88" s="28"/>
      <c r="F88" s="23">
        <v>24196.32</v>
      </c>
      <c r="G88" s="23">
        <v>24037.32</v>
      </c>
    </row>
    <row r="89" spans="1:9" x14ac:dyDescent="0.3">
      <c r="A89" s="19" t="s">
        <v>93</v>
      </c>
      <c r="B89" s="19" t="s">
        <v>196</v>
      </c>
      <c r="C89" s="30" t="s">
        <v>183</v>
      </c>
      <c r="D89" s="21" t="s">
        <v>198</v>
      </c>
      <c r="E89" s="24" t="s">
        <v>197</v>
      </c>
      <c r="F89" s="23">
        <v>1269282.99</v>
      </c>
      <c r="G89" s="23">
        <v>0</v>
      </c>
    </row>
    <row r="90" spans="1:9" x14ac:dyDescent="0.3">
      <c r="A90" s="19" t="s">
        <v>93</v>
      </c>
      <c r="B90" s="19" t="s">
        <v>187</v>
      </c>
      <c r="C90" s="30" t="s">
        <v>183</v>
      </c>
      <c r="D90" s="21" t="s">
        <v>198</v>
      </c>
      <c r="E90" s="24" t="s">
        <v>199</v>
      </c>
      <c r="F90" s="23">
        <v>670025.52</v>
      </c>
      <c r="G90" s="23">
        <v>1630030.58</v>
      </c>
    </row>
    <row r="91" spans="1:9" x14ac:dyDescent="0.3">
      <c r="A91" s="19" t="s">
        <v>93</v>
      </c>
      <c r="B91" s="19" t="s">
        <v>94</v>
      </c>
      <c r="C91" s="30" t="s">
        <v>183</v>
      </c>
      <c r="D91" s="21" t="s">
        <v>95</v>
      </c>
      <c r="E91" s="24" t="s">
        <v>199</v>
      </c>
      <c r="F91" s="23">
        <v>98602.36</v>
      </c>
      <c r="G91" s="23">
        <v>99268.56</v>
      </c>
    </row>
    <row r="92" spans="1:9" x14ac:dyDescent="0.3">
      <c r="A92" s="19" t="s">
        <v>67</v>
      </c>
      <c r="B92" s="19" t="s">
        <v>200</v>
      </c>
      <c r="C92" s="30" t="s">
        <v>183</v>
      </c>
      <c r="D92" s="29" t="s">
        <v>201</v>
      </c>
      <c r="E92" s="24" t="s">
        <v>202</v>
      </c>
      <c r="F92" s="23">
        <v>826506</v>
      </c>
      <c r="G92" s="23">
        <v>0</v>
      </c>
    </row>
    <row r="93" spans="1:9" x14ac:dyDescent="0.3">
      <c r="A93" s="19" t="s">
        <v>67</v>
      </c>
      <c r="B93" s="19" t="s">
        <v>200</v>
      </c>
      <c r="C93" s="20" t="s">
        <v>109</v>
      </c>
      <c r="D93" s="29" t="s">
        <v>201</v>
      </c>
      <c r="E93" s="24" t="s">
        <v>202</v>
      </c>
      <c r="F93" s="23">
        <v>0</v>
      </c>
      <c r="G93" s="23">
        <v>885628.12</v>
      </c>
    </row>
    <row r="94" spans="1:9" hidden="1" x14ac:dyDescent="0.3">
      <c r="A94" s="32" t="s">
        <v>203</v>
      </c>
      <c r="B94" s="33">
        <v>732</v>
      </c>
      <c r="C94" s="33" t="s">
        <v>183</v>
      </c>
      <c r="D94" s="42"/>
      <c r="E94" s="43"/>
      <c r="F94" s="38">
        <f>SUM(F80:F93)</f>
        <v>4266869.47</v>
      </c>
      <c r="G94" s="38">
        <f>SUM(G80:G93)</f>
        <v>5184847.26</v>
      </c>
      <c r="H94" s="35">
        <v>241349.70000000019</v>
      </c>
      <c r="I94" s="35">
        <v>3455548.1199999996</v>
      </c>
    </row>
    <row r="95" spans="1:9" x14ac:dyDescent="0.3">
      <c r="A95" s="32" t="s">
        <v>204</v>
      </c>
      <c r="B95" s="33"/>
      <c r="C95" s="33"/>
      <c r="D95" s="42"/>
      <c r="E95" s="43"/>
      <c r="F95" s="38">
        <f>F94+F79+F74</f>
        <v>10222806.08</v>
      </c>
      <c r="G95" s="38">
        <f>G94+G79+G74</f>
        <v>11058597.030000001</v>
      </c>
      <c r="H95" s="38">
        <f>H94+H79+H74</f>
        <v>2.9103830456733704E-10</v>
      </c>
      <c r="I95" s="38">
        <f>I94+I79+I74</f>
        <v>1.1641532182693481E-9</v>
      </c>
    </row>
    <row r="96" spans="1:9" x14ac:dyDescent="0.3">
      <c r="A96" s="18" t="s">
        <v>12</v>
      </c>
      <c r="B96" s="18" t="s">
        <v>13</v>
      </c>
      <c r="C96" s="20" t="s">
        <v>205</v>
      </c>
      <c r="D96" s="21" t="s">
        <v>206</v>
      </c>
      <c r="E96" s="24" t="s">
        <v>207</v>
      </c>
      <c r="F96" s="23">
        <v>1219.8599999999999</v>
      </c>
      <c r="G96" s="23">
        <v>0</v>
      </c>
    </row>
    <row r="97" spans="1:9" x14ac:dyDescent="0.3">
      <c r="A97" s="19" t="s">
        <v>208</v>
      </c>
      <c r="B97" s="19" t="s">
        <v>209</v>
      </c>
      <c r="C97" s="20" t="s">
        <v>205</v>
      </c>
      <c r="D97" s="29" t="s">
        <v>210</v>
      </c>
      <c r="E97" s="28" t="s">
        <v>211</v>
      </c>
      <c r="F97" s="23">
        <v>196297.19</v>
      </c>
      <c r="G97" s="23">
        <v>525000</v>
      </c>
    </row>
    <row r="98" spans="1:9" x14ac:dyDescent="0.3">
      <c r="A98" s="19" t="s">
        <v>208</v>
      </c>
      <c r="B98" s="19" t="s">
        <v>212</v>
      </c>
      <c r="C98" s="20" t="s">
        <v>205</v>
      </c>
      <c r="D98" s="29" t="s">
        <v>213</v>
      </c>
      <c r="E98" s="28" t="s">
        <v>214</v>
      </c>
      <c r="F98" s="23">
        <v>863895.33</v>
      </c>
      <c r="G98" s="23">
        <v>1083583.6499999999</v>
      </c>
    </row>
    <row r="99" spans="1:9" x14ac:dyDescent="0.3">
      <c r="A99" s="32" t="s">
        <v>215</v>
      </c>
      <c r="B99" s="33">
        <v>732</v>
      </c>
      <c r="C99" s="33" t="s">
        <v>205</v>
      </c>
      <c r="D99" s="36"/>
      <c r="E99" s="37"/>
      <c r="F99" s="38">
        <f>SUM(F96:F98)</f>
        <v>1061412.3799999999</v>
      </c>
      <c r="G99" s="38">
        <f>SUM(G96:G98)</f>
        <v>1608583.65</v>
      </c>
      <c r="H99" s="35">
        <v>0</v>
      </c>
      <c r="I99" s="35">
        <v>-1.6007106751203537E-10</v>
      </c>
    </row>
    <row r="100" spans="1:9" x14ac:dyDescent="0.3">
      <c r="A100" s="19" t="s">
        <v>216</v>
      </c>
      <c r="B100" s="19" t="s">
        <v>217</v>
      </c>
      <c r="C100" s="20" t="s">
        <v>218</v>
      </c>
      <c r="D100" s="29" t="s">
        <v>219</v>
      </c>
      <c r="E100" s="24" t="s">
        <v>220</v>
      </c>
      <c r="F100" s="23">
        <v>162936.04999999999</v>
      </c>
      <c r="G100" s="23">
        <v>163178.39000000001</v>
      </c>
    </row>
    <row r="101" spans="1:9" x14ac:dyDescent="0.3">
      <c r="A101" s="19" t="s">
        <v>216</v>
      </c>
      <c r="B101" s="19" t="s">
        <v>221</v>
      </c>
      <c r="C101" s="20" t="s">
        <v>218</v>
      </c>
      <c r="D101" s="29" t="s">
        <v>222</v>
      </c>
      <c r="E101" s="24" t="s">
        <v>220</v>
      </c>
      <c r="F101" s="23">
        <v>108054.64</v>
      </c>
      <c r="G101" s="23">
        <v>108382.43</v>
      </c>
    </row>
    <row r="102" spans="1:9" x14ac:dyDescent="0.3">
      <c r="A102" s="19" t="s">
        <v>216</v>
      </c>
      <c r="B102" s="19" t="s">
        <v>223</v>
      </c>
      <c r="C102" s="20" t="s">
        <v>218</v>
      </c>
      <c r="D102" s="29" t="s">
        <v>224</v>
      </c>
      <c r="E102" s="24" t="s">
        <v>220</v>
      </c>
      <c r="F102" s="23">
        <v>22898.09</v>
      </c>
      <c r="G102" s="23">
        <v>25047.33</v>
      </c>
    </row>
    <row r="103" spans="1:9" x14ac:dyDescent="0.3">
      <c r="A103" s="20" t="s">
        <v>216</v>
      </c>
      <c r="B103" s="20" t="s">
        <v>225</v>
      </c>
      <c r="C103" s="20" t="s">
        <v>218</v>
      </c>
      <c r="D103" s="21" t="s">
        <v>226</v>
      </c>
      <c r="E103" s="24" t="s">
        <v>227</v>
      </c>
      <c r="F103" s="23">
        <v>54716.78</v>
      </c>
      <c r="G103" s="23">
        <v>54798.17</v>
      </c>
    </row>
    <row r="104" spans="1:9" x14ac:dyDescent="0.3">
      <c r="A104" s="20" t="s">
        <v>216</v>
      </c>
      <c r="B104" s="20" t="s">
        <v>228</v>
      </c>
      <c r="C104" s="20" t="s">
        <v>218</v>
      </c>
      <c r="D104" s="21" t="s">
        <v>229</v>
      </c>
      <c r="E104" s="24" t="s">
        <v>230</v>
      </c>
      <c r="F104" s="23">
        <v>38487.35</v>
      </c>
      <c r="G104" s="23">
        <v>36334.839999999997</v>
      </c>
    </row>
    <row r="105" spans="1:9" x14ac:dyDescent="0.3">
      <c r="A105" s="20" t="s">
        <v>58</v>
      </c>
      <c r="B105" s="20" t="s">
        <v>59</v>
      </c>
      <c r="C105" s="26" t="s">
        <v>218</v>
      </c>
      <c r="D105" s="30" t="s">
        <v>58</v>
      </c>
      <c r="E105" s="24" t="s">
        <v>227</v>
      </c>
      <c r="F105" s="23">
        <v>2122.04</v>
      </c>
      <c r="G105" s="23">
        <v>0</v>
      </c>
    </row>
    <row r="106" spans="1:9" x14ac:dyDescent="0.3">
      <c r="A106" s="33" t="s">
        <v>231</v>
      </c>
      <c r="B106" s="33">
        <v>732</v>
      </c>
      <c r="C106" s="33" t="s">
        <v>218</v>
      </c>
      <c r="D106" s="44"/>
      <c r="E106" s="37"/>
      <c r="F106" s="38">
        <f>SUM(F100:F105)</f>
        <v>389214.95</v>
      </c>
      <c r="G106" s="38">
        <f>SUM(G100:G105)</f>
        <v>387741.16000000003</v>
      </c>
      <c r="H106" s="35">
        <v>0</v>
      </c>
      <c r="I106" s="35">
        <v>5.8207660913467407E-11</v>
      </c>
    </row>
    <row r="107" spans="1:9" x14ac:dyDescent="0.3">
      <c r="A107" s="18" t="s">
        <v>12</v>
      </c>
      <c r="B107" s="19" t="s">
        <v>13</v>
      </c>
      <c r="C107" s="20" t="s">
        <v>232</v>
      </c>
      <c r="D107" s="21" t="s">
        <v>15</v>
      </c>
      <c r="E107" s="24" t="s">
        <v>233</v>
      </c>
      <c r="F107" s="23">
        <v>3659.63</v>
      </c>
      <c r="G107" s="23">
        <v>5721.94</v>
      </c>
    </row>
    <row r="108" spans="1:9" x14ac:dyDescent="0.3">
      <c r="A108" s="30" t="s">
        <v>48</v>
      </c>
      <c r="B108" s="30" t="s">
        <v>234</v>
      </c>
      <c r="C108" s="30" t="s">
        <v>232</v>
      </c>
      <c r="D108" s="30" t="s">
        <v>235</v>
      </c>
      <c r="E108" s="24" t="s">
        <v>233</v>
      </c>
      <c r="F108" s="23">
        <v>177226.1</v>
      </c>
      <c r="G108" s="23">
        <v>180484.02</v>
      </c>
    </row>
    <row r="109" spans="1:9" x14ac:dyDescent="0.3">
      <c r="A109" s="30" t="s">
        <v>48</v>
      </c>
      <c r="B109" s="30" t="s">
        <v>236</v>
      </c>
      <c r="C109" s="30" t="s">
        <v>232</v>
      </c>
      <c r="D109" s="30" t="s">
        <v>237</v>
      </c>
      <c r="E109" s="24" t="s">
        <v>238</v>
      </c>
      <c r="F109" s="23">
        <v>65000</v>
      </c>
      <c r="G109" s="23">
        <v>63866.18</v>
      </c>
    </row>
    <row r="110" spans="1:9" x14ac:dyDescent="0.3">
      <c r="A110" s="30" t="s">
        <v>48</v>
      </c>
      <c r="B110" s="30" t="s">
        <v>239</v>
      </c>
      <c r="C110" s="30" t="s">
        <v>232</v>
      </c>
      <c r="D110" s="30" t="s">
        <v>240</v>
      </c>
      <c r="E110" s="24" t="s">
        <v>241</v>
      </c>
      <c r="F110" s="23">
        <v>491474.44</v>
      </c>
      <c r="G110" s="23">
        <v>0</v>
      </c>
    </row>
    <row r="111" spans="1:9" x14ac:dyDescent="0.3">
      <c r="A111" s="30" t="s">
        <v>48</v>
      </c>
      <c r="B111" s="30" t="s">
        <v>242</v>
      </c>
      <c r="C111" s="30" t="s">
        <v>232</v>
      </c>
      <c r="D111" s="30" t="s">
        <v>243</v>
      </c>
      <c r="E111" s="24" t="s">
        <v>244</v>
      </c>
      <c r="F111" s="23">
        <v>100002.78</v>
      </c>
      <c r="G111" s="23">
        <v>120003.34</v>
      </c>
    </row>
    <row r="112" spans="1:9" x14ac:dyDescent="0.3">
      <c r="A112" s="30" t="s">
        <v>48</v>
      </c>
      <c r="B112" s="30" t="s">
        <v>245</v>
      </c>
      <c r="C112" s="30" t="s">
        <v>232</v>
      </c>
      <c r="D112" s="30" t="s">
        <v>246</v>
      </c>
      <c r="E112" s="24" t="s">
        <v>247</v>
      </c>
      <c r="F112" s="23">
        <v>66759.22</v>
      </c>
      <c r="G112" s="23">
        <v>29025.57</v>
      </c>
    </row>
    <row r="113" spans="1:9" x14ac:dyDescent="0.3">
      <c r="A113" s="30" t="s">
        <v>48</v>
      </c>
      <c r="B113" s="30" t="s">
        <v>248</v>
      </c>
      <c r="C113" s="30" t="s">
        <v>232</v>
      </c>
      <c r="D113" s="30" t="s">
        <v>249</v>
      </c>
      <c r="E113" s="24" t="s">
        <v>250</v>
      </c>
      <c r="F113" s="23">
        <v>0</v>
      </c>
      <c r="G113" s="23">
        <v>39867.089999999997</v>
      </c>
    </row>
    <row r="114" spans="1:9" x14ac:dyDescent="0.3">
      <c r="A114" s="32" t="s">
        <v>251</v>
      </c>
      <c r="B114" s="33">
        <v>732</v>
      </c>
      <c r="C114" s="33" t="s">
        <v>232</v>
      </c>
      <c r="D114" s="42"/>
      <c r="E114" s="43"/>
      <c r="F114" s="38">
        <f>SUM(F107:F113)</f>
        <v>904122.17</v>
      </c>
      <c r="G114" s="38">
        <f>SUM(G107:G113)</f>
        <v>438968.14</v>
      </c>
      <c r="H114" s="35">
        <v>0</v>
      </c>
      <c r="I114" s="35">
        <v>0</v>
      </c>
    </row>
    <row r="115" spans="1:9" x14ac:dyDescent="0.3">
      <c r="A115" s="26" t="s">
        <v>12</v>
      </c>
      <c r="B115" s="26" t="s">
        <v>26</v>
      </c>
      <c r="C115" s="26" t="s">
        <v>252</v>
      </c>
      <c r="D115" s="25" t="s">
        <v>27</v>
      </c>
      <c r="E115" s="24" t="s">
        <v>238</v>
      </c>
      <c r="F115" s="23">
        <v>471.36</v>
      </c>
      <c r="G115" s="23">
        <v>0</v>
      </c>
    </row>
    <row r="116" spans="1:9" x14ac:dyDescent="0.3">
      <c r="A116" s="20" t="s">
        <v>41</v>
      </c>
      <c r="B116" s="26" t="s">
        <v>42</v>
      </c>
      <c r="C116" s="26" t="s">
        <v>252</v>
      </c>
      <c r="D116" s="25" t="s">
        <v>27</v>
      </c>
      <c r="E116" s="24" t="s">
        <v>238</v>
      </c>
      <c r="F116" s="23">
        <v>24.88</v>
      </c>
      <c r="G116" s="23">
        <v>0</v>
      </c>
    </row>
    <row r="117" spans="1:9" x14ac:dyDescent="0.3">
      <c r="A117" s="19" t="s">
        <v>32</v>
      </c>
      <c r="B117" s="19" t="s">
        <v>45</v>
      </c>
      <c r="C117" s="26" t="s">
        <v>252</v>
      </c>
      <c r="D117" s="21" t="s">
        <v>116</v>
      </c>
      <c r="E117" s="24"/>
      <c r="F117" s="23">
        <v>1347.19</v>
      </c>
      <c r="G117" s="23">
        <v>0</v>
      </c>
    </row>
    <row r="118" spans="1:9" x14ac:dyDescent="0.3">
      <c r="A118" s="30" t="s">
        <v>48</v>
      </c>
      <c r="B118" s="30" t="s">
        <v>253</v>
      </c>
      <c r="C118" s="30" t="s">
        <v>252</v>
      </c>
      <c r="D118" s="30" t="s">
        <v>254</v>
      </c>
      <c r="E118" s="24" t="s">
        <v>255</v>
      </c>
      <c r="F118" s="23">
        <v>14763.65</v>
      </c>
      <c r="G118" s="23">
        <v>29791.39</v>
      </c>
    </row>
    <row r="119" spans="1:9" x14ac:dyDescent="0.3">
      <c r="A119" s="20" t="s">
        <v>256</v>
      </c>
      <c r="B119" s="20" t="s">
        <v>55</v>
      </c>
      <c r="C119" s="30" t="s">
        <v>252</v>
      </c>
      <c r="D119" s="21" t="s">
        <v>257</v>
      </c>
      <c r="E119" s="24"/>
      <c r="F119" s="23">
        <v>66000</v>
      </c>
      <c r="G119" s="23">
        <v>49500</v>
      </c>
    </row>
    <row r="120" spans="1:9" x14ac:dyDescent="0.3">
      <c r="A120" s="20" t="s">
        <v>258</v>
      </c>
      <c r="B120" s="20" t="s">
        <v>259</v>
      </c>
      <c r="C120" s="30" t="s">
        <v>252</v>
      </c>
      <c r="D120" s="21" t="s">
        <v>260</v>
      </c>
      <c r="E120" s="21" t="s">
        <v>261</v>
      </c>
      <c r="F120" s="23">
        <v>6641.79</v>
      </c>
      <c r="G120" s="23">
        <v>0</v>
      </c>
    </row>
    <row r="121" spans="1:9" x14ac:dyDescent="0.3">
      <c r="A121" s="20" t="s">
        <v>258</v>
      </c>
      <c r="B121" s="20" t="s">
        <v>262</v>
      </c>
      <c r="C121" s="30" t="s">
        <v>252</v>
      </c>
      <c r="D121" s="21" t="s">
        <v>263</v>
      </c>
      <c r="E121" s="21" t="s">
        <v>264</v>
      </c>
      <c r="F121" s="23">
        <v>4362.1400000000003</v>
      </c>
      <c r="G121" s="23">
        <v>0</v>
      </c>
    </row>
    <row r="122" spans="1:9" x14ac:dyDescent="0.3">
      <c r="A122" s="20" t="s">
        <v>258</v>
      </c>
      <c r="B122" s="20" t="s">
        <v>265</v>
      </c>
      <c r="C122" s="30" t="s">
        <v>252</v>
      </c>
      <c r="D122" s="21" t="s">
        <v>266</v>
      </c>
      <c r="E122" s="21" t="s">
        <v>267</v>
      </c>
      <c r="F122" s="23">
        <v>3708.33</v>
      </c>
      <c r="G122" s="23">
        <v>0</v>
      </c>
    </row>
    <row r="123" spans="1:9" x14ac:dyDescent="0.3">
      <c r="A123" s="20" t="s">
        <v>258</v>
      </c>
      <c r="B123" s="20" t="s">
        <v>268</v>
      </c>
      <c r="C123" s="30" t="s">
        <v>252</v>
      </c>
      <c r="D123" s="21" t="s">
        <v>269</v>
      </c>
      <c r="E123" s="21" t="s">
        <v>270</v>
      </c>
      <c r="F123" s="23">
        <v>4166.67</v>
      </c>
      <c r="G123" s="23">
        <v>0</v>
      </c>
    </row>
    <row r="124" spans="1:9" x14ac:dyDescent="0.3">
      <c r="A124" s="20" t="s">
        <v>258</v>
      </c>
      <c r="B124" s="20" t="s">
        <v>271</v>
      </c>
      <c r="C124" s="30" t="s">
        <v>252</v>
      </c>
      <c r="D124" s="21" t="s">
        <v>272</v>
      </c>
      <c r="E124" s="21" t="s">
        <v>272</v>
      </c>
      <c r="F124" s="23">
        <v>8962.33</v>
      </c>
      <c r="G124" s="23">
        <v>18000</v>
      </c>
    </row>
    <row r="125" spans="1:9" x14ac:dyDescent="0.3">
      <c r="A125" s="20" t="s">
        <v>258</v>
      </c>
      <c r="B125" s="20" t="s">
        <v>273</v>
      </c>
      <c r="C125" s="30" t="s">
        <v>252</v>
      </c>
      <c r="D125" s="21" t="s">
        <v>274</v>
      </c>
      <c r="E125" s="21" t="s">
        <v>274</v>
      </c>
      <c r="F125" s="23">
        <v>50074</v>
      </c>
      <c r="G125" s="23">
        <v>60000</v>
      </c>
    </row>
    <row r="126" spans="1:9" x14ac:dyDescent="0.3">
      <c r="A126" s="20" t="s">
        <v>58</v>
      </c>
      <c r="B126" s="20" t="s">
        <v>275</v>
      </c>
      <c r="C126" s="30" t="s">
        <v>252</v>
      </c>
      <c r="D126" s="21" t="s">
        <v>276</v>
      </c>
      <c r="E126" s="21" t="s">
        <v>277</v>
      </c>
      <c r="F126" s="23">
        <v>23955.01</v>
      </c>
      <c r="G126" s="23">
        <v>0</v>
      </c>
    </row>
    <row r="127" spans="1:9" x14ac:dyDescent="0.3">
      <c r="A127" s="21" t="s">
        <v>278</v>
      </c>
      <c r="B127" s="20" t="s">
        <v>279</v>
      </c>
      <c r="C127" s="30" t="s">
        <v>252</v>
      </c>
      <c r="D127" s="21" t="s">
        <v>280</v>
      </c>
      <c r="E127" s="24" t="s">
        <v>281</v>
      </c>
      <c r="F127" s="23">
        <v>36285.57</v>
      </c>
      <c r="G127" s="23">
        <v>52791.57</v>
      </c>
    </row>
    <row r="128" spans="1:9" x14ac:dyDescent="0.3">
      <c r="A128" s="30" t="s">
        <v>282</v>
      </c>
      <c r="B128" s="30" t="s">
        <v>283</v>
      </c>
      <c r="C128" s="30" t="s">
        <v>252</v>
      </c>
      <c r="D128" s="30" t="s">
        <v>284</v>
      </c>
      <c r="E128" s="24" t="s">
        <v>284</v>
      </c>
      <c r="F128" s="23">
        <v>27750</v>
      </c>
      <c r="G128" s="23">
        <v>17500</v>
      </c>
    </row>
    <row r="129" spans="1:9" x14ac:dyDescent="0.3">
      <c r="A129" s="30" t="s">
        <v>285</v>
      </c>
      <c r="B129" s="30" t="s">
        <v>286</v>
      </c>
      <c r="C129" s="30" t="s">
        <v>252</v>
      </c>
      <c r="D129" s="30" t="s">
        <v>287</v>
      </c>
      <c r="E129" s="24" t="s">
        <v>287</v>
      </c>
      <c r="F129" s="23">
        <v>32648.67</v>
      </c>
      <c r="G129" s="23">
        <v>15489.33</v>
      </c>
    </row>
    <row r="130" spans="1:9" x14ac:dyDescent="0.3">
      <c r="A130" s="30"/>
      <c r="B130" s="30" t="s">
        <v>288</v>
      </c>
      <c r="C130" s="30" t="s">
        <v>252</v>
      </c>
      <c r="D130" s="30" t="s">
        <v>289</v>
      </c>
      <c r="E130" s="24" t="str">
        <f>D130</f>
        <v>ROG</v>
      </c>
      <c r="F130" s="23">
        <v>23333</v>
      </c>
      <c r="G130" s="23">
        <v>0</v>
      </c>
    </row>
    <row r="131" spans="1:9" x14ac:dyDescent="0.3">
      <c r="A131" s="33" t="s">
        <v>290</v>
      </c>
      <c r="B131" s="33">
        <v>732</v>
      </c>
      <c r="C131" s="33" t="s">
        <v>252</v>
      </c>
      <c r="D131" s="42"/>
      <c r="E131" s="43"/>
      <c r="F131" s="38">
        <f>SUM(F115:F130)</f>
        <v>304494.59000000003</v>
      </c>
      <c r="G131" s="38">
        <f>SUM(G115:G130)</f>
        <v>243072.29</v>
      </c>
      <c r="H131" s="35">
        <v>0</v>
      </c>
      <c r="I131" s="35">
        <v>2.9103830456733704E-11</v>
      </c>
    </row>
    <row r="132" spans="1:9" x14ac:dyDescent="0.3">
      <c r="A132" s="18" t="s">
        <v>12</v>
      </c>
      <c r="B132" s="18" t="s">
        <v>13</v>
      </c>
      <c r="C132" s="26" t="s">
        <v>291</v>
      </c>
      <c r="D132" s="25" t="s">
        <v>15</v>
      </c>
      <c r="E132" s="22" t="s">
        <v>292</v>
      </c>
      <c r="F132" s="23">
        <v>7319.23</v>
      </c>
      <c r="G132" s="23">
        <v>3415.64</v>
      </c>
    </row>
    <row r="133" spans="1:9" x14ac:dyDescent="0.3">
      <c r="A133" s="26" t="s">
        <v>12</v>
      </c>
      <c r="B133" s="26" t="s">
        <v>26</v>
      </c>
      <c r="C133" s="26" t="s">
        <v>291</v>
      </c>
      <c r="D133" s="25" t="s">
        <v>27</v>
      </c>
      <c r="E133" s="24" t="s">
        <v>28</v>
      </c>
      <c r="F133" s="23">
        <v>36441.57</v>
      </c>
      <c r="G133" s="23">
        <v>32937.69</v>
      </c>
    </row>
    <row r="134" spans="1:9" x14ac:dyDescent="0.3">
      <c r="A134" s="20" t="s">
        <v>41</v>
      </c>
      <c r="B134" s="26" t="s">
        <v>42</v>
      </c>
      <c r="C134" s="26" t="s">
        <v>291</v>
      </c>
      <c r="D134" s="25" t="s">
        <v>27</v>
      </c>
      <c r="E134" s="24" t="s">
        <v>28</v>
      </c>
      <c r="F134" s="23">
        <v>1925.12</v>
      </c>
      <c r="G134" s="23">
        <v>1740</v>
      </c>
    </row>
    <row r="135" spans="1:9" x14ac:dyDescent="0.3">
      <c r="A135" s="31" t="s">
        <v>293</v>
      </c>
      <c r="B135" s="31" t="s">
        <v>294</v>
      </c>
      <c r="C135" s="26" t="s">
        <v>291</v>
      </c>
      <c r="D135" s="31" t="s">
        <v>69</v>
      </c>
      <c r="E135" s="24" t="s">
        <v>292</v>
      </c>
      <c r="F135" s="23">
        <v>20469.54</v>
      </c>
      <c r="G135" s="23">
        <v>0</v>
      </c>
    </row>
    <row r="136" spans="1:9" x14ac:dyDescent="0.3">
      <c r="A136" s="31"/>
      <c r="B136" s="30" t="s">
        <v>295</v>
      </c>
      <c r="C136" s="26" t="s">
        <v>291</v>
      </c>
      <c r="D136" s="30" t="s">
        <v>296</v>
      </c>
      <c r="E136" s="24" t="s">
        <v>292</v>
      </c>
      <c r="F136" s="23">
        <v>52605.69</v>
      </c>
      <c r="G136" s="23">
        <v>50000</v>
      </c>
    </row>
    <row r="137" spans="1:9" x14ac:dyDescent="0.3">
      <c r="A137" s="31"/>
      <c r="B137" s="30" t="s">
        <v>297</v>
      </c>
      <c r="C137" s="26" t="s">
        <v>291</v>
      </c>
      <c r="D137" s="30" t="s">
        <v>298</v>
      </c>
      <c r="E137" s="24" t="s">
        <v>292</v>
      </c>
      <c r="F137" s="23">
        <v>13967.18</v>
      </c>
      <c r="G137" s="23">
        <v>5000</v>
      </c>
    </row>
    <row r="138" spans="1:9" x14ac:dyDescent="0.3">
      <c r="A138" s="31"/>
      <c r="B138" s="31" t="s">
        <v>61</v>
      </c>
      <c r="C138" s="26" t="s">
        <v>291</v>
      </c>
      <c r="D138" s="30" t="s">
        <v>62</v>
      </c>
      <c r="E138" s="24" t="s">
        <v>292</v>
      </c>
      <c r="F138" s="23">
        <v>0</v>
      </c>
      <c r="G138" s="23">
        <v>22600</v>
      </c>
    </row>
    <row r="139" spans="1:9" x14ac:dyDescent="0.3">
      <c r="A139" s="20" t="s">
        <v>58</v>
      </c>
      <c r="B139" s="20" t="s">
        <v>59</v>
      </c>
      <c r="C139" s="26" t="s">
        <v>291</v>
      </c>
      <c r="D139" s="30" t="s">
        <v>58</v>
      </c>
      <c r="E139" s="24" t="s">
        <v>292</v>
      </c>
      <c r="F139" s="23">
        <v>1610.17</v>
      </c>
      <c r="G139" s="23">
        <v>2631.16</v>
      </c>
    </row>
    <row r="140" spans="1:9" x14ac:dyDescent="0.3">
      <c r="A140" s="31" t="s">
        <v>70</v>
      </c>
      <c r="B140" s="31" t="s">
        <v>71</v>
      </c>
      <c r="C140" s="26" t="s">
        <v>291</v>
      </c>
      <c r="D140" s="31" t="s">
        <v>72</v>
      </c>
      <c r="E140" s="24" t="s">
        <v>292</v>
      </c>
      <c r="F140" s="23">
        <v>360360.88</v>
      </c>
      <c r="G140" s="23">
        <v>266148.5</v>
      </c>
    </row>
    <row r="141" spans="1:9" x14ac:dyDescent="0.3">
      <c r="A141" s="45" t="s">
        <v>299</v>
      </c>
      <c r="B141" s="33">
        <v>732</v>
      </c>
      <c r="C141" s="33" t="s">
        <v>291</v>
      </c>
      <c r="D141" s="46"/>
      <c r="E141" s="43"/>
      <c r="F141" s="38">
        <f>SUM(F132:F140)</f>
        <v>494699.38</v>
      </c>
      <c r="G141" s="38">
        <f>SUM(G132:G140)</f>
        <v>384472.99</v>
      </c>
      <c r="H141" s="35">
        <v>0</v>
      </c>
      <c r="I141" s="35">
        <v>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7"/>
  <sheetViews>
    <sheetView workbookViewId="0"/>
  </sheetViews>
  <sheetFormatPr defaultRowHeight="14.4" x14ac:dyDescent="0.3"/>
  <cols>
    <col min="1" max="1" width="31" customWidth="1"/>
    <col min="2" max="2" width="46" customWidth="1"/>
    <col min="3" max="3" width="46.109375" customWidth="1"/>
    <col min="4" max="4" width="22.6640625" customWidth="1"/>
    <col min="5" max="5" width="10.109375" bestFit="1" customWidth="1"/>
    <col min="6" max="6" width="25.44140625" customWidth="1"/>
    <col min="7" max="7" width="8.88671875" customWidth="1"/>
  </cols>
  <sheetData>
    <row r="1" spans="1:7" ht="17.399999999999999" x14ac:dyDescent="0.3">
      <c r="A1" s="80" t="s">
        <v>392</v>
      </c>
      <c r="D1" s="6"/>
    </row>
    <row r="2" spans="1:7" ht="17.399999999999999" x14ac:dyDescent="0.3">
      <c r="A2" s="80"/>
    </row>
    <row r="3" spans="1:7" ht="23.25" customHeight="1" x14ac:dyDescent="0.3">
      <c r="A3" s="1017" t="s">
        <v>618</v>
      </c>
      <c r="B3" s="1017"/>
    </row>
    <row r="4" spans="1:7" ht="15" thickBot="1" x14ac:dyDescent="0.35"/>
    <row r="5" spans="1:7" ht="15" thickBot="1" x14ac:dyDescent="0.35">
      <c r="A5" s="50">
        <v>73</v>
      </c>
      <c r="B5" s="1012" t="s">
        <v>331</v>
      </c>
      <c r="C5" s="1012"/>
      <c r="D5" s="82">
        <f>SUM(D6:D8)+D9</f>
        <v>6169072.46</v>
      </c>
    </row>
    <row r="6" spans="1:7" x14ac:dyDescent="0.3">
      <c r="A6" s="52" t="s">
        <v>332</v>
      </c>
      <c r="B6" s="1013" t="s">
        <v>333</v>
      </c>
      <c r="C6" s="1013"/>
      <c r="D6" s="53"/>
    </row>
    <row r="7" spans="1:7" x14ac:dyDescent="0.3">
      <c r="A7" s="52" t="s">
        <v>334</v>
      </c>
      <c r="B7" s="1014" t="s">
        <v>335</v>
      </c>
      <c r="C7" s="1014"/>
      <c r="D7" s="53"/>
    </row>
    <row r="8" spans="1:7" ht="15" thickBot="1" x14ac:dyDescent="0.35">
      <c r="A8" s="54" t="s">
        <v>336</v>
      </c>
      <c r="B8" s="1015" t="s">
        <v>337</v>
      </c>
      <c r="C8" s="1015"/>
      <c r="D8" s="55"/>
      <c r="G8" s="78"/>
    </row>
    <row r="9" spans="1:7" ht="39.75" customHeight="1" thickBot="1" x14ac:dyDescent="0.35">
      <c r="A9" s="7" t="s">
        <v>10</v>
      </c>
      <c r="B9" s="1016" t="s">
        <v>11</v>
      </c>
      <c r="C9" s="1016"/>
      <c r="D9" s="118">
        <f>SUM(D11:D39)</f>
        <v>6169072.46</v>
      </c>
    </row>
    <row r="10" spans="1:7" ht="15" thickBot="1" x14ac:dyDescent="0.35">
      <c r="A10" s="62" t="s">
        <v>5</v>
      </c>
      <c r="B10" s="63" t="s">
        <v>6</v>
      </c>
      <c r="C10" s="62" t="s">
        <v>344</v>
      </c>
      <c r="D10" s="64" t="s">
        <v>345</v>
      </c>
      <c r="E10" t="s">
        <v>619</v>
      </c>
    </row>
    <row r="11" spans="1:7" ht="20.100000000000001" customHeight="1" x14ac:dyDescent="0.3">
      <c r="A11" s="119" t="s">
        <v>620</v>
      </c>
      <c r="B11" s="29" t="s">
        <v>621</v>
      </c>
      <c r="C11" s="120" t="s">
        <v>346</v>
      </c>
      <c r="D11" s="121">
        <v>13300</v>
      </c>
      <c r="E11" s="6"/>
      <c r="F11" s="122"/>
    </row>
    <row r="12" spans="1:7" ht="20.100000000000001" customHeight="1" x14ac:dyDescent="0.3">
      <c r="A12" s="119" t="s">
        <v>620</v>
      </c>
      <c r="B12" s="29" t="s">
        <v>622</v>
      </c>
      <c r="C12" s="120" t="s">
        <v>623</v>
      </c>
      <c r="D12" s="121">
        <v>8517.6</v>
      </c>
      <c r="E12" s="6"/>
      <c r="F12" s="122"/>
    </row>
    <row r="13" spans="1:7" ht="20.100000000000001" customHeight="1" x14ac:dyDescent="0.3">
      <c r="A13" s="119" t="s">
        <v>624</v>
      </c>
      <c r="B13" s="29" t="s">
        <v>625</v>
      </c>
      <c r="C13" s="120" t="s">
        <v>346</v>
      </c>
      <c r="D13" s="121">
        <v>30000</v>
      </c>
      <c r="E13" s="6"/>
      <c r="F13" s="122"/>
    </row>
    <row r="14" spans="1:7" ht="20.100000000000001" customHeight="1" x14ac:dyDescent="0.3">
      <c r="A14" s="119" t="s">
        <v>626</v>
      </c>
      <c r="B14" s="29" t="s">
        <v>627</v>
      </c>
      <c r="C14" s="120" t="s">
        <v>346</v>
      </c>
      <c r="D14" s="121">
        <v>5041.57</v>
      </c>
      <c r="E14" s="6"/>
      <c r="F14" s="122"/>
    </row>
    <row r="15" spans="1:7" ht="20.100000000000001" customHeight="1" x14ac:dyDescent="0.3">
      <c r="A15" s="119" t="s">
        <v>628</v>
      </c>
      <c r="B15" s="29" t="s">
        <v>629</v>
      </c>
      <c r="C15" s="120" t="s">
        <v>346</v>
      </c>
      <c r="D15" s="121">
        <v>2400</v>
      </c>
      <c r="E15" s="6"/>
      <c r="F15" s="122"/>
    </row>
    <row r="16" spans="1:7" ht="20.100000000000001" customHeight="1" x14ac:dyDescent="0.3">
      <c r="A16" s="119" t="s">
        <v>628</v>
      </c>
      <c r="B16" s="29" t="s">
        <v>630</v>
      </c>
      <c r="C16" s="120" t="s">
        <v>631</v>
      </c>
      <c r="D16" s="121">
        <v>7575.76</v>
      </c>
      <c r="E16" s="6"/>
      <c r="F16" s="122"/>
    </row>
    <row r="17" spans="1:6" ht="20.100000000000001" customHeight="1" x14ac:dyDescent="0.3">
      <c r="A17" s="119" t="s">
        <v>628</v>
      </c>
      <c r="B17" s="29" t="s">
        <v>632</v>
      </c>
      <c r="C17" s="120" t="s">
        <v>346</v>
      </c>
      <c r="D17" s="121">
        <v>7575.76</v>
      </c>
      <c r="E17" s="6"/>
      <c r="F17" s="122"/>
    </row>
    <row r="18" spans="1:6" ht="20.100000000000001" customHeight="1" x14ac:dyDescent="0.3">
      <c r="A18" s="119" t="s">
        <v>633</v>
      </c>
      <c r="B18" s="29" t="s">
        <v>634</v>
      </c>
      <c r="C18" s="120" t="s">
        <v>346</v>
      </c>
      <c r="D18" s="121">
        <v>320675.74</v>
      </c>
      <c r="E18" s="6"/>
      <c r="F18" s="122"/>
    </row>
    <row r="19" spans="1:6" ht="20.100000000000001" customHeight="1" x14ac:dyDescent="0.3">
      <c r="A19" s="119" t="s">
        <v>635</v>
      </c>
      <c r="B19" s="29" t="s">
        <v>636</v>
      </c>
      <c r="C19" s="120" t="s">
        <v>346</v>
      </c>
      <c r="D19" s="121">
        <v>6312.48</v>
      </c>
      <c r="E19" s="6"/>
      <c r="F19" s="122"/>
    </row>
    <row r="20" spans="1:6" ht="20.100000000000001" customHeight="1" x14ac:dyDescent="0.3">
      <c r="A20" s="119" t="s">
        <v>637</v>
      </c>
      <c r="B20" s="29" t="s">
        <v>638</v>
      </c>
      <c r="C20" s="120" t="s">
        <v>346</v>
      </c>
      <c r="D20" s="121">
        <v>250</v>
      </c>
      <c r="E20" s="6"/>
      <c r="F20" s="122"/>
    </row>
    <row r="21" spans="1:6" ht="20.100000000000001" customHeight="1" x14ac:dyDescent="0.3">
      <c r="A21" s="119" t="s">
        <v>639</v>
      </c>
      <c r="B21" s="29" t="s">
        <v>640</v>
      </c>
      <c r="C21" s="120" t="s">
        <v>346</v>
      </c>
      <c r="D21" s="121">
        <v>200</v>
      </c>
      <c r="E21" s="6"/>
      <c r="F21" s="122"/>
    </row>
    <row r="22" spans="1:6" ht="20.100000000000001" customHeight="1" x14ac:dyDescent="0.3">
      <c r="A22" s="119" t="s">
        <v>641</v>
      </c>
      <c r="B22" s="29" t="s">
        <v>642</v>
      </c>
      <c r="C22" s="120" t="s">
        <v>346</v>
      </c>
      <c r="D22" s="121">
        <v>900</v>
      </c>
      <c r="E22" s="6"/>
      <c r="F22" s="122"/>
    </row>
    <row r="23" spans="1:6" ht="20.100000000000001" customHeight="1" x14ac:dyDescent="0.3">
      <c r="A23" s="119" t="s">
        <v>641</v>
      </c>
      <c r="B23" s="29" t="s">
        <v>643</v>
      </c>
      <c r="C23" s="120" t="s">
        <v>623</v>
      </c>
      <c r="D23" s="121">
        <v>1525.15</v>
      </c>
      <c r="E23" s="6"/>
      <c r="F23" s="122"/>
    </row>
    <row r="24" spans="1:6" ht="20.100000000000001" customHeight="1" x14ac:dyDescent="0.3">
      <c r="A24" s="119" t="s">
        <v>644</v>
      </c>
      <c r="B24" s="29" t="s">
        <v>645</v>
      </c>
      <c r="C24" s="120" t="s">
        <v>346</v>
      </c>
      <c r="D24" s="121">
        <v>4767.88</v>
      </c>
      <c r="E24" s="6"/>
      <c r="F24" s="122"/>
    </row>
    <row r="25" spans="1:6" ht="20.100000000000001" customHeight="1" x14ac:dyDescent="0.3">
      <c r="A25" s="119" t="s">
        <v>646</v>
      </c>
      <c r="B25" s="29" t="s">
        <v>647</v>
      </c>
      <c r="C25" s="120" t="s">
        <v>346</v>
      </c>
      <c r="D25" s="121">
        <v>1800</v>
      </c>
      <c r="E25" s="6"/>
      <c r="F25" s="122"/>
    </row>
    <row r="26" spans="1:6" ht="20.100000000000001" customHeight="1" x14ac:dyDescent="0.3">
      <c r="A26" s="119" t="s">
        <v>648</v>
      </c>
      <c r="B26" s="29" t="s">
        <v>630</v>
      </c>
      <c r="C26" s="120" t="s">
        <v>631</v>
      </c>
      <c r="D26" s="121">
        <v>10884.68</v>
      </c>
      <c r="E26" s="6"/>
      <c r="F26" s="122"/>
    </row>
    <row r="27" spans="1:6" ht="20.100000000000001" customHeight="1" x14ac:dyDescent="0.3">
      <c r="A27" s="119" t="s">
        <v>648</v>
      </c>
      <c r="B27" s="29" t="s">
        <v>649</v>
      </c>
      <c r="C27" s="120" t="s">
        <v>346</v>
      </c>
      <c r="D27" s="121">
        <v>34008.82</v>
      </c>
      <c r="E27" s="6"/>
      <c r="F27" s="122"/>
    </row>
    <row r="28" spans="1:6" ht="20.100000000000001" customHeight="1" x14ac:dyDescent="0.3">
      <c r="A28" s="119" t="s">
        <v>650</v>
      </c>
      <c r="B28" s="29" t="s">
        <v>651</v>
      </c>
      <c r="C28" s="120" t="s">
        <v>652</v>
      </c>
      <c r="D28" s="121">
        <v>30000</v>
      </c>
      <c r="E28" s="6"/>
      <c r="F28" s="122"/>
    </row>
    <row r="29" spans="1:6" ht="20.100000000000001" customHeight="1" x14ac:dyDescent="0.3">
      <c r="A29" s="119" t="s">
        <v>650</v>
      </c>
      <c r="B29" s="29" t="s">
        <v>653</v>
      </c>
      <c r="C29" s="120" t="s">
        <v>652</v>
      </c>
      <c r="D29" s="121">
        <v>117228.39</v>
      </c>
      <c r="E29" s="6"/>
      <c r="F29" s="122"/>
    </row>
    <row r="30" spans="1:6" ht="20.100000000000001" customHeight="1" x14ac:dyDescent="0.3">
      <c r="A30" s="119" t="s">
        <v>346</v>
      </c>
      <c r="B30" s="29" t="s">
        <v>654</v>
      </c>
      <c r="C30" s="120" t="s">
        <v>346</v>
      </c>
      <c r="D30" s="121">
        <v>5335692.1100000003</v>
      </c>
      <c r="E30" s="6"/>
      <c r="F30" s="122"/>
    </row>
    <row r="31" spans="1:6" ht="20.100000000000001" customHeight="1" x14ac:dyDescent="0.3">
      <c r="A31" s="119" t="s">
        <v>650</v>
      </c>
      <c r="B31" s="29" t="s">
        <v>655</v>
      </c>
      <c r="C31" s="120" t="s">
        <v>402</v>
      </c>
      <c r="D31" s="121">
        <v>99296.23</v>
      </c>
      <c r="E31" s="6"/>
      <c r="F31" s="122"/>
    </row>
    <row r="32" spans="1:6" ht="20.100000000000001" customHeight="1" x14ac:dyDescent="0.3">
      <c r="A32" s="119" t="s">
        <v>650</v>
      </c>
      <c r="B32" s="29" t="s">
        <v>656</v>
      </c>
      <c r="C32" s="120" t="s">
        <v>346</v>
      </c>
      <c r="D32" s="121">
        <v>450</v>
      </c>
      <c r="E32" s="6"/>
      <c r="F32" s="122"/>
    </row>
    <row r="33" spans="1:6" ht="20.100000000000001" customHeight="1" x14ac:dyDescent="0.3">
      <c r="A33" s="119" t="s">
        <v>650</v>
      </c>
      <c r="B33" s="29" t="s">
        <v>657</v>
      </c>
      <c r="C33" s="120" t="s">
        <v>658</v>
      </c>
      <c r="D33" s="121">
        <v>48890.35</v>
      </c>
      <c r="E33" s="6"/>
      <c r="F33" s="122"/>
    </row>
    <row r="34" spans="1:6" ht="20.100000000000001" customHeight="1" x14ac:dyDescent="0.3">
      <c r="A34" s="119" t="s">
        <v>650</v>
      </c>
      <c r="B34" s="29" t="s">
        <v>659</v>
      </c>
      <c r="C34" s="120" t="s">
        <v>660</v>
      </c>
      <c r="D34" s="121">
        <v>44445.68</v>
      </c>
      <c r="E34" s="6"/>
      <c r="F34" s="122"/>
    </row>
    <row r="35" spans="1:6" ht="20.100000000000001" customHeight="1" x14ac:dyDescent="0.3">
      <c r="A35" s="119" t="s">
        <v>650</v>
      </c>
      <c r="B35" s="29" t="s">
        <v>661</v>
      </c>
      <c r="C35" s="120" t="s">
        <v>662</v>
      </c>
      <c r="D35" s="121">
        <v>33334.26</v>
      </c>
      <c r="E35" s="6"/>
      <c r="F35" s="122"/>
    </row>
    <row r="36" spans="1:6" ht="20.100000000000001" customHeight="1" x14ac:dyDescent="0.3">
      <c r="A36" s="119" t="s">
        <v>663</v>
      </c>
      <c r="B36" s="29" t="s">
        <v>664</v>
      </c>
      <c r="C36" s="120" t="s">
        <v>346</v>
      </c>
      <c r="D36" s="121">
        <v>2500</v>
      </c>
      <c r="E36" s="6"/>
      <c r="F36" s="122"/>
    </row>
    <row r="37" spans="1:6" ht="20.100000000000001" customHeight="1" x14ac:dyDescent="0.3">
      <c r="A37" s="119" t="s">
        <v>663</v>
      </c>
      <c r="B37" s="29" t="s">
        <v>665</v>
      </c>
      <c r="C37" s="120" t="s">
        <v>346</v>
      </c>
      <c r="D37" s="121">
        <v>1500</v>
      </c>
      <c r="E37" s="6"/>
      <c r="F37" s="122"/>
    </row>
    <row r="38" spans="1:6" ht="20.100000000000001" customHeight="1" x14ac:dyDescent="0.3">
      <c r="A38" s="19"/>
      <c r="B38" s="31"/>
      <c r="C38" s="24"/>
      <c r="D38" s="123"/>
    </row>
    <row r="39" spans="1:6" ht="20.100000000000001" customHeight="1" x14ac:dyDescent="0.3">
      <c r="A39" s="19"/>
      <c r="B39" s="31"/>
      <c r="C39" s="24"/>
      <c r="D39" s="105"/>
    </row>
    <row r="40" spans="1:6" ht="20.100000000000001" customHeight="1" x14ac:dyDescent="0.3">
      <c r="D40" s="124"/>
    </row>
    <row r="41" spans="1:6" ht="20.100000000000001" customHeight="1" x14ac:dyDescent="0.3">
      <c r="D41" s="124"/>
    </row>
    <row r="42" spans="1:6" ht="20.100000000000001" customHeight="1" x14ac:dyDescent="0.3">
      <c r="E42" s="6"/>
    </row>
    <row r="43" spans="1:6" ht="20.100000000000001" customHeight="1" x14ac:dyDescent="0.3"/>
    <row r="44" spans="1:6" ht="20.100000000000001" customHeight="1" x14ac:dyDescent="0.3">
      <c r="E44" s="6"/>
    </row>
    <row r="45" spans="1:6" ht="20.100000000000001" customHeight="1" x14ac:dyDescent="0.3"/>
    <row r="46" spans="1:6" ht="20.100000000000001" customHeight="1" x14ac:dyDescent="0.3"/>
    <row r="47" spans="1:6" ht="20.100000000000001" customHeight="1" x14ac:dyDescent="0.3"/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3"/>
  <sheetViews>
    <sheetView workbookViewId="0"/>
  </sheetViews>
  <sheetFormatPr defaultRowHeight="14.4" x14ac:dyDescent="0.3"/>
  <cols>
    <col min="1" max="1" width="31" customWidth="1"/>
    <col min="2" max="2" width="58" customWidth="1"/>
    <col min="3" max="3" width="46.109375" customWidth="1"/>
    <col min="4" max="4" width="22.6640625" customWidth="1"/>
    <col min="5" max="5" width="10.109375" bestFit="1" customWidth="1"/>
    <col min="6" max="6" width="25.44140625" customWidth="1"/>
    <col min="7" max="7" width="8.88671875" customWidth="1"/>
  </cols>
  <sheetData>
    <row r="1" spans="1:7" ht="17.399999999999999" x14ac:dyDescent="0.3">
      <c r="A1" s="80" t="s">
        <v>392</v>
      </c>
      <c r="D1" s="6"/>
    </row>
    <row r="2" spans="1:7" ht="17.399999999999999" x14ac:dyDescent="0.3">
      <c r="A2" s="80"/>
    </row>
    <row r="3" spans="1:7" ht="23.25" customHeight="1" x14ac:dyDescent="0.3">
      <c r="A3" s="1017" t="s">
        <v>618</v>
      </c>
      <c r="B3" s="1017"/>
    </row>
    <row r="4" spans="1:7" ht="15" thickBot="1" x14ac:dyDescent="0.35"/>
    <row r="5" spans="1:7" ht="15" thickBot="1" x14ac:dyDescent="0.35">
      <c r="A5" s="50">
        <v>73</v>
      </c>
      <c r="B5" s="1012" t="s">
        <v>331</v>
      </c>
      <c r="C5" s="1012"/>
      <c r="D5" s="82">
        <f>SUM(D6:D8)+D9</f>
        <v>6363951.5900000017</v>
      </c>
    </row>
    <row r="6" spans="1:7" x14ac:dyDescent="0.3">
      <c r="A6" s="52" t="s">
        <v>332</v>
      </c>
      <c r="B6" s="1013" t="s">
        <v>333</v>
      </c>
      <c r="C6" s="1013"/>
      <c r="D6" s="53"/>
    </row>
    <row r="7" spans="1:7" x14ac:dyDescent="0.3">
      <c r="A7" s="52" t="s">
        <v>334</v>
      </c>
      <c r="B7" s="1014" t="s">
        <v>335</v>
      </c>
      <c r="C7" s="1014"/>
      <c r="D7" s="53"/>
    </row>
    <row r="8" spans="1:7" ht="15" thickBot="1" x14ac:dyDescent="0.35">
      <c r="A8" s="54" t="s">
        <v>336</v>
      </c>
      <c r="B8" s="1015" t="s">
        <v>337</v>
      </c>
      <c r="C8" s="1015"/>
      <c r="D8" s="55"/>
      <c r="G8" s="78"/>
    </row>
    <row r="9" spans="1:7" ht="39.75" customHeight="1" thickBot="1" x14ac:dyDescent="0.35">
      <c r="A9" s="7" t="s">
        <v>10</v>
      </c>
      <c r="B9" s="1016" t="s">
        <v>11</v>
      </c>
      <c r="C9" s="1016"/>
      <c r="D9" s="118">
        <f>SUM(D11:D35)</f>
        <v>6363951.5900000017</v>
      </c>
      <c r="F9" s="125"/>
    </row>
    <row r="10" spans="1:7" ht="15" thickBot="1" x14ac:dyDescent="0.35">
      <c r="A10" s="62" t="s">
        <v>5</v>
      </c>
      <c r="B10" s="63" t="s">
        <v>6</v>
      </c>
      <c r="C10" s="62" t="s">
        <v>344</v>
      </c>
      <c r="D10" s="64" t="s">
        <v>345</v>
      </c>
      <c r="E10" t="s">
        <v>619</v>
      </c>
    </row>
    <row r="11" spans="1:7" ht="20.100000000000001" customHeight="1" x14ac:dyDescent="0.3">
      <c r="A11" s="119" t="s">
        <v>666</v>
      </c>
      <c r="B11" s="29" t="s">
        <v>667</v>
      </c>
      <c r="C11" s="120" t="s">
        <v>346</v>
      </c>
      <c r="D11" s="121">
        <v>8227.84</v>
      </c>
      <c r="E11" s="6"/>
      <c r="F11" s="122"/>
    </row>
    <row r="12" spans="1:7" s="124" customFormat="1" ht="20.100000000000001" customHeight="1" x14ac:dyDescent="0.3">
      <c r="A12" s="119" t="s">
        <v>637</v>
      </c>
      <c r="B12" s="29" t="s">
        <v>638</v>
      </c>
      <c r="C12" s="120" t="s">
        <v>346</v>
      </c>
      <c r="D12" s="121">
        <v>250</v>
      </c>
      <c r="E12" s="115"/>
      <c r="F12" s="122"/>
    </row>
    <row r="13" spans="1:7" s="124" customFormat="1" ht="20.100000000000001" customHeight="1" x14ac:dyDescent="0.3">
      <c r="A13" s="119" t="s">
        <v>639</v>
      </c>
      <c r="B13" s="29" t="s">
        <v>640</v>
      </c>
      <c r="C13" s="120" t="s">
        <v>346</v>
      </c>
      <c r="D13" s="121">
        <v>200</v>
      </c>
      <c r="E13" s="115"/>
      <c r="F13" s="122"/>
    </row>
    <row r="14" spans="1:7" s="124" customFormat="1" ht="20.100000000000001" customHeight="1" x14ac:dyDescent="0.3">
      <c r="A14" s="119" t="s">
        <v>620</v>
      </c>
      <c r="B14" s="29" t="s">
        <v>668</v>
      </c>
      <c r="C14" s="120" t="s">
        <v>346</v>
      </c>
      <c r="D14" s="121">
        <v>7570</v>
      </c>
      <c r="E14" s="115"/>
      <c r="F14" s="122"/>
    </row>
    <row r="15" spans="1:7" s="124" customFormat="1" ht="20.100000000000001" customHeight="1" x14ac:dyDescent="0.3">
      <c r="A15" s="119" t="s">
        <v>620</v>
      </c>
      <c r="B15" s="29" t="s">
        <v>669</v>
      </c>
      <c r="C15" s="120" t="s">
        <v>623</v>
      </c>
      <c r="D15" s="121">
        <v>9191.91</v>
      </c>
      <c r="E15" s="115"/>
      <c r="F15" s="122"/>
    </row>
    <row r="16" spans="1:7" s="124" customFormat="1" ht="20.100000000000001" customHeight="1" x14ac:dyDescent="0.3">
      <c r="A16" s="119" t="s">
        <v>624</v>
      </c>
      <c r="B16" s="29" t="s">
        <v>670</v>
      </c>
      <c r="C16" s="120" t="s">
        <v>346</v>
      </c>
      <c r="D16" s="121">
        <v>30000</v>
      </c>
      <c r="E16" s="115"/>
      <c r="F16" s="122"/>
    </row>
    <row r="17" spans="1:6" s="124" customFormat="1" ht="20.100000000000001" customHeight="1" x14ac:dyDescent="0.3">
      <c r="A17" s="119" t="s">
        <v>628</v>
      </c>
      <c r="B17" s="29" t="s">
        <v>630</v>
      </c>
      <c r="C17" s="120" t="s">
        <v>631</v>
      </c>
      <c r="D17" s="121">
        <v>7575.76</v>
      </c>
      <c r="E17" s="115"/>
      <c r="F17" s="122"/>
    </row>
    <row r="18" spans="1:6" s="124" customFormat="1" ht="20.100000000000001" customHeight="1" x14ac:dyDescent="0.3">
      <c r="A18" s="119" t="s">
        <v>628</v>
      </c>
      <c r="B18" s="29" t="s">
        <v>632</v>
      </c>
      <c r="C18" s="120" t="s">
        <v>346</v>
      </c>
      <c r="D18" s="121">
        <v>7575.76</v>
      </c>
      <c r="E18" s="115"/>
      <c r="F18" s="122"/>
    </row>
    <row r="19" spans="1:6" s="124" customFormat="1" ht="20.100000000000001" customHeight="1" x14ac:dyDescent="0.3">
      <c r="A19" s="119" t="s">
        <v>633</v>
      </c>
      <c r="B19" s="29" t="s">
        <v>671</v>
      </c>
      <c r="C19" s="120" t="s">
        <v>346</v>
      </c>
      <c r="D19" s="121">
        <v>410716.54</v>
      </c>
      <c r="E19" s="115"/>
      <c r="F19" s="122"/>
    </row>
    <row r="20" spans="1:6" s="124" customFormat="1" ht="20.100000000000001" customHeight="1" x14ac:dyDescent="0.3">
      <c r="A20" s="119" t="s">
        <v>635</v>
      </c>
      <c r="B20" s="29" t="s">
        <v>672</v>
      </c>
      <c r="C20" s="120" t="s">
        <v>346</v>
      </c>
      <c r="D20" s="121">
        <v>4124.3599999999997</v>
      </c>
      <c r="E20" s="115"/>
      <c r="F20" s="122"/>
    </row>
    <row r="21" spans="1:6" s="124" customFormat="1" ht="20.100000000000001" customHeight="1" x14ac:dyDescent="0.3">
      <c r="A21" s="119" t="s">
        <v>641</v>
      </c>
      <c r="B21" s="29" t="s">
        <v>673</v>
      </c>
      <c r="C21" s="120" t="s">
        <v>346</v>
      </c>
      <c r="D21" s="121">
        <v>900</v>
      </c>
      <c r="E21" s="115"/>
      <c r="F21" s="122"/>
    </row>
    <row r="22" spans="1:6" s="124" customFormat="1" ht="20.100000000000001" customHeight="1" x14ac:dyDescent="0.3">
      <c r="A22" s="119" t="s">
        <v>674</v>
      </c>
      <c r="B22" s="29" t="s">
        <v>643</v>
      </c>
      <c r="C22" s="120" t="s">
        <v>623</v>
      </c>
      <c r="D22" s="121">
        <v>1525.15</v>
      </c>
      <c r="E22" s="115"/>
      <c r="F22" s="122"/>
    </row>
    <row r="23" spans="1:6" s="124" customFormat="1" ht="20.100000000000001" customHeight="1" x14ac:dyDescent="0.3">
      <c r="A23" s="119" t="s">
        <v>675</v>
      </c>
      <c r="B23" s="29" t="s">
        <v>676</v>
      </c>
      <c r="C23" s="120" t="s">
        <v>346</v>
      </c>
      <c r="D23" s="121">
        <v>3547.3</v>
      </c>
      <c r="E23" s="115"/>
      <c r="F23" s="122"/>
    </row>
    <row r="24" spans="1:6" s="124" customFormat="1" ht="20.100000000000001" customHeight="1" x14ac:dyDescent="0.3">
      <c r="A24" s="119" t="s">
        <v>677</v>
      </c>
      <c r="B24" s="29" t="s">
        <v>678</v>
      </c>
      <c r="C24" s="120" t="s">
        <v>346</v>
      </c>
      <c r="D24" s="121">
        <v>1800</v>
      </c>
      <c r="E24" s="115"/>
      <c r="F24" s="122"/>
    </row>
    <row r="25" spans="1:6" s="124" customFormat="1" ht="20.100000000000001" customHeight="1" x14ac:dyDescent="0.3">
      <c r="A25" s="119" t="s">
        <v>648</v>
      </c>
      <c r="B25" s="29" t="s">
        <v>630</v>
      </c>
      <c r="C25" s="120" t="s">
        <v>631</v>
      </c>
      <c r="D25" s="121">
        <v>10884.68</v>
      </c>
      <c r="E25" s="115"/>
      <c r="F25" s="122"/>
    </row>
    <row r="26" spans="1:6" s="124" customFormat="1" ht="20.100000000000001" customHeight="1" x14ac:dyDescent="0.3">
      <c r="A26" s="119" t="s">
        <v>648</v>
      </c>
      <c r="B26" s="29" t="s">
        <v>649</v>
      </c>
      <c r="C26" s="120" t="s">
        <v>346</v>
      </c>
      <c r="D26" s="121">
        <v>34008.82</v>
      </c>
      <c r="E26" s="115"/>
      <c r="F26" s="122"/>
    </row>
    <row r="27" spans="1:6" s="124" customFormat="1" ht="20.100000000000001" customHeight="1" x14ac:dyDescent="0.3">
      <c r="A27" s="119" t="s">
        <v>650</v>
      </c>
      <c r="B27" s="29" t="s">
        <v>653</v>
      </c>
      <c r="C27" s="120" t="s">
        <v>652</v>
      </c>
      <c r="D27" s="121">
        <v>121255.44</v>
      </c>
      <c r="E27" s="115"/>
      <c r="F27" s="122"/>
    </row>
    <row r="28" spans="1:6" s="124" customFormat="1" ht="20.100000000000001" customHeight="1" x14ac:dyDescent="0.3">
      <c r="A28" s="119" t="s">
        <v>346</v>
      </c>
      <c r="B28" s="29" t="s">
        <v>679</v>
      </c>
      <c r="C28" s="120" t="s">
        <v>346</v>
      </c>
      <c r="D28" s="121">
        <v>5490295.5700000003</v>
      </c>
      <c r="E28" s="115"/>
      <c r="F28" s="122"/>
    </row>
    <row r="29" spans="1:6" s="124" customFormat="1" ht="20.100000000000001" customHeight="1" x14ac:dyDescent="0.3">
      <c r="A29" s="119" t="s">
        <v>650</v>
      </c>
      <c r="B29" s="29" t="s">
        <v>680</v>
      </c>
      <c r="C29" s="120" t="s">
        <v>346</v>
      </c>
      <c r="D29" s="121">
        <v>4680</v>
      </c>
      <c r="E29" s="115"/>
      <c r="F29" s="122"/>
    </row>
    <row r="30" spans="1:6" s="124" customFormat="1" ht="20.100000000000001" customHeight="1" x14ac:dyDescent="0.3">
      <c r="A30" s="119" t="s">
        <v>650</v>
      </c>
      <c r="B30" s="29" t="s">
        <v>681</v>
      </c>
      <c r="C30" s="120" t="s">
        <v>658</v>
      </c>
      <c r="D30" s="121">
        <v>74786.53</v>
      </c>
      <c r="E30" s="115"/>
      <c r="F30" s="122"/>
    </row>
    <row r="31" spans="1:6" s="124" customFormat="1" ht="20.100000000000001" customHeight="1" x14ac:dyDescent="0.3">
      <c r="A31" s="119" t="s">
        <v>650</v>
      </c>
      <c r="B31" s="29" t="s">
        <v>682</v>
      </c>
      <c r="C31" s="120" t="s">
        <v>683</v>
      </c>
      <c r="D31" s="121">
        <v>37500</v>
      </c>
      <c r="E31" s="115"/>
      <c r="F31" s="122"/>
    </row>
    <row r="32" spans="1:6" s="124" customFormat="1" ht="20.100000000000001" customHeight="1" x14ac:dyDescent="0.3">
      <c r="A32" s="119" t="s">
        <v>650</v>
      </c>
      <c r="B32" s="29" t="s">
        <v>659</v>
      </c>
      <c r="C32" s="120" t="s">
        <v>660</v>
      </c>
      <c r="D32" s="121">
        <v>53334.82</v>
      </c>
      <c r="E32" s="115"/>
      <c r="F32" s="122"/>
    </row>
    <row r="33" spans="1:6" s="124" customFormat="1" ht="20.100000000000001" customHeight="1" x14ac:dyDescent="0.3">
      <c r="A33" s="119" t="s">
        <v>650</v>
      </c>
      <c r="B33" s="29" t="s">
        <v>684</v>
      </c>
      <c r="C33" s="120" t="s">
        <v>685</v>
      </c>
      <c r="D33" s="121">
        <v>40001.11</v>
      </c>
      <c r="E33" s="115"/>
      <c r="F33" s="122"/>
    </row>
    <row r="34" spans="1:6" s="124" customFormat="1" ht="20.100000000000001" customHeight="1" x14ac:dyDescent="0.3">
      <c r="A34" s="19" t="s">
        <v>686</v>
      </c>
      <c r="B34" s="110" t="s">
        <v>687</v>
      </c>
      <c r="C34" s="24" t="s">
        <v>346</v>
      </c>
      <c r="D34" s="123">
        <v>4000</v>
      </c>
    </row>
    <row r="35" spans="1:6" ht="20.100000000000001" customHeight="1" x14ac:dyDescent="0.3">
      <c r="A35" s="19"/>
      <c r="B35" s="31"/>
      <c r="C35" s="24"/>
      <c r="D35" s="105"/>
    </row>
    <row r="36" spans="1:6" ht="20.100000000000001" customHeight="1" x14ac:dyDescent="0.3">
      <c r="D36" s="124"/>
    </row>
    <row r="37" spans="1:6" ht="20.100000000000001" customHeight="1" x14ac:dyDescent="0.3">
      <c r="D37" s="124"/>
    </row>
    <row r="38" spans="1:6" ht="20.100000000000001" customHeight="1" x14ac:dyDescent="0.3">
      <c r="E38" s="6"/>
    </row>
    <row r="39" spans="1:6" ht="20.100000000000001" customHeight="1" x14ac:dyDescent="0.3"/>
    <row r="40" spans="1:6" ht="20.100000000000001" customHeight="1" x14ac:dyDescent="0.3">
      <c r="E40" s="6"/>
    </row>
    <row r="41" spans="1:6" ht="20.100000000000001" customHeight="1" x14ac:dyDescent="0.3"/>
    <row r="42" spans="1:6" ht="20.100000000000001" customHeight="1" x14ac:dyDescent="0.3"/>
    <row r="43" spans="1:6" ht="20.100000000000001" customHeight="1" x14ac:dyDescent="0.3"/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4"/>
  <sheetViews>
    <sheetView workbookViewId="0"/>
  </sheetViews>
  <sheetFormatPr defaultRowHeight="14.4" x14ac:dyDescent="0.3"/>
  <cols>
    <col min="1" max="1" width="29.109375" customWidth="1"/>
    <col min="2" max="2" width="57.44140625" customWidth="1"/>
    <col min="3" max="3" width="27" customWidth="1"/>
    <col min="4" max="4" width="22.6640625" customWidth="1"/>
    <col min="5" max="5" width="22.109375" customWidth="1"/>
    <col min="6" max="6" width="8.88671875" customWidth="1"/>
  </cols>
  <sheetData>
    <row r="1" spans="1:5" ht="17.399999999999999" x14ac:dyDescent="0.3">
      <c r="A1" s="80" t="s">
        <v>688</v>
      </c>
    </row>
    <row r="2" spans="1:5" ht="23.25" customHeight="1" x14ac:dyDescent="0.3">
      <c r="A2" s="1017" t="s">
        <v>689</v>
      </c>
      <c r="B2" s="1017"/>
      <c r="D2" s="6" t="s">
        <v>619</v>
      </c>
    </row>
    <row r="3" spans="1:5" ht="15" thickBot="1" x14ac:dyDescent="0.35"/>
    <row r="4" spans="1:5" ht="15" thickBot="1" x14ac:dyDescent="0.35">
      <c r="A4" s="50">
        <v>73</v>
      </c>
      <c r="B4" s="1012" t="s">
        <v>331</v>
      </c>
      <c r="C4" s="1012"/>
      <c r="D4" s="82">
        <f>SUM(D5:D7)+D8</f>
        <v>13057399.159999998</v>
      </c>
      <c r="E4" t="s">
        <v>619</v>
      </c>
    </row>
    <row r="5" spans="1:5" x14ac:dyDescent="0.3">
      <c r="A5" s="52" t="s">
        <v>332</v>
      </c>
      <c r="B5" s="1013" t="s">
        <v>333</v>
      </c>
      <c r="C5" s="1013"/>
      <c r="D5" s="126">
        <v>0</v>
      </c>
    </row>
    <row r="6" spans="1:5" x14ac:dyDescent="0.3">
      <c r="A6" s="52" t="s">
        <v>334</v>
      </c>
      <c r="B6" s="1014" t="s">
        <v>335</v>
      </c>
      <c r="C6" s="1014"/>
      <c r="D6" s="126">
        <v>16598.810000000001</v>
      </c>
    </row>
    <row r="7" spans="1:5" ht="15" thickBot="1" x14ac:dyDescent="0.35">
      <c r="A7" s="54" t="s">
        <v>336</v>
      </c>
      <c r="B7" s="1015" t="s">
        <v>337</v>
      </c>
      <c r="C7" s="1015"/>
      <c r="D7" s="127">
        <v>0</v>
      </c>
    </row>
    <row r="8" spans="1:5" ht="47.25" customHeight="1" thickBot="1" x14ac:dyDescent="0.35">
      <c r="A8" s="128" t="s">
        <v>10</v>
      </c>
      <c r="B8" s="1016" t="s">
        <v>11</v>
      </c>
      <c r="C8" s="1016"/>
      <c r="D8" s="129">
        <f>SUM(D10:D58)</f>
        <v>13040800.349999998</v>
      </c>
    </row>
    <row r="9" spans="1:5" ht="15" thickBot="1" x14ac:dyDescent="0.35">
      <c r="A9" s="62" t="s">
        <v>5</v>
      </c>
      <c r="B9" s="63" t="s">
        <v>6</v>
      </c>
      <c r="C9" s="130" t="s">
        <v>344</v>
      </c>
      <c r="D9" s="64" t="s">
        <v>345</v>
      </c>
    </row>
    <row r="10" spans="1:5" x14ac:dyDescent="0.3">
      <c r="A10" s="131" t="s">
        <v>690</v>
      </c>
      <c r="B10" s="25" t="s">
        <v>691</v>
      </c>
      <c r="C10" s="132" t="s">
        <v>346</v>
      </c>
      <c r="D10" s="126">
        <v>304895.07</v>
      </c>
      <c r="E10" s="6"/>
    </row>
    <row r="11" spans="1:5" x14ac:dyDescent="0.3">
      <c r="A11" s="131" t="s">
        <v>346</v>
      </c>
      <c r="B11" s="25" t="s">
        <v>692</v>
      </c>
      <c r="C11" s="133" t="s">
        <v>346</v>
      </c>
      <c r="D11" s="126">
        <v>10231616.42</v>
      </c>
      <c r="E11" s="6"/>
    </row>
    <row r="12" spans="1:5" x14ac:dyDescent="0.3">
      <c r="A12" s="134" t="s">
        <v>693</v>
      </c>
      <c r="B12" s="135" t="s">
        <v>390</v>
      </c>
      <c r="C12" s="136" t="s">
        <v>346</v>
      </c>
      <c r="D12" s="137">
        <v>5792.85</v>
      </c>
      <c r="E12" s="115"/>
    </row>
    <row r="13" spans="1:5" x14ac:dyDescent="0.3">
      <c r="A13" s="131" t="s">
        <v>663</v>
      </c>
      <c r="B13" s="138" t="s">
        <v>694</v>
      </c>
      <c r="C13" s="139" t="s">
        <v>346</v>
      </c>
      <c r="D13" s="126">
        <v>2500</v>
      </c>
    </row>
    <row r="14" spans="1:5" x14ac:dyDescent="0.3">
      <c r="A14" s="131" t="s">
        <v>695</v>
      </c>
      <c r="B14" s="25" t="s">
        <v>694</v>
      </c>
      <c r="C14" s="132" t="s">
        <v>346</v>
      </c>
      <c r="D14" s="126">
        <v>248</v>
      </c>
    </row>
    <row r="15" spans="1:5" x14ac:dyDescent="0.3">
      <c r="A15" s="131" t="s">
        <v>696</v>
      </c>
      <c r="B15" s="25" t="s">
        <v>694</v>
      </c>
      <c r="C15" s="132" t="s">
        <v>346</v>
      </c>
      <c r="D15" s="126">
        <v>250</v>
      </c>
    </row>
    <row r="16" spans="1:5" x14ac:dyDescent="0.3">
      <c r="A16" s="131" t="s">
        <v>697</v>
      </c>
      <c r="B16" s="25" t="s">
        <v>694</v>
      </c>
      <c r="C16" s="132" t="s">
        <v>346</v>
      </c>
      <c r="D16" s="126">
        <v>400</v>
      </c>
    </row>
    <row r="17" spans="1:5" x14ac:dyDescent="0.3">
      <c r="A17" s="131" t="s">
        <v>698</v>
      </c>
      <c r="B17" s="25" t="s">
        <v>694</v>
      </c>
      <c r="C17" s="132" t="s">
        <v>346</v>
      </c>
      <c r="D17" s="126">
        <v>124</v>
      </c>
    </row>
    <row r="18" spans="1:5" x14ac:dyDescent="0.3">
      <c r="A18" s="131" t="s">
        <v>699</v>
      </c>
      <c r="B18" s="25" t="s">
        <v>694</v>
      </c>
      <c r="C18" s="132" t="s">
        <v>346</v>
      </c>
      <c r="D18" s="126">
        <v>372</v>
      </c>
    </row>
    <row r="19" spans="1:5" x14ac:dyDescent="0.3">
      <c r="A19" s="134" t="s">
        <v>700</v>
      </c>
      <c r="B19" s="25" t="s">
        <v>694</v>
      </c>
      <c r="C19" s="136" t="s">
        <v>346</v>
      </c>
      <c r="D19" s="137">
        <v>13234</v>
      </c>
      <c r="E19" s="124"/>
    </row>
    <row r="20" spans="1:5" x14ac:dyDescent="0.3">
      <c r="A20" s="131" t="s">
        <v>701</v>
      </c>
      <c r="B20" s="25" t="s">
        <v>694</v>
      </c>
      <c r="C20" s="133" t="s">
        <v>346</v>
      </c>
      <c r="D20" s="126">
        <v>23310</v>
      </c>
    </row>
    <row r="21" spans="1:5" x14ac:dyDescent="0.3">
      <c r="A21" s="131" t="s">
        <v>702</v>
      </c>
      <c r="B21" s="135" t="s">
        <v>703</v>
      </c>
      <c r="C21" s="140" t="s">
        <v>346</v>
      </c>
      <c r="D21" s="137">
        <v>4000</v>
      </c>
    </row>
    <row r="22" spans="1:5" x14ac:dyDescent="0.3">
      <c r="A22" s="131" t="s">
        <v>361</v>
      </c>
      <c r="B22" s="138" t="s">
        <v>704</v>
      </c>
      <c r="C22" s="141" t="s">
        <v>346</v>
      </c>
      <c r="D22" s="126">
        <v>441688.25</v>
      </c>
    </row>
    <row r="23" spans="1:5" x14ac:dyDescent="0.3">
      <c r="A23" s="131" t="s">
        <v>705</v>
      </c>
      <c r="B23" s="138" t="s">
        <v>704</v>
      </c>
      <c r="C23" s="141" t="s">
        <v>346</v>
      </c>
      <c r="D23" s="126">
        <v>21500</v>
      </c>
    </row>
    <row r="24" spans="1:5" x14ac:dyDescent="0.3">
      <c r="A24" s="131" t="s">
        <v>706</v>
      </c>
      <c r="B24" s="25" t="s">
        <v>704</v>
      </c>
      <c r="C24" s="132" t="s">
        <v>346</v>
      </c>
      <c r="D24" s="126">
        <v>28904.66</v>
      </c>
    </row>
    <row r="25" spans="1:5" x14ac:dyDescent="0.3">
      <c r="A25" s="134" t="s">
        <v>707</v>
      </c>
      <c r="B25" s="136" t="s">
        <v>694</v>
      </c>
      <c r="C25" s="139" t="s">
        <v>346</v>
      </c>
      <c r="D25" s="137">
        <v>4916.67</v>
      </c>
      <c r="E25" s="115"/>
    </row>
    <row r="26" spans="1:5" x14ac:dyDescent="0.3">
      <c r="A26" s="131" t="s">
        <v>708</v>
      </c>
      <c r="B26" s="25" t="s">
        <v>694</v>
      </c>
      <c r="C26" s="136" t="s">
        <v>346</v>
      </c>
      <c r="D26" s="126">
        <v>3500</v>
      </c>
    </row>
    <row r="27" spans="1:5" x14ac:dyDescent="0.3">
      <c r="A27" s="142" t="s">
        <v>709</v>
      </c>
      <c r="B27" s="25" t="s">
        <v>694</v>
      </c>
      <c r="C27" s="143" t="s">
        <v>346</v>
      </c>
      <c r="D27" s="137">
        <v>5000</v>
      </c>
    </row>
    <row r="28" spans="1:5" x14ac:dyDescent="0.3">
      <c r="A28" s="144" t="s">
        <v>710</v>
      </c>
      <c r="B28" s="21" t="s">
        <v>694</v>
      </c>
      <c r="C28" s="133" t="s">
        <v>346</v>
      </c>
      <c r="D28" s="145">
        <v>44043.85</v>
      </c>
    </row>
    <row r="29" spans="1:5" x14ac:dyDescent="0.3">
      <c r="A29" s="134" t="s">
        <v>711</v>
      </c>
      <c r="B29" s="136" t="s">
        <v>712</v>
      </c>
      <c r="C29" s="143" t="s">
        <v>346</v>
      </c>
      <c r="D29" s="126">
        <v>11489.63</v>
      </c>
    </row>
    <row r="30" spans="1:5" x14ac:dyDescent="0.3">
      <c r="A30" s="131" t="s">
        <v>346</v>
      </c>
      <c r="B30" s="136" t="s">
        <v>713</v>
      </c>
      <c r="C30" s="136" t="s">
        <v>346</v>
      </c>
      <c r="D30" s="126">
        <v>2900</v>
      </c>
    </row>
    <row r="31" spans="1:5" x14ac:dyDescent="0.3">
      <c r="A31" s="131" t="s">
        <v>714</v>
      </c>
      <c r="B31" s="21" t="s">
        <v>694</v>
      </c>
      <c r="C31" s="146" t="s">
        <v>346</v>
      </c>
      <c r="D31" s="126">
        <v>19139.5</v>
      </c>
    </row>
    <row r="32" spans="1:5" x14ac:dyDescent="0.3">
      <c r="A32" s="144" t="s">
        <v>715</v>
      </c>
      <c r="B32" s="21" t="s">
        <v>694</v>
      </c>
      <c r="C32" s="147" t="s">
        <v>346</v>
      </c>
      <c r="D32" s="145">
        <v>41982.87</v>
      </c>
    </row>
    <row r="33" spans="1:5" x14ac:dyDescent="0.3">
      <c r="A33" s="131" t="s">
        <v>346</v>
      </c>
      <c r="B33" s="25" t="s">
        <v>716</v>
      </c>
      <c r="C33" s="138" t="s">
        <v>717</v>
      </c>
      <c r="D33" s="126">
        <v>547398.53</v>
      </c>
    </row>
    <row r="34" spans="1:5" x14ac:dyDescent="0.3">
      <c r="A34" s="131" t="s">
        <v>346</v>
      </c>
      <c r="B34" s="25" t="s">
        <v>718</v>
      </c>
      <c r="C34" s="138" t="s">
        <v>719</v>
      </c>
      <c r="D34" s="126">
        <f>61112.81+44445.68</f>
        <v>105558.48999999999</v>
      </c>
    </row>
    <row r="35" spans="1:5" x14ac:dyDescent="0.3">
      <c r="A35" s="131" t="s">
        <v>346</v>
      </c>
      <c r="B35" s="25" t="s">
        <v>720</v>
      </c>
      <c r="C35" s="140" t="s">
        <v>402</v>
      </c>
      <c r="D35" s="126">
        <v>244231.73</v>
      </c>
    </row>
    <row r="36" spans="1:5" x14ac:dyDescent="0.3">
      <c r="A36" s="131" t="s">
        <v>346</v>
      </c>
      <c r="B36" s="138" t="s">
        <v>721</v>
      </c>
      <c r="C36" s="139" t="s">
        <v>722</v>
      </c>
      <c r="D36" s="126">
        <v>160066.75</v>
      </c>
      <c r="E36" s="124"/>
    </row>
    <row r="37" spans="1:5" x14ac:dyDescent="0.3">
      <c r="A37" s="144" t="s">
        <v>346</v>
      </c>
      <c r="B37" s="21" t="s">
        <v>723</v>
      </c>
      <c r="C37" s="147" t="s">
        <v>724</v>
      </c>
      <c r="D37" s="145">
        <v>33334.26</v>
      </c>
    </row>
    <row r="38" spans="1:5" x14ac:dyDescent="0.3">
      <c r="A38" s="131" t="s">
        <v>346</v>
      </c>
      <c r="B38" s="138" t="s">
        <v>725</v>
      </c>
      <c r="C38" s="139" t="s">
        <v>726</v>
      </c>
      <c r="D38" s="126">
        <f>46668.06/12*8</f>
        <v>31112.039999999997</v>
      </c>
      <c r="E38" s="148"/>
    </row>
    <row r="39" spans="1:5" x14ac:dyDescent="0.3">
      <c r="A39" s="131" t="s">
        <v>727</v>
      </c>
      <c r="B39" s="138" t="s">
        <v>728</v>
      </c>
      <c r="C39" s="149" t="s">
        <v>729</v>
      </c>
      <c r="D39" s="126">
        <v>45575</v>
      </c>
    </row>
    <row r="40" spans="1:5" x14ac:dyDescent="0.3">
      <c r="A40" s="131" t="s">
        <v>730</v>
      </c>
      <c r="B40" s="138" t="s">
        <v>731</v>
      </c>
      <c r="C40" s="149" t="s">
        <v>730</v>
      </c>
      <c r="D40" s="126">
        <v>29612</v>
      </c>
    </row>
    <row r="41" spans="1:5" x14ac:dyDescent="0.3">
      <c r="A41" s="131" t="s">
        <v>732</v>
      </c>
      <c r="B41" s="25" t="s">
        <v>733</v>
      </c>
      <c r="C41" s="25" t="s">
        <v>733</v>
      </c>
      <c r="D41" s="126">
        <v>177808.95</v>
      </c>
      <c r="E41" s="124"/>
    </row>
    <row r="42" spans="1:5" ht="15" customHeight="1" x14ac:dyDescent="0.3">
      <c r="A42" s="131" t="s">
        <v>734</v>
      </c>
      <c r="B42" s="138" t="s">
        <v>735</v>
      </c>
      <c r="C42" s="149" t="s">
        <v>736</v>
      </c>
      <c r="D42" s="126">
        <v>13144.75</v>
      </c>
    </row>
    <row r="43" spans="1:5" x14ac:dyDescent="0.3">
      <c r="A43" s="144" t="s">
        <v>736</v>
      </c>
      <c r="B43" s="21" t="s">
        <v>737</v>
      </c>
      <c r="C43" s="150" t="s">
        <v>736</v>
      </c>
      <c r="D43" s="145">
        <v>50000</v>
      </c>
    </row>
    <row r="44" spans="1:5" x14ac:dyDescent="0.3">
      <c r="A44" s="131" t="s">
        <v>738</v>
      </c>
      <c r="B44" s="25" t="s">
        <v>739</v>
      </c>
      <c r="C44" s="136" t="s">
        <v>738</v>
      </c>
      <c r="D44" s="126">
        <v>10000</v>
      </c>
    </row>
    <row r="45" spans="1:5" x14ac:dyDescent="0.3">
      <c r="A45" s="144" t="s">
        <v>740</v>
      </c>
      <c r="B45" s="21" t="s">
        <v>741</v>
      </c>
      <c r="C45" s="133" t="s">
        <v>740</v>
      </c>
      <c r="D45" s="145">
        <v>30346.6</v>
      </c>
    </row>
    <row r="46" spans="1:5" x14ac:dyDescent="0.3">
      <c r="A46" s="131" t="s">
        <v>742</v>
      </c>
      <c r="B46" s="138" t="s">
        <v>743</v>
      </c>
      <c r="C46" s="139" t="s">
        <v>744</v>
      </c>
      <c r="D46" s="126">
        <v>8325.43</v>
      </c>
      <c r="E46" s="124"/>
    </row>
    <row r="47" spans="1:5" x14ac:dyDescent="0.3">
      <c r="A47" s="134" t="s">
        <v>707</v>
      </c>
      <c r="B47" s="136" t="s">
        <v>745</v>
      </c>
      <c r="C47" s="143" t="s">
        <v>707</v>
      </c>
      <c r="D47" s="137">
        <f>2916.67+5833.33</f>
        <v>8750</v>
      </c>
      <c r="E47" s="115"/>
    </row>
    <row r="48" spans="1:5" x14ac:dyDescent="0.3">
      <c r="A48" s="134" t="s">
        <v>746</v>
      </c>
      <c r="B48" s="136" t="s">
        <v>747</v>
      </c>
      <c r="C48" s="151" t="s">
        <v>748</v>
      </c>
      <c r="D48" s="137">
        <v>40222.82</v>
      </c>
    </row>
    <row r="49" spans="1:5" x14ac:dyDescent="0.3">
      <c r="A49" s="134" t="s">
        <v>749</v>
      </c>
      <c r="B49" s="152" t="s">
        <v>750</v>
      </c>
      <c r="C49" s="153" t="s">
        <v>749</v>
      </c>
      <c r="D49" s="137">
        <v>45506.64</v>
      </c>
    </row>
    <row r="50" spans="1:5" x14ac:dyDescent="0.3">
      <c r="A50" s="20" t="s">
        <v>751</v>
      </c>
      <c r="B50" s="154" t="s">
        <v>752</v>
      </c>
      <c r="C50" s="149" t="s">
        <v>753</v>
      </c>
      <c r="D50" s="126">
        <v>66325.41</v>
      </c>
    </row>
    <row r="51" spans="1:5" x14ac:dyDescent="0.3">
      <c r="A51" s="131" t="s">
        <v>754</v>
      </c>
      <c r="B51" s="25" t="s">
        <v>755</v>
      </c>
      <c r="C51" s="138" t="s">
        <v>754</v>
      </c>
      <c r="D51" s="126">
        <v>36438.160000000003</v>
      </c>
    </row>
    <row r="52" spans="1:5" x14ac:dyDescent="0.3">
      <c r="A52" s="131" t="s">
        <v>708</v>
      </c>
      <c r="B52" s="138" t="s">
        <v>756</v>
      </c>
      <c r="C52" s="146" t="s">
        <v>757</v>
      </c>
      <c r="D52" s="126">
        <v>56283.61</v>
      </c>
    </row>
    <row r="53" spans="1:5" x14ac:dyDescent="0.3">
      <c r="A53" s="131" t="s">
        <v>758</v>
      </c>
      <c r="B53" s="138" t="s">
        <v>759</v>
      </c>
      <c r="C53" s="155" t="s">
        <v>758</v>
      </c>
      <c r="D53" s="126">
        <v>4000</v>
      </c>
      <c r="E53" s="124"/>
    </row>
    <row r="54" spans="1:5" x14ac:dyDescent="0.3">
      <c r="A54" s="131" t="s">
        <v>760</v>
      </c>
      <c r="B54" s="138" t="s">
        <v>761</v>
      </c>
      <c r="C54" s="149" t="s">
        <v>760</v>
      </c>
      <c r="D54" s="126">
        <v>10000</v>
      </c>
      <c r="E54" s="148"/>
    </row>
    <row r="55" spans="1:5" ht="14.25" customHeight="1" x14ac:dyDescent="0.3">
      <c r="A55" s="142" t="s">
        <v>762</v>
      </c>
      <c r="B55" s="138" t="s">
        <v>763</v>
      </c>
      <c r="C55" s="136" t="s">
        <v>764</v>
      </c>
      <c r="D55" s="137">
        <v>28562.86</v>
      </c>
    </row>
    <row r="56" spans="1:5" ht="14.25" customHeight="1" x14ac:dyDescent="0.3">
      <c r="A56" s="142" t="s">
        <v>765</v>
      </c>
      <c r="B56" s="138" t="s">
        <v>763</v>
      </c>
      <c r="C56" s="136" t="s">
        <v>766</v>
      </c>
      <c r="D56" s="137">
        <v>24558.639999999999</v>
      </c>
    </row>
    <row r="57" spans="1:5" ht="14.25" customHeight="1" x14ac:dyDescent="0.3">
      <c r="A57" s="142" t="s">
        <v>767</v>
      </c>
      <c r="B57" s="138" t="s">
        <v>763</v>
      </c>
      <c r="C57" s="136" t="s">
        <v>768</v>
      </c>
      <c r="D57" s="137">
        <v>13643.69</v>
      </c>
    </row>
    <row r="58" spans="1:5" s="124" customFormat="1" ht="14.25" customHeight="1" x14ac:dyDescent="0.3">
      <c r="A58" s="142" t="s">
        <v>710</v>
      </c>
      <c r="B58" s="138" t="s">
        <v>763</v>
      </c>
      <c r="C58" s="140" t="s">
        <v>769</v>
      </c>
      <c r="D58" s="137">
        <v>8186.22</v>
      </c>
      <c r="E58"/>
    </row>
    <row r="59" spans="1:5" ht="14.25" customHeight="1" x14ac:dyDescent="0.3"/>
    <row r="70" spans="4:4" x14ac:dyDescent="0.3">
      <c r="D70" s="6"/>
    </row>
    <row r="71" spans="4:4" x14ac:dyDescent="0.3">
      <c r="D71" s="6"/>
    </row>
    <row r="72" spans="4:4" x14ac:dyDescent="0.3">
      <c r="D72" s="6"/>
    </row>
    <row r="74" spans="4:4" x14ac:dyDescent="0.3">
      <c r="D74" s="6"/>
    </row>
  </sheetData>
  <mergeCells count="6">
    <mergeCell ref="B8:C8"/>
    <mergeCell ref="A2:B2"/>
    <mergeCell ref="B4:C4"/>
    <mergeCell ref="B5:C5"/>
    <mergeCell ref="B6:C6"/>
    <mergeCell ref="B7:C7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2"/>
  <sheetViews>
    <sheetView workbookViewId="0"/>
  </sheetViews>
  <sheetFormatPr defaultRowHeight="14.4" x14ac:dyDescent="0.3"/>
  <cols>
    <col min="1" max="1" width="29.109375" customWidth="1"/>
    <col min="2" max="2" width="57.44140625" customWidth="1"/>
    <col min="3" max="3" width="27" customWidth="1"/>
    <col min="4" max="4" width="22.6640625" customWidth="1"/>
    <col min="5" max="5" width="22.109375" customWidth="1"/>
    <col min="6" max="6" width="8.88671875" customWidth="1"/>
  </cols>
  <sheetData>
    <row r="1" spans="1:5" ht="17.399999999999999" x14ac:dyDescent="0.3">
      <c r="A1" s="80" t="s">
        <v>770</v>
      </c>
    </row>
    <row r="2" spans="1:5" ht="23.25" customHeight="1" x14ac:dyDescent="0.3">
      <c r="A2" s="1017" t="s">
        <v>689</v>
      </c>
      <c r="B2" s="1017"/>
      <c r="D2" s="6" t="s">
        <v>619</v>
      </c>
    </row>
    <row r="3" spans="1:5" ht="15" thickBot="1" x14ac:dyDescent="0.35"/>
    <row r="4" spans="1:5" ht="15" thickBot="1" x14ac:dyDescent="0.35">
      <c r="A4" s="50">
        <v>73</v>
      </c>
      <c r="B4" s="1012" t="s">
        <v>331</v>
      </c>
      <c r="C4" s="1012"/>
      <c r="D4" s="82">
        <f>SUM(D5:D7)+D8</f>
        <v>13892282.659999998</v>
      </c>
      <c r="E4" t="s">
        <v>619</v>
      </c>
    </row>
    <row r="5" spans="1:5" x14ac:dyDescent="0.3">
      <c r="A5" s="52" t="s">
        <v>332</v>
      </c>
      <c r="B5" s="1013" t="s">
        <v>333</v>
      </c>
      <c r="C5" s="1013"/>
      <c r="D5" s="126">
        <v>0</v>
      </c>
    </row>
    <row r="6" spans="1:5" x14ac:dyDescent="0.3">
      <c r="A6" s="52" t="s">
        <v>334</v>
      </c>
      <c r="B6" s="1014" t="s">
        <v>335</v>
      </c>
      <c r="C6" s="1014"/>
      <c r="D6" s="126">
        <v>972.45</v>
      </c>
    </row>
    <row r="7" spans="1:5" ht="15" thickBot="1" x14ac:dyDescent="0.35">
      <c r="A7" s="54" t="s">
        <v>336</v>
      </c>
      <c r="B7" s="1015" t="s">
        <v>337</v>
      </c>
      <c r="C7" s="1015"/>
      <c r="D7" s="127">
        <v>0</v>
      </c>
    </row>
    <row r="8" spans="1:5" ht="47.25" customHeight="1" thickBot="1" x14ac:dyDescent="0.35">
      <c r="A8" s="128" t="s">
        <v>10</v>
      </c>
      <c r="B8" s="1016" t="s">
        <v>11</v>
      </c>
      <c r="C8" s="1016"/>
      <c r="D8" s="129">
        <f>SUM(D10:D71)</f>
        <v>13891310.209999999</v>
      </c>
    </row>
    <row r="9" spans="1:5" ht="15" thickBot="1" x14ac:dyDescent="0.35">
      <c r="A9" s="62" t="s">
        <v>5</v>
      </c>
      <c r="B9" s="63" t="s">
        <v>6</v>
      </c>
      <c r="C9" s="130" t="s">
        <v>344</v>
      </c>
      <c r="D9" s="64" t="s">
        <v>345</v>
      </c>
    </row>
    <row r="10" spans="1:5" x14ac:dyDescent="0.3">
      <c r="A10" s="131" t="s">
        <v>690</v>
      </c>
      <c r="B10" s="25" t="s">
        <v>691</v>
      </c>
      <c r="C10" s="132" t="s">
        <v>346</v>
      </c>
      <c r="D10" s="126">
        <v>304948.90999999997</v>
      </c>
      <c r="E10" s="6"/>
    </row>
    <row r="11" spans="1:5" x14ac:dyDescent="0.3">
      <c r="A11" s="131" t="s">
        <v>346</v>
      </c>
      <c r="B11" s="25" t="s">
        <v>771</v>
      </c>
      <c r="C11" s="133" t="s">
        <v>346</v>
      </c>
      <c r="D11" s="126">
        <v>11099884.82</v>
      </c>
      <c r="E11" s="6"/>
    </row>
    <row r="12" spans="1:5" x14ac:dyDescent="0.3">
      <c r="A12" s="131" t="s">
        <v>346</v>
      </c>
      <c r="B12" s="25" t="s">
        <v>772</v>
      </c>
      <c r="C12" s="133" t="s">
        <v>346</v>
      </c>
      <c r="D12" s="126">
        <v>94000</v>
      </c>
      <c r="E12" s="6"/>
    </row>
    <row r="13" spans="1:5" x14ac:dyDescent="0.3">
      <c r="A13" s="134" t="s">
        <v>693</v>
      </c>
      <c r="B13" s="135" t="s">
        <v>390</v>
      </c>
      <c r="C13" s="136" t="s">
        <v>346</v>
      </c>
      <c r="D13" s="137">
        <v>12654.33</v>
      </c>
      <c r="E13" s="115"/>
    </row>
    <row r="14" spans="1:5" x14ac:dyDescent="0.3">
      <c r="A14" s="131" t="s">
        <v>695</v>
      </c>
      <c r="B14" s="25" t="s">
        <v>694</v>
      </c>
      <c r="C14" s="132" t="s">
        <v>346</v>
      </c>
      <c r="D14" s="126">
        <v>248</v>
      </c>
    </row>
    <row r="15" spans="1:5" x14ac:dyDescent="0.3">
      <c r="A15" s="131" t="s">
        <v>696</v>
      </c>
      <c r="B15" s="25" t="s">
        <v>694</v>
      </c>
      <c r="C15" s="132" t="s">
        <v>346</v>
      </c>
      <c r="D15" s="126">
        <v>250</v>
      </c>
    </row>
    <row r="16" spans="1:5" x14ac:dyDescent="0.3">
      <c r="A16" s="131" t="s">
        <v>697</v>
      </c>
      <c r="B16" s="25" t="s">
        <v>694</v>
      </c>
      <c r="C16" s="132" t="s">
        <v>346</v>
      </c>
      <c r="D16" s="126">
        <v>400</v>
      </c>
    </row>
    <row r="17" spans="1:5" x14ac:dyDescent="0.3">
      <c r="A17" s="131" t="s">
        <v>699</v>
      </c>
      <c r="B17" s="25" t="s">
        <v>694</v>
      </c>
      <c r="C17" s="132" t="s">
        <v>346</v>
      </c>
      <c r="D17" s="126">
        <v>372</v>
      </c>
    </row>
    <row r="18" spans="1:5" x14ac:dyDescent="0.3">
      <c r="A18" s="131" t="s">
        <v>701</v>
      </c>
      <c r="B18" s="25" t="s">
        <v>694</v>
      </c>
      <c r="C18" s="133" t="s">
        <v>346</v>
      </c>
      <c r="D18" s="126">
        <v>23310</v>
      </c>
    </row>
    <row r="19" spans="1:5" x14ac:dyDescent="0.3">
      <c r="A19" s="131" t="s">
        <v>702</v>
      </c>
      <c r="B19" s="135" t="s">
        <v>703</v>
      </c>
      <c r="C19" s="140" t="s">
        <v>346</v>
      </c>
      <c r="D19" s="137">
        <v>700</v>
      </c>
    </row>
    <row r="20" spans="1:5" x14ac:dyDescent="0.3">
      <c r="A20" s="131" t="s">
        <v>361</v>
      </c>
      <c r="B20" s="138" t="s">
        <v>704</v>
      </c>
      <c r="C20" s="141" t="s">
        <v>346</v>
      </c>
      <c r="D20" s="126">
        <v>539613.23</v>
      </c>
    </row>
    <row r="21" spans="1:5" x14ac:dyDescent="0.3">
      <c r="A21" s="131" t="s">
        <v>705</v>
      </c>
      <c r="B21" s="138" t="s">
        <v>704</v>
      </c>
      <c r="C21" s="141" t="s">
        <v>346</v>
      </c>
      <c r="D21" s="126">
        <v>21750</v>
      </c>
    </row>
    <row r="22" spans="1:5" x14ac:dyDescent="0.3">
      <c r="A22" s="131" t="s">
        <v>706</v>
      </c>
      <c r="B22" s="25" t="s">
        <v>704</v>
      </c>
      <c r="C22" s="132" t="s">
        <v>346</v>
      </c>
      <c r="D22" s="126">
        <v>35942.61</v>
      </c>
    </row>
    <row r="23" spans="1:5" x14ac:dyDescent="0.3">
      <c r="A23" s="142" t="s">
        <v>58</v>
      </c>
      <c r="B23" s="25" t="s">
        <v>773</v>
      </c>
      <c r="C23" s="143" t="s">
        <v>58</v>
      </c>
      <c r="D23" s="137">
        <v>5040</v>
      </c>
    </row>
    <row r="24" spans="1:5" x14ac:dyDescent="0.3">
      <c r="A24" s="131" t="s">
        <v>346</v>
      </c>
      <c r="B24" s="136" t="s">
        <v>713</v>
      </c>
      <c r="C24" s="136" t="s">
        <v>346</v>
      </c>
      <c r="D24" s="126">
        <v>12769.24</v>
      </c>
    </row>
    <row r="25" spans="1:5" x14ac:dyDescent="0.3">
      <c r="A25" s="144" t="s">
        <v>774</v>
      </c>
      <c r="B25" s="21" t="s">
        <v>694</v>
      </c>
      <c r="C25" s="144" t="s">
        <v>774</v>
      </c>
      <c r="D25" s="145">
        <v>48623.19</v>
      </c>
    </row>
    <row r="26" spans="1:5" x14ac:dyDescent="0.3">
      <c r="A26" s="131" t="s">
        <v>346</v>
      </c>
      <c r="B26" s="25" t="s">
        <v>718</v>
      </c>
      <c r="C26" s="138" t="s">
        <v>719</v>
      </c>
      <c r="D26" s="126">
        <f>73335.37+53334.82</f>
        <v>126670.19</v>
      </c>
    </row>
    <row r="27" spans="1:5" x14ac:dyDescent="0.3">
      <c r="A27" s="131" t="s">
        <v>346</v>
      </c>
      <c r="B27" s="138" t="s">
        <v>721</v>
      </c>
      <c r="C27" s="139" t="s">
        <v>722</v>
      </c>
      <c r="D27" s="126">
        <v>164987.03</v>
      </c>
      <c r="E27" s="124"/>
    </row>
    <row r="28" spans="1:5" x14ac:dyDescent="0.3">
      <c r="A28" s="144" t="s">
        <v>346</v>
      </c>
      <c r="B28" s="21" t="s">
        <v>723</v>
      </c>
      <c r="C28" s="147" t="s">
        <v>724</v>
      </c>
      <c r="D28" s="145">
        <v>40001.11</v>
      </c>
    </row>
    <row r="29" spans="1:5" x14ac:dyDescent="0.3">
      <c r="A29" s="134" t="s">
        <v>707</v>
      </c>
      <c r="B29" s="136" t="s">
        <v>775</v>
      </c>
      <c r="C29" s="143" t="s">
        <v>707</v>
      </c>
      <c r="D29" s="137">
        <v>3653</v>
      </c>
    </row>
    <row r="30" spans="1:5" x14ac:dyDescent="0.3">
      <c r="A30" s="131" t="s">
        <v>346</v>
      </c>
      <c r="B30" s="138" t="s">
        <v>725</v>
      </c>
      <c r="C30" s="139" t="s">
        <v>726</v>
      </c>
      <c r="D30" s="126">
        <f>46668.06/12*4+32035.42</f>
        <v>47591.439999999995</v>
      </c>
      <c r="E30" s="148"/>
    </row>
    <row r="31" spans="1:5" x14ac:dyDescent="0.3">
      <c r="A31" s="131" t="s">
        <v>346</v>
      </c>
      <c r="B31" s="138" t="s">
        <v>776</v>
      </c>
      <c r="C31" s="156" t="s">
        <v>777</v>
      </c>
      <c r="D31" s="126">
        <v>134000</v>
      </c>
      <c r="E31" s="148"/>
    </row>
    <row r="32" spans="1:5" x14ac:dyDescent="0.3">
      <c r="A32" s="131" t="s">
        <v>727</v>
      </c>
      <c r="B32" s="138" t="s">
        <v>728</v>
      </c>
      <c r="C32" s="149" t="s">
        <v>729</v>
      </c>
      <c r="D32" s="126">
        <v>49121.13</v>
      </c>
    </row>
    <row r="33" spans="1:5" x14ac:dyDescent="0.3">
      <c r="A33" s="131" t="s">
        <v>730</v>
      </c>
      <c r="B33" s="138" t="s">
        <v>731</v>
      </c>
      <c r="C33" s="149" t="s">
        <v>730</v>
      </c>
      <c r="D33" s="126">
        <v>32956.97</v>
      </c>
    </row>
    <row r="34" spans="1:5" x14ac:dyDescent="0.3">
      <c r="A34" s="131" t="s">
        <v>732</v>
      </c>
      <c r="B34" s="25" t="s">
        <v>733</v>
      </c>
      <c r="C34" s="25" t="s">
        <v>733</v>
      </c>
      <c r="D34" s="126">
        <v>157819.41</v>
      </c>
      <c r="E34" s="124"/>
    </row>
    <row r="35" spans="1:5" ht="15" customHeight="1" x14ac:dyDescent="0.3">
      <c r="A35" s="131" t="s">
        <v>734</v>
      </c>
      <c r="B35" s="138" t="s">
        <v>735</v>
      </c>
      <c r="C35" s="149" t="s">
        <v>736</v>
      </c>
      <c r="D35" s="126">
        <v>19087.97</v>
      </c>
    </row>
    <row r="36" spans="1:5" x14ac:dyDescent="0.3">
      <c r="A36" s="144" t="s">
        <v>736</v>
      </c>
      <c r="B36" s="21" t="s">
        <v>737</v>
      </c>
      <c r="C36" s="150" t="s">
        <v>736</v>
      </c>
      <c r="D36" s="145">
        <v>50000</v>
      </c>
    </row>
    <row r="37" spans="1:5" x14ac:dyDescent="0.3">
      <c r="A37" s="131" t="s">
        <v>738</v>
      </c>
      <c r="B37" s="25" t="s">
        <v>739</v>
      </c>
      <c r="C37" s="136" t="s">
        <v>738</v>
      </c>
      <c r="D37" s="126">
        <v>10555</v>
      </c>
    </row>
    <row r="38" spans="1:5" x14ac:dyDescent="0.3">
      <c r="A38" s="144" t="s">
        <v>740</v>
      </c>
      <c r="B38" s="21" t="s">
        <v>741</v>
      </c>
      <c r="C38" s="133" t="s">
        <v>740</v>
      </c>
      <c r="D38" s="145">
        <v>30864.959999999999</v>
      </c>
    </row>
    <row r="39" spans="1:5" x14ac:dyDescent="0.3">
      <c r="A39" s="131" t="s">
        <v>742</v>
      </c>
      <c r="B39" s="138" t="s">
        <v>743</v>
      </c>
      <c r="C39" s="139" t="s">
        <v>744</v>
      </c>
      <c r="D39" s="126">
        <v>26280.23</v>
      </c>
      <c r="E39" s="124"/>
    </row>
    <row r="40" spans="1:5" x14ac:dyDescent="0.3">
      <c r="A40" s="134" t="s">
        <v>707</v>
      </c>
      <c r="B40" s="136" t="s">
        <v>745</v>
      </c>
      <c r="C40" s="143" t="s">
        <v>707</v>
      </c>
      <c r="D40" s="137">
        <v>5000</v>
      </c>
      <c r="E40" s="115"/>
    </row>
    <row r="41" spans="1:5" x14ac:dyDescent="0.3">
      <c r="A41" s="134" t="s">
        <v>707</v>
      </c>
      <c r="B41" s="136" t="s">
        <v>778</v>
      </c>
      <c r="C41" s="143" t="s">
        <v>707</v>
      </c>
      <c r="D41" s="137">
        <v>4583.33</v>
      </c>
      <c r="E41" s="115"/>
    </row>
    <row r="42" spans="1:5" x14ac:dyDescent="0.3">
      <c r="A42" s="134" t="s">
        <v>746</v>
      </c>
      <c r="B42" s="136" t="s">
        <v>747</v>
      </c>
      <c r="C42" s="151" t="s">
        <v>748</v>
      </c>
      <c r="D42" s="137">
        <v>42450.25</v>
      </c>
    </row>
    <row r="43" spans="1:5" x14ac:dyDescent="0.3">
      <c r="A43" s="134" t="s">
        <v>749</v>
      </c>
      <c r="B43" s="152" t="s">
        <v>750</v>
      </c>
      <c r="C43" s="153" t="s">
        <v>749</v>
      </c>
      <c r="D43" s="137">
        <v>46416.77</v>
      </c>
    </row>
    <row r="44" spans="1:5" x14ac:dyDescent="0.3">
      <c r="A44" s="20" t="s">
        <v>751</v>
      </c>
      <c r="B44" s="154" t="s">
        <v>752</v>
      </c>
      <c r="C44" s="149" t="s">
        <v>753</v>
      </c>
      <c r="D44" s="126">
        <v>62896.87</v>
      </c>
    </row>
    <row r="45" spans="1:5" x14ac:dyDescent="0.3">
      <c r="A45" s="131" t="s">
        <v>754</v>
      </c>
      <c r="B45" s="25" t="s">
        <v>755</v>
      </c>
      <c r="C45" s="138" t="s">
        <v>754</v>
      </c>
      <c r="D45" s="126">
        <v>58715.37</v>
      </c>
    </row>
    <row r="46" spans="1:5" x14ac:dyDescent="0.3">
      <c r="A46" s="131" t="s">
        <v>708</v>
      </c>
      <c r="B46" s="138" t="s">
        <v>756</v>
      </c>
      <c r="C46" s="146" t="s">
        <v>757</v>
      </c>
      <c r="D46" s="126">
        <v>167313.82</v>
      </c>
    </row>
    <row r="47" spans="1:5" x14ac:dyDescent="0.3">
      <c r="A47" s="131" t="s">
        <v>758</v>
      </c>
      <c r="B47" s="138" t="s">
        <v>759</v>
      </c>
      <c r="C47" s="155" t="s">
        <v>758</v>
      </c>
      <c r="D47" s="126">
        <v>47692.3</v>
      </c>
      <c r="E47" s="124"/>
    </row>
    <row r="48" spans="1:5" x14ac:dyDescent="0.3">
      <c r="A48" s="131" t="s">
        <v>760</v>
      </c>
      <c r="B48" s="138" t="s">
        <v>761</v>
      </c>
      <c r="C48" s="149" t="s">
        <v>760</v>
      </c>
      <c r="D48" s="126">
        <v>30000</v>
      </c>
      <c r="E48" s="148"/>
    </row>
    <row r="49" spans="1:5" ht="14.25" customHeight="1" x14ac:dyDescent="0.3">
      <c r="A49" s="142" t="s">
        <v>762</v>
      </c>
      <c r="B49" s="138" t="s">
        <v>763</v>
      </c>
      <c r="C49" s="136" t="s">
        <v>764</v>
      </c>
      <c r="D49" s="137">
        <v>17809.96</v>
      </c>
    </row>
    <row r="50" spans="1:5" ht="14.25" customHeight="1" x14ac:dyDescent="0.3">
      <c r="A50" s="142" t="s">
        <v>765</v>
      </c>
      <c r="B50" s="138" t="s">
        <v>763</v>
      </c>
      <c r="C50" s="136" t="s">
        <v>766</v>
      </c>
      <c r="D50" s="137">
        <v>16811.43</v>
      </c>
    </row>
    <row r="51" spans="1:5" ht="14.25" customHeight="1" x14ac:dyDescent="0.3">
      <c r="A51" s="142" t="s">
        <v>767</v>
      </c>
      <c r="B51" s="138" t="s">
        <v>763</v>
      </c>
      <c r="C51" s="136" t="s">
        <v>768</v>
      </c>
      <c r="D51" s="137">
        <v>14709.44</v>
      </c>
    </row>
    <row r="52" spans="1:5" s="124" customFormat="1" ht="14.25" customHeight="1" x14ac:dyDescent="0.3">
      <c r="A52" s="142" t="s">
        <v>710</v>
      </c>
      <c r="B52" s="138" t="s">
        <v>763</v>
      </c>
      <c r="C52" s="140" t="s">
        <v>769</v>
      </c>
      <c r="D52" s="137">
        <v>14588.42</v>
      </c>
      <c r="E52"/>
    </row>
    <row r="53" spans="1:5" s="124" customFormat="1" ht="14.25" customHeight="1" x14ac:dyDescent="0.3">
      <c r="A53" s="142" t="s">
        <v>779</v>
      </c>
      <c r="B53" s="138" t="s">
        <v>763</v>
      </c>
      <c r="C53" s="140" t="s">
        <v>780</v>
      </c>
      <c r="D53" s="137">
        <v>7790</v>
      </c>
      <c r="E53"/>
    </row>
    <row r="54" spans="1:5" s="124" customFormat="1" ht="14.25" customHeight="1" x14ac:dyDescent="0.3">
      <c r="A54" s="142" t="s">
        <v>740</v>
      </c>
      <c r="B54" s="138" t="s">
        <v>763</v>
      </c>
      <c r="C54" s="140" t="s">
        <v>781</v>
      </c>
      <c r="D54" s="137">
        <v>16372.43</v>
      </c>
      <c r="E54"/>
    </row>
    <row r="55" spans="1:5" s="124" customFormat="1" ht="14.25" customHeight="1" x14ac:dyDescent="0.3">
      <c r="A55" s="142" t="s">
        <v>782</v>
      </c>
      <c r="B55" s="138" t="s">
        <v>763</v>
      </c>
      <c r="C55" s="140" t="s">
        <v>783</v>
      </c>
      <c r="D55" s="137">
        <v>16372.43</v>
      </c>
      <c r="E55"/>
    </row>
    <row r="56" spans="1:5" s="124" customFormat="1" ht="14.25" customHeight="1" x14ac:dyDescent="0.3">
      <c r="A56" s="142" t="s">
        <v>708</v>
      </c>
      <c r="B56" s="138" t="s">
        <v>784</v>
      </c>
      <c r="C56" s="140" t="s">
        <v>785</v>
      </c>
      <c r="D56" s="137">
        <v>3500</v>
      </c>
      <c r="E56"/>
    </row>
    <row r="57" spans="1:5" s="124" customFormat="1" ht="27" x14ac:dyDescent="0.3">
      <c r="A57" s="131" t="s">
        <v>346</v>
      </c>
      <c r="B57" s="138" t="s">
        <v>786</v>
      </c>
      <c r="C57" s="157" t="s">
        <v>787</v>
      </c>
      <c r="D57" s="137">
        <v>1923.84</v>
      </c>
      <c r="E57"/>
    </row>
    <row r="58" spans="1:5" s="124" customFormat="1" ht="14.25" customHeight="1" x14ac:dyDescent="0.3">
      <c r="A58" s="142" t="s">
        <v>788</v>
      </c>
      <c r="B58" s="138" t="s">
        <v>789</v>
      </c>
      <c r="C58" s="140" t="s">
        <v>346</v>
      </c>
      <c r="D58" s="137">
        <v>1300</v>
      </c>
      <c r="E58"/>
    </row>
    <row r="59" spans="1:5" s="124" customFormat="1" ht="14.25" customHeight="1" x14ac:dyDescent="0.3">
      <c r="A59" s="142" t="s">
        <v>790</v>
      </c>
      <c r="B59" s="138" t="s">
        <v>791</v>
      </c>
      <c r="C59" s="140" t="s">
        <v>346</v>
      </c>
      <c r="D59" s="137">
        <v>17050</v>
      </c>
      <c r="E59"/>
    </row>
    <row r="60" spans="1:5" s="124" customFormat="1" ht="14.25" customHeight="1" x14ac:dyDescent="0.3">
      <c r="A60" s="142" t="s">
        <v>792</v>
      </c>
      <c r="B60" s="138" t="s">
        <v>793</v>
      </c>
      <c r="C60" s="140" t="s">
        <v>792</v>
      </c>
      <c r="D60" s="137">
        <v>64174.94</v>
      </c>
      <c r="E60"/>
    </row>
    <row r="61" spans="1:5" s="124" customFormat="1" ht="14.25" customHeight="1" x14ac:dyDescent="0.3">
      <c r="A61" s="142" t="s">
        <v>794</v>
      </c>
      <c r="B61" s="138" t="s">
        <v>789</v>
      </c>
      <c r="C61" s="140" t="s">
        <v>346</v>
      </c>
      <c r="D61" s="137">
        <v>750</v>
      </c>
      <c r="E61"/>
    </row>
    <row r="62" spans="1:5" s="124" customFormat="1" ht="14.25" customHeight="1" x14ac:dyDescent="0.3">
      <c r="A62" s="142" t="s">
        <v>795</v>
      </c>
      <c r="B62" s="138" t="s">
        <v>793</v>
      </c>
      <c r="C62" s="140" t="s">
        <v>346</v>
      </c>
      <c r="D62" s="137">
        <v>12000</v>
      </c>
      <c r="E62"/>
    </row>
    <row r="63" spans="1:5" s="124" customFormat="1" ht="14.25" customHeight="1" x14ac:dyDescent="0.3">
      <c r="A63" s="142" t="s">
        <v>796</v>
      </c>
      <c r="B63" s="138" t="s">
        <v>791</v>
      </c>
      <c r="C63" s="140" t="s">
        <v>346</v>
      </c>
      <c r="D63" s="137">
        <v>10343.84</v>
      </c>
      <c r="E63"/>
    </row>
    <row r="64" spans="1:5" s="124" customFormat="1" ht="14.25" customHeight="1" x14ac:dyDescent="0.3">
      <c r="A64" s="142" t="s">
        <v>797</v>
      </c>
      <c r="B64" s="138" t="s">
        <v>793</v>
      </c>
      <c r="C64" s="140" t="s">
        <v>346</v>
      </c>
      <c r="D64" s="137">
        <v>3500</v>
      </c>
      <c r="E64"/>
    </row>
    <row r="65" spans="1:5" s="124" customFormat="1" ht="14.25" customHeight="1" x14ac:dyDescent="0.3">
      <c r="A65" s="142" t="s">
        <v>798</v>
      </c>
      <c r="B65" s="138" t="s">
        <v>793</v>
      </c>
      <c r="C65" s="140" t="s">
        <v>346</v>
      </c>
      <c r="D65" s="137">
        <v>64900</v>
      </c>
      <c r="E65"/>
    </row>
    <row r="66" spans="1:5" s="124" customFormat="1" ht="14.25" customHeight="1" x14ac:dyDescent="0.3">
      <c r="A66" s="142" t="s">
        <v>799</v>
      </c>
      <c r="B66" s="138" t="s">
        <v>793</v>
      </c>
      <c r="C66" s="140" t="s">
        <v>346</v>
      </c>
      <c r="D66" s="137">
        <v>1300</v>
      </c>
      <c r="E66"/>
    </row>
    <row r="67" spans="1:5" s="124" customFormat="1" ht="14.25" customHeight="1" x14ac:dyDescent="0.3">
      <c r="A67" s="142" t="s">
        <v>698</v>
      </c>
      <c r="B67" s="138" t="s">
        <v>793</v>
      </c>
      <c r="C67" s="140" t="s">
        <v>698</v>
      </c>
      <c r="D67" s="137">
        <v>39000</v>
      </c>
      <c r="E67"/>
    </row>
    <row r="68" spans="1:5" s="124" customFormat="1" ht="14.25" customHeight="1" x14ac:dyDescent="0.3">
      <c r="A68" s="142" t="s">
        <v>800</v>
      </c>
      <c r="B68" s="138" t="s">
        <v>789</v>
      </c>
      <c r="C68" s="140" t="s">
        <v>346</v>
      </c>
      <c r="D68" s="137">
        <v>650</v>
      </c>
      <c r="E68"/>
    </row>
    <row r="69" spans="1:5" s="124" customFormat="1" ht="14.25" customHeight="1" x14ac:dyDescent="0.3">
      <c r="A69" s="142" t="s">
        <v>801</v>
      </c>
      <c r="B69" s="138" t="s">
        <v>789</v>
      </c>
      <c r="C69" s="140" t="s">
        <v>346</v>
      </c>
      <c r="D69" s="137">
        <v>2000</v>
      </c>
      <c r="E69"/>
    </row>
    <row r="70" spans="1:5" s="124" customFormat="1" ht="14.25" customHeight="1" x14ac:dyDescent="0.3">
      <c r="A70" s="142" t="s">
        <v>802</v>
      </c>
      <c r="B70" s="138" t="s">
        <v>803</v>
      </c>
      <c r="C70" s="140" t="s">
        <v>346</v>
      </c>
      <c r="D70" s="137">
        <v>2100</v>
      </c>
      <c r="E70"/>
    </row>
    <row r="71" spans="1:5" s="124" customFormat="1" ht="14.25" customHeight="1" x14ac:dyDescent="0.3">
      <c r="A71" s="142"/>
      <c r="B71" s="138" t="s">
        <v>804</v>
      </c>
      <c r="C71" s="140" t="s">
        <v>346</v>
      </c>
      <c r="D71" s="137">
        <v>3200</v>
      </c>
      <c r="E71"/>
    </row>
    <row r="72" spans="1:5" x14ac:dyDescent="0.3">
      <c r="D72" s="6"/>
    </row>
  </sheetData>
  <mergeCells count="6">
    <mergeCell ref="B8:C8"/>
    <mergeCell ref="A2:B2"/>
    <mergeCell ref="B4:C4"/>
    <mergeCell ref="B5:C5"/>
    <mergeCell ref="B6:C6"/>
    <mergeCell ref="B7:C7"/>
  </mergeCells>
  <pageMargins left="0.70000000000000007" right="0.70000000000000007" top="0.75" bottom="0.75" header="0.30000000000000004" footer="0.30000000000000004"/>
  <pageSetup paperSize="8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0"/>
  <sheetViews>
    <sheetView workbookViewId="0"/>
  </sheetViews>
  <sheetFormatPr defaultRowHeight="14.4" x14ac:dyDescent="0.3"/>
  <cols>
    <col min="1" max="1" width="45.44140625" customWidth="1"/>
    <col min="2" max="2" width="67.109375" customWidth="1"/>
    <col min="3" max="3" width="22.6640625" customWidth="1"/>
    <col min="4" max="4" width="16" style="124" bestFit="1" customWidth="1"/>
    <col min="5" max="5" width="27.109375" customWidth="1"/>
    <col min="6" max="6" width="13.44140625" bestFit="1" customWidth="1"/>
    <col min="7" max="7" width="48.33203125" bestFit="1" customWidth="1"/>
    <col min="8" max="8" width="11.6640625" style="6" bestFit="1" customWidth="1"/>
    <col min="9" max="9" width="11.6640625" bestFit="1" customWidth="1"/>
    <col min="10" max="256" width="8.88671875" customWidth="1"/>
    <col min="257" max="257" width="45.44140625" customWidth="1"/>
    <col min="258" max="258" width="67.109375" customWidth="1"/>
    <col min="259" max="259" width="22.6640625" customWidth="1"/>
    <col min="260" max="260" width="16" bestFit="1" customWidth="1"/>
    <col min="261" max="261" width="27.109375" customWidth="1"/>
    <col min="262" max="262" width="13.44140625" bestFit="1" customWidth="1"/>
    <col min="263" max="263" width="48.33203125" bestFit="1" customWidth="1"/>
    <col min="264" max="265" width="11.6640625" bestFit="1" customWidth="1"/>
    <col min="266" max="512" width="8.88671875" customWidth="1"/>
    <col min="513" max="513" width="45.44140625" customWidth="1"/>
    <col min="514" max="514" width="67.109375" customWidth="1"/>
    <col min="515" max="515" width="22.6640625" customWidth="1"/>
    <col min="516" max="516" width="16" bestFit="1" customWidth="1"/>
    <col min="517" max="517" width="27.109375" customWidth="1"/>
    <col min="518" max="518" width="13.44140625" bestFit="1" customWidth="1"/>
    <col min="519" max="519" width="48.33203125" bestFit="1" customWidth="1"/>
    <col min="520" max="521" width="11.6640625" bestFit="1" customWidth="1"/>
    <col min="522" max="768" width="8.88671875" customWidth="1"/>
    <col min="769" max="769" width="45.44140625" customWidth="1"/>
    <col min="770" max="770" width="67.109375" customWidth="1"/>
    <col min="771" max="771" width="22.6640625" customWidth="1"/>
    <col min="772" max="772" width="16" bestFit="1" customWidth="1"/>
    <col min="773" max="773" width="27.109375" customWidth="1"/>
    <col min="774" max="774" width="13.44140625" bestFit="1" customWidth="1"/>
    <col min="775" max="775" width="48.33203125" bestFit="1" customWidth="1"/>
    <col min="776" max="777" width="11.6640625" bestFit="1" customWidth="1"/>
    <col min="778" max="1024" width="8.88671875" customWidth="1"/>
    <col min="1025" max="1025" width="45.44140625" customWidth="1"/>
    <col min="1026" max="1026" width="67.109375" customWidth="1"/>
    <col min="1027" max="1027" width="22.6640625" customWidth="1"/>
    <col min="1028" max="1028" width="16" bestFit="1" customWidth="1"/>
    <col min="1029" max="1029" width="27.109375" customWidth="1"/>
    <col min="1030" max="1030" width="13.44140625" bestFit="1" customWidth="1"/>
    <col min="1031" max="1031" width="48.33203125" bestFit="1" customWidth="1"/>
    <col min="1032" max="1033" width="11.6640625" bestFit="1" customWidth="1"/>
    <col min="1034" max="1280" width="8.88671875" customWidth="1"/>
    <col min="1281" max="1281" width="45.44140625" customWidth="1"/>
    <col min="1282" max="1282" width="67.109375" customWidth="1"/>
    <col min="1283" max="1283" width="22.6640625" customWidth="1"/>
    <col min="1284" max="1284" width="16" bestFit="1" customWidth="1"/>
    <col min="1285" max="1285" width="27.109375" customWidth="1"/>
    <col min="1286" max="1286" width="13.44140625" bestFit="1" customWidth="1"/>
    <col min="1287" max="1287" width="48.33203125" bestFit="1" customWidth="1"/>
    <col min="1288" max="1289" width="11.6640625" bestFit="1" customWidth="1"/>
    <col min="1290" max="1536" width="8.88671875" customWidth="1"/>
    <col min="1537" max="1537" width="45.44140625" customWidth="1"/>
    <col min="1538" max="1538" width="67.109375" customWidth="1"/>
    <col min="1539" max="1539" width="22.6640625" customWidth="1"/>
    <col min="1540" max="1540" width="16" bestFit="1" customWidth="1"/>
    <col min="1541" max="1541" width="27.109375" customWidth="1"/>
    <col min="1542" max="1542" width="13.44140625" bestFit="1" customWidth="1"/>
    <col min="1543" max="1543" width="48.33203125" bestFit="1" customWidth="1"/>
    <col min="1544" max="1545" width="11.6640625" bestFit="1" customWidth="1"/>
    <col min="1546" max="1792" width="8.88671875" customWidth="1"/>
    <col min="1793" max="1793" width="45.44140625" customWidth="1"/>
    <col min="1794" max="1794" width="67.109375" customWidth="1"/>
    <col min="1795" max="1795" width="22.6640625" customWidth="1"/>
    <col min="1796" max="1796" width="16" bestFit="1" customWidth="1"/>
    <col min="1797" max="1797" width="27.109375" customWidth="1"/>
    <col min="1798" max="1798" width="13.44140625" bestFit="1" customWidth="1"/>
    <col min="1799" max="1799" width="48.33203125" bestFit="1" customWidth="1"/>
    <col min="1800" max="1801" width="11.6640625" bestFit="1" customWidth="1"/>
    <col min="1802" max="2048" width="8.88671875" customWidth="1"/>
    <col min="2049" max="2049" width="45.44140625" customWidth="1"/>
    <col min="2050" max="2050" width="67.109375" customWidth="1"/>
    <col min="2051" max="2051" width="22.6640625" customWidth="1"/>
    <col min="2052" max="2052" width="16" bestFit="1" customWidth="1"/>
    <col min="2053" max="2053" width="27.109375" customWidth="1"/>
    <col min="2054" max="2054" width="13.44140625" bestFit="1" customWidth="1"/>
    <col min="2055" max="2055" width="48.33203125" bestFit="1" customWidth="1"/>
    <col min="2056" max="2057" width="11.6640625" bestFit="1" customWidth="1"/>
    <col min="2058" max="2304" width="8.88671875" customWidth="1"/>
    <col min="2305" max="2305" width="45.44140625" customWidth="1"/>
    <col min="2306" max="2306" width="67.109375" customWidth="1"/>
    <col min="2307" max="2307" width="22.6640625" customWidth="1"/>
    <col min="2308" max="2308" width="16" bestFit="1" customWidth="1"/>
    <col min="2309" max="2309" width="27.109375" customWidth="1"/>
    <col min="2310" max="2310" width="13.44140625" bestFit="1" customWidth="1"/>
    <col min="2311" max="2311" width="48.33203125" bestFit="1" customWidth="1"/>
    <col min="2312" max="2313" width="11.6640625" bestFit="1" customWidth="1"/>
    <col min="2314" max="2560" width="8.88671875" customWidth="1"/>
    <col min="2561" max="2561" width="45.44140625" customWidth="1"/>
    <col min="2562" max="2562" width="67.109375" customWidth="1"/>
    <col min="2563" max="2563" width="22.6640625" customWidth="1"/>
    <col min="2564" max="2564" width="16" bestFit="1" customWidth="1"/>
    <col min="2565" max="2565" width="27.109375" customWidth="1"/>
    <col min="2566" max="2566" width="13.44140625" bestFit="1" customWidth="1"/>
    <col min="2567" max="2567" width="48.33203125" bestFit="1" customWidth="1"/>
    <col min="2568" max="2569" width="11.6640625" bestFit="1" customWidth="1"/>
    <col min="2570" max="2816" width="8.88671875" customWidth="1"/>
    <col min="2817" max="2817" width="45.44140625" customWidth="1"/>
    <col min="2818" max="2818" width="67.109375" customWidth="1"/>
    <col min="2819" max="2819" width="22.6640625" customWidth="1"/>
    <col min="2820" max="2820" width="16" bestFit="1" customWidth="1"/>
    <col min="2821" max="2821" width="27.109375" customWidth="1"/>
    <col min="2822" max="2822" width="13.44140625" bestFit="1" customWidth="1"/>
    <col min="2823" max="2823" width="48.33203125" bestFit="1" customWidth="1"/>
    <col min="2824" max="2825" width="11.6640625" bestFit="1" customWidth="1"/>
    <col min="2826" max="3072" width="8.88671875" customWidth="1"/>
    <col min="3073" max="3073" width="45.44140625" customWidth="1"/>
    <col min="3074" max="3074" width="67.109375" customWidth="1"/>
    <col min="3075" max="3075" width="22.6640625" customWidth="1"/>
    <col min="3076" max="3076" width="16" bestFit="1" customWidth="1"/>
    <col min="3077" max="3077" width="27.109375" customWidth="1"/>
    <col min="3078" max="3078" width="13.44140625" bestFit="1" customWidth="1"/>
    <col min="3079" max="3079" width="48.33203125" bestFit="1" customWidth="1"/>
    <col min="3080" max="3081" width="11.6640625" bestFit="1" customWidth="1"/>
    <col min="3082" max="3328" width="8.88671875" customWidth="1"/>
    <col min="3329" max="3329" width="45.44140625" customWidth="1"/>
    <col min="3330" max="3330" width="67.109375" customWidth="1"/>
    <col min="3331" max="3331" width="22.6640625" customWidth="1"/>
    <col min="3332" max="3332" width="16" bestFit="1" customWidth="1"/>
    <col min="3333" max="3333" width="27.109375" customWidth="1"/>
    <col min="3334" max="3334" width="13.44140625" bestFit="1" customWidth="1"/>
    <col min="3335" max="3335" width="48.33203125" bestFit="1" customWidth="1"/>
    <col min="3336" max="3337" width="11.6640625" bestFit="1" customWidth="1"/>
    <col min="3338" max="3584" width="8.88671875" customWidth="1"/>
    <col min="3585" max="3585" width="45.44140625" customWidth="1"/>
    <col min="3586" max="3586" width="67.109375" customWidth="1"/>
    <col min="3587" max="3587" width="22.6640625" customWidth="1"/>
    <col min="3588" max="3588" width="16" bestFit="1" customWidth="1"/>
    <col min="3589" max="3589" width="27.109375" customWidth="1"/>
    <col min="3590" max="3590" width="13.44140625" bestFit="1" customWidth="1"/>
    <col min="3591" max="3591" width="48.33203125" bestFit="1" customWidth="1"/>
    <col min="3592" max="3593" width="11.6640625" bestFit="1" customWidth="1"/>
    <col min="3594" max="3840" width="8.88671875" customWidth="1"/>
    <col min="3841" max="3841" width="45.44140625" customWidth="1"/>
    <col min="3842" max="3842" width="67.109375" customWidth="1"/>
    <col min="3843" max="3843" width="22.6640625" customWidth="1"/>
    <col min="3844" max="3844" width="16" bestFit="1" customWidth="1"/>
    <col min="3845" max="3845" width="27.109375" customWidth="1"/>
    <col min="3846" max="3846" width="13.44140625" bestFit="1" customWidth="1"/>
    <col min="3847" max="3847" width="48.33203125" bestFit="1" customWidth="1"/>
    <col min="3848" max="3849" width="11.6640625" bestFit="1" customWidth="1"/>
    <col min="3850" max="4096" width="8.88671875" customWidth="1"/>
    <col min="4097" max="4097" width="45.44140625" customWidth="1"/>
    <col min="4098" max="4098" width="67.109375" customWidth="1"/>
    <col min="4099" max="4099" width="22.6640625" customWidth="1"/>
    <col min="4100" max="4100" width="16" bestFit="1" customWidth="1"/>
    <col min="4101" max="4101" width="27.109375" customWidth="1"/>
    <col min="4102" max="4102" width="13.44140625" bestFit="1" customWidth="1"/>
    <col min="4103" max="4103" width="48.33203125" bestFit="1" customWidth="1"/>
    <col min="4104" max="4105" width="11.6640625" bestFit="1" customWidth="1"/>
    <col min="4106" max="4352" width="8.88671875" customWidth="1"/>
    <col min="4353" max="4353" width="45.44140625" customWidth="1"/>
    <col min="4354" max="4354" width="67.109375" customWidth="1"/>
    <col min="4355" max="4355" width="22.6640625" customWidth="1"/>
    <col min="4356" max="4356" width="16" bestFit="1" customWidth="1"/>
    <col min="4357" max="4357" width="27.109375" customWidth="1"/>
    <col min="4358" max="4358" width="13.44140625" bestFit="1" customWidth="1"/>
    <col min="4359" max="4359" width="48.33203125" bestFit="1" customWidth="1"/>
    <col min="4360" max="4361" width="11.6640625" bestFit="1" customWidth="1"/>
    <col min="4362" max="4608" width="8.88671875" customWidth="1"/>
    <col min="4609" max="4609" width="45.44140625" customWidth="1"/>
    <col min="4610" max="4610" width="67.109375" customWidth="1"/>
    <col min="4611" max="4611" width="22.6640625" customWidth="1"/>
    <col min="4612" max="4612" width="16" bestFit="1" customWidth="1"/>
    <col min="4613" max="4613" width="27.109375" customWidth="1"/>
    <col min="4614" max="4614" width="13.44140625" bestFit="1" customWidth="1"/>
    <col min="4615" max="4615" width="48.33203125" bestFit="1" customWidth="1"/>
    <col min="4616" max="4617" width="11.6640625" bestFit="1" customWidth="1"/>
    <col min="4618" max="4864" width="8.88671875" customWidth="1"/>
    <col min="4865" max="4865" width="45.44140625" customWidth="1"/>
    <col min="4866" max="4866" width="67.109375" customWidth="1"/>
    <col min="4867" max="4867" width="22.6640625" customWidth="1"/>
    <col min="4868" max="4868" width="16" bestFit="1" customWidth="1"/>
    <col min="4869" max="4869" width="27.109375" customWidth="1"/>
    <col min="4870" max="4870" width="13.44140625" bestFit="1" customWidth="1"/>
    <col min="4871" max="4871" width="48.33203125" bestFit="1" customWidth="1"/>
    <col min="4872" max="4873" width="11.6640625" bestFit="1" customWidth="1"/>
    <col min="4874" max="5120" width="8.88671875" customWidth="1"/>
    <col min="5121" max="5121" width="45.44140625" customWidth="1"/>
    <col min="5122" max="5122" width="67.109375" customWidth="1"/>
    <col min="5123" max="5123" width="22.6640625" customWidth="1"/>
    <col min="5124" max="5124" width="16" bestFit="1" customWidth="1"/>
    <col min="5125" max="5125" width="27.109375" customWidth="1"/>
    <col min="5126" max="5126" width="13.44140625" bestFit="1" customWidth="1"/>
    <col min="5127" max="5127" width="48.33203125" bestFit="1" customWidth="1"/>
    <col min="5128" max="5129" width="11.6640625" bestFit="1" customWidth="1"/>
    <col min="5130" max="5376" width="8.88671875" customWidth="1"/>
    <col min="5377" max="5377" width="45.44140625" customWidth="1"/>
    <col min="5378" max="5378" width="67.109375" customWidth="1"/>
    <col min="5379" max="5379" width="22.6640625" customWidth="1"/>
    <col min="5380" max="5380" width="16" bestFit="1" customWidth="1"/>
    <col min="5381" max="5381" width="27.109375" customWidth="1"/>
    <col min="5382" max="5382" width="13.44140625" bestFit="1" customWidth="1"/>
    <col min="5383" max="5383" width="48.33203125" bestFit="1" customWidth="1"/>
    <col min="5384" max="5385" width="11.6640625" bestFit="1" customWidth="1"/>
    <col min="5386" max="5632" width="8.88671875" customWidth="1"/>
    <col min="5633" max="5633" width="45.44140625" customWidth="1"/>
    <col min="5634" max="5634" width="67.109375" customWidth="1"/>
    <col min="5635" max="5635" width="22.6640625" customWidth="1"/>
    <col min="5636" max="5636" width="16" bestFit="1" customWidth="1"/>
    <col min="5637" max="5637" width="27.109375" customWidth="1"/>
    <col min="5638" max="5638" width="13.44140625" bestFit="1" customWidth="1"/>
    <col min="5639" max="5639" width="48.33203125" bestFit="1" customWidth="1"/>
    <col min="5640" max="5641" width="11.6640625" bestFit="1" customWidth="1"/>
    <col min="5642" max="5888" width="8.88671875" customWidth="1"/>
    <col min="5889" max="5889" width="45.44140625" customWidth="1"/>
    <col min="5890" max="5890" width="67.109375" customWidth="1"/>
    <col min="5891" max="5891" width="22.6640625" customWidth="1"/>
    <col min="5892" max="5892" width="16" bestFit="1" customWidth="1"/>
    <col min="5893" max="5893" width="27.109375" customWidth="1"/>
    <col min="5894" max="5894" width="13.44140625" bestFit="1" customWidth="1"/>
    <col min="5895" max="5895" width="48.33203125" bestFit="1" customWidth="1"/>
    <col min="5896" max="5897" width="11.6640625" bestFit="1" customWidth="1"/>
    <col min="5898" max="6144" width="8.88671875" customWidth="1"/>
    <col min="6145" max="6145" width="45.44140625" customWidth="1"/>
    <col min="6146" max="6146" width="67.109375" customWidth="1"/>
    <col min="6147" max="6147" width="22.6640625" customWidth="1"/>
    <col min="6148" max="6148" width="16" bestFit="1" customWidth="1"/>
    <col min="6149" max="6149" width="27.109375" customWidth="1"/>
    <col min="6150" max="6150" width="13.44140625" bestFit="1" customWidth="1"/>
    <col min="6151" max="6151" width="48.33203125" bestFit="1" customWidth="1"/>
    <col min="6152" max="6153" width="11.6640625" bestFit="1" customWidth="1"/>
    <col min="6154" max="6400" width="8.88671875" customWidth="1"/>
    <col min="6401" max="6401" width="45.44140625" customWidth="1"/>
    <col min="6402" max="6402" width="67.109375" customWidth="1"/>
    <col min="6403" max="6403" width="22.6640625" customWidth="1"/>
    <col min="6404" max="6404" width="16" bestFit="1" customWidth="1"/>
    <col min="6405" max="6405" width="27.109375" customWidth="1"/>
    <col min="6406" max="6406" width="13.44140625" bestFit="1" customWidth="1"/>
    <col min="6407" max="6407" width="48.33203125" bestFit="1" customWidth="1"/>
    <col min="6408" max="6409" width="11.6640625" bestFit="1" customWidth="1"/>
    <col min="6410" max="6656" width="8.88671875" customWidth="1"/>
    <col min="6657" max="6657" width="45.44140625" customWidth="1"/>
    <col min="6658" max="6658" width="67.109375" customWidth="1"/>
    <col min="6659" max="6659" width="22.6640625" customWidth="1"/>
    <col min="6660" max="6660" width="16" bestFit="1" customWidth="1"/>
    <col min="6661" max="6661" width="27.109375" customWidth="1"/>
    <col min="6662" max="6662" width="13.44140625" bestFit="1" customWidth="1"/>
    <col min="6663" max="6663" width="48.33203125" bestFit="1" customWidth="1"/>
    <col min="6664" max="6665" width="11.6640625" bestFit="1" customWidth="1"/>
    <col min="6666" max="6912" width="8.88671875" customWidth="1"/>
    <col min="6913" max="6913" width="45.44140625" customWidth="1"/>
    <col min="6914" max="6914" width="67.109375" customWidth="1"/>
    <col min="6915" max="6915" width="22.6640625" customWidth="1"/>
    <col min="6916" max="6916" width="16" bestFit="1" customWidth="1"/>
    <col min="6917" max="6917" width="27.109375" customWidth="1"/>
    <col min="6918" max="6918" width="13.44140625" bestFit="1" customWidth="1"/>
    <col min="6919" max="6919" width="48.33203125" bestFit="1" customWidth="1"/>
    <col min="6920" max="6921" width="11.6640625" bestFit="1" customWidth="1"/>
    <col min="6922" max="7168" width="8.88671875" customWidth="1"/>
    <col min="7169" max="7169" width="45.44140625" customWidth="1"/>
    <col min="7170" max="7170" width="67.109375" customWidth="1"/>
    <col min="7171" max="7171" width="22.6640625" customWidth="1"/>
    <col min="7172" max="7172" width="16" bestFit="1" customWidth="1"/>
    <col min="7173" max="7173" width="27.109375" customWidth="1"/>
    <col min="7174" max="7174" width="13.44140625" bestFit="1" customWidth="1"/>
    <col min="7175" max="7175" width="48.33203125" bestFit="1" customWidth="1"/>
    <col min="7176" max="7177" width="11.6640625" bestFit="1" customWidth="1"/>
    <col min="7178" max="7424" width="8.88671875" customWidth="1"/>
    <col min="7425" max="7425" width="45.44140625" customWidth="1"/>
    <col min="7426" max="7426" width="67.109375" customWidth="1"/>
    <col min="7427" max="7427" width="22.6640625" customWidth="1"/>
    <col min="7428" max="7428" width="16" bestFit="1" customWidth="1"/>
    <col min="7429" max="7429" width="27.109375" customWidth="1"/>
    <col min="7430" max="7430" width="13.44140625" bestFit="1" customWidth="1"/>
    <col min="7431" max="7431" width="48.33203125" bestFit="1" customWidth="1"/>
    <col min="7432" max="7433" width="11.6640625" bestFit="1" customWidth="1"/>
    <col min="7434" max="7680" width="8.88671875" customWidth="1"/>
    <col min="7681" max="7681" width="45.44140625" customWidth="1"/>
    <col min="7682" max="7682" width="67.109375" customWidth="1"/>
    <col min="7683" max="7683" width="22.6640625" customWidth="1"/>
    <col min="7684" max="7684" width="16" bestFit="1" customWidth="1"/>
    <col min="7685" max="7685" width="27.109375" customWidth="1"/>
    <col min="7686" max="7686" width="13.44140625" bestFit="1" customWidth="1"/>
    <col min="7687" max="7687" width="48.33203125" bestFit="1" customWidth="1"/>
    <col min="7688" max="7689" width="11.6640625" bestFit="1" customWidth="1"/>
    <col min="7690" max="7936" width="8.88671875" customWidth="1"/>
    <col min="7937" max="7937" width="45.44140625" customWidth="1"/>
    <col min="7938" max="7938" width="67.109375" customWidth="1"/>
    <col min="7939" max="7939" width="22.6640625" customWidth="1"/>
    <col min="7940" max="7940" width="16" bestFit="1" customWidth="1"/>
    <col min="7941" max="7941" width="27.109375" customWidth="1"/>
    <col min="7942" max="7942" width="13.44140625" bestFit="1" customWidth="1"/>
    <col min="7943" max="7943" width="48.33203125" bestFit="1" customWidth="1"/>
    <col min="7944" max="7945" width="11.6640625" bestFit="1" customWidth="1"/>
    <col min="7946" max="8192" width="8.88671875" customWidth="1"/>
    <col min="8193" max="8193" width="45.44140625" customWidth="1"/>
    <col min="8194" max="8194" width="67.109375" customWidth="1"/>
    <col min="8195" max="8195" width="22.6640625" customWidth="1"/>
    <col min="8196" max="8196" width="16" bestFit="1" customWidth="1"/>
    <col min="8197" max="8197" width="27.109375" customWidth="1"/>
    <col min="8198" max="8198" width="13.44140625" bestFit="1" customWidth="1"/>
    <col min="8199" max="8199" width="48.33203125" bestFit="1" customWidth="1"/>
    <col min="8200" max="8201" width="11.6640625" bestFit="1" customWidth="1"/>
    <col min="8202" max="8448" width="8.88671875" customWidth="1"/>
    <col min="8449" max="8449" width="45.44140625" customWidth="1"/>
    <col min="8450" max="8450" width="67.109375" customWidth="1"/>
    <col min="8451" max="8451" width="22.6640625" customWidth="1"/>
    <col min="8452" max="8452" width="16" bestFit="1" customWidth="1"/>
    <col min="8453" max="8453" width="27.109375" customWidth="1"/>
    <col min="8454" max="8454" width="13.44140625" bestFit="1" customWidth="1"/>
    <col min="8455" max="8455" width="48.33203125" bestFit="1" customWidth="1"/>
    <col min="8456" max="8457" width="11.6640625" bestFit="1" customWidth="1"/>
    <col min="8458" max="8704" width="8.88671875" customWidth="1"/>
    <col min="8705" max="8705" width="45.44140625" customWidth="1"/>
    <col min="8706" max="8706" width="67.109375" customWidth="1"/>
    <col min="8707" max="8707" width="22.6640625" customWidth="1"/>
    <col min="8708" max="8708" width="16" bestFit="1" customWidth="1"/>
    <col min="8709" max="8709" width="27.109375" customWidth="1"/>
    <col min="8710" max="8710" width="13.44140625" bestFit="1" customWidth="1"/>
    <col min="8711" max="8711" width="48.33203125" bestFit="1" customWidth="1"/>
    <col min="8712" max="8713" width="11.6640625" bestFit="1" customWidth="1"/>
    <col min="8714" max="8960" width="8.88671875" customWidth="1"/>
    <col min="8961" max="8961" width="45.44140625" customWidth="1"/>
    <col min="8962" max="8962" width="67.109375" customWidth="1"/>
    <col min="8963" max="8963" width="22.6640625" customWidth="1"/>
    <col min="8964" max="8964" width="16" bestFit="1" customWidth="1"/>
    <col min="8965" max="8965" width="27.109375" customWidth="1"/>
    <col min="8966" max="8966" width="13.44140625" bestFit="1" customWidth="1"/>
    <col min="8967" max="8967" width="48.33203125" bestFit="1" customWidth="1"/>
    <col min="8968" max="8969" width="11.6640625" bestFit="1" customWidth="1"/>
    <col min="8970" max="9216" width="8.88671875" customWidth="1"/>
    <col min="9217" max="9217" width="45.44140625" customWidth="1"/>
    <col min="9218" max="9218" width="67.109375" customWidth="1"/>
    <col min="9219" max="9219" width="22.6640625" customWidth="1"/>
    <col min="9220" max="9220" width="16" bestFit="1" customWidth="1"/>
    <col min="9221" max="9221" width="27.109375" customWidth="1"/>
    <col min="9222" max="9222" width="13.44140625" bestFit="1" customWidth="1"/>
    <col min="9223" max="9223" width="48.33203125" bestFit="1" customWidth="1"/>
    <col min="9224" max="9225" width="11.6640625" bestFit="1" customWidth="1"/>
    <col min="9226" max="9472" width="8.88671875" customWidth="1"/>
    <col min="9473" max="9473" width="45.44140625" customWidth="1"/>
    <col min="9474" max="9474" width="67.109375" customWidth="1"/>
    <col min="9475" max="9475" width="22.6640625" customWidth="1"/>
    <col min="9476" max="9476" width="16" bestFit="1" customWidth="1"/>
    <col min="9477" max="9477" width="27.109375" customWidth="1"/>
    <col min="9478" max="9478" width="13.44140625" bestFit="1" customWidth="1"/>
    <col min="9479" max="9479" width="48.33203125" bestFit="1" customWidth="1"/>
    <col min="9480" max="9481" width="11.6640625" bestFit="1" customWidth="1"/>
    <col min="9482" max="9728" width="8.88671875" customWidth="1"/>
    <col min="9729" max="9729" width="45.44140625" customWidth="1"/>
    <col min="9730" max="9730" width="67.109375" customWidth="1"/>
    <col min="9731" max="9731" width="22.6640625" customWidth="1"/>
    <col min="9732" max="9732" width="16" bestFit="1" customWidth="1"/>
    <col min="9733" max="9733" width="27.109375" customWidth="1"/>
    <col min="9734" max="9734" width="13.44140625" bestFit="1" customWidth="1"/>
    <col min="9735" max="9735" width="48.33203125" bestFit="1" customWidth="1"/>
    <col min="9736" max="9737" width="11.6640625" bestFit="1" customWidth="1"/>
    <col min="9738" max="9984" width="8.88671875" customWidth="1"/>
    <col min="9985" max="9985" width="45.44140625" customWidth="1"/>
    <col min="9986" max="9986" width="67.109375" customWidth="1"/>
    <col min="9987" max="9987" width="22.6640625" customWidth="1"/>
    <col min="9988" max="9988" width="16" bestFit="1" customWidth="1"/>
    <col min="9989" max="9989" width="27.109375" customWidth="1"/>
    <col min="9990" max="9990" width="13.44140625" bestFit="1" customWidth="1"/>
    <col min="9991" max="9991" width="48.33203125" bestFit="1" customWidth="1"/>
    <col min="9992" max="9993" width="11.6640625" bestFit="1" customWidth="1"/>
    <col min="9994" max="10240" width="8.88671875" customWidth="1"/>
    <col min="10241" max="10241" width="45.44140625" customWidth="1"/>
    <col min="10242" max="10242" width="67.109375" customWidth="1"/>
    <col min="10243" max="10243" width="22.6640625" customWidth="1"/>
    <col min="10244" max="10244" width="16" bestFit="1" customWidth="1"/>
    <col min="10245" max="10245" width="27.109375" customWidth="1"/>
    <col min="10246" max="10246" width="13.44140625" bestFit="1" customWidth="1"/>
    <col min="10247" max="10247" width="48.33203125" bestFit="1" customWidth="1"/>
    <col min="10248" max="10249" width="11.6640625" bestFit="1" customWidth="1"/>
    <col min="10250" max="10496" width="8.88671875" customWidth="1"/>
    <col min="10497" max="10497" width="45.44140625" customWidth="1"/>
    <col min="10498" max="10498" width="67.109375" customWidth="1"/>
    <col min="10499" max="10499" width="22.6640625" customWidth="1"/>
    <col min="10500" max="10500" width="16" bestFit="1" customWidth="1"/>
    <col min="10501" max="10501" width="27.109375" customWidth="1"/>
    <col min="10502" max="10502" width="13.44140625" bestFit="1" customWidth="1"/>
    <col min="10503" max="10503" width="48.33203125" bestFit="1" customWidth="1"/>
    <col min="10504" max="10505" width="11.6640625" bestFit="1" customWidth="1"/>
    <col min="10506" max="10752" width="8.88671875" customWidth="1"/>
    <col min="10753" max="10753" width="45.44140625" customWidth="1"/>
    <col min="10754" max="10754" width="67.109375" customWidth="1"/>
    <col min="10755" max="10755" width="22.6640625" customWidth="1"/>
    <col min="10756" max="10756" width="16" bestFit="1" customWidth="1"/>
    <col min="10757" max="10757" width="27.109375" customWidth="1"/>
    <col min="10758" max="10758" width="13.44140625" bestFit="1" customWidth="1"/>
    <col min="10759" max="10759" width="48.33203125" bestFit="1" customWidth="1"/>
    <col min="10760" max="10761" width="11.6640625" bestFit="1" customWidth="1"/>
    <col min="10762" max="11008" width="8.88671875" customWidth="1"/>
    <col min="11009" max="11009" width="45.44140625" customWidth="1"/>
    <col min="11010" max="11010" width="67.109375" customWidth="1"/>
    <col min="11011" max="11011" width="22.6640625" customWidth="1"/>
    <col min="11012" max="11012" width="16" bestFit="1" customWidth="1"/>
    <col min="11013" max="11013" width="27.109375" customWidth="1"/>
    <col min="11014" max="11014" width="13.44140625" bestFit="1" customWidth="1"/>
    <col min="11015" max="11015" width="48.33203125" bestFit="1" customWidth="1"/>
    <col min="11016" max="11017" width="11.6640625" bestFit="1" customWidth="1"/>
    <col min="11018" max="11264" width="8.88671875" customWidth="1"/>
    <col min="11265" max="11265" width="45.44140625" customWidth="1"/>
    <col min="11266" max="11266" width="67.109375" customWidth="1"/>
    <col min="11267" max="11267" width="22.6640625" customWidth="1"/>
    <col min="11268" max="11268" width="16" bestFit="1" customWidth="1"/>
    <col min="11269" max="11269" width="27.109375" customWidth="1"/>
    <col min="11270" max="11270" width="13.44140625" bestFit="1" customWidth="1"/>
    <col min="11271" max="11271" width="48.33203125" bestFit="1" customWidth="1"/>
    <col min="11272" max="11273" width="11.6640625" bestFit="1" customWidth="1"/>
    <col min="11274" max="11520" width="8.88671875" customWidth="1"/>
    <col min="11521" max="11521" width="45.44140625" customWidth="1"/>
    <col min="11522" max="11522" width="67.109375" customWidth="1"/>
    <col min="11523" max="11523" width="22.6640625" customWidth="1"/>
    <col min="11524" max="11524" width="16" bestFit="1" customWidth="1"/>
    <col min="11525" max="11525" width="27.109375" customWidth="1"/>
    <col min="11526" max="11526" width="13.44140625" bestFit="1" customWidth="1"/>
    <col min="11527" max="11527" width="48.33203125" bestFit="1" customWidth="1"/>
    <col min="11528" max="11529" width="11.6640625" bestFit="1" customWidth="1"/>
    <col min="11530" max="11776" width="8.88671875" customWidth="1"/>
    <col min="11777" max="11777" width="45.44140625" customWidth="1"/>
    <col min="11778" max="11778" width="67.109375" customWidth="1"/>
    <col min="11779" max="11779" width="22.6640625" customWidth="1"/>
    <col min="11780" max="11780" width="16" bestFit="1" customWidth="1"/>
    <col min="11781" max="11781" width="27.109375" customWidth="1"/>
    <col min="11782" max="11782" width="13.44140625" bestFit="1" customWidth="1"/>
    <col min="11783" max="11783" width="48.33203125" bestFit="1" customWidth="1"/>
    <col min="11784" max="11785" width="11.6640625" bestFit="1" customWidth="1"/>
    <col min="11786" max="12032" width="8.88671875" customWidth="1"/>
    <col min="12033" max="12033" width="45.44140625" customWidth="1"/>
    <col min="12034" max="12034" width="67.109375" customWidth="1"/>
    <col min="12035" max="12035" width="22.6640625" customWidth="1"/>
    <col min="12036" max="12036" width="16" bestFit="1" customWidth="1"/>
    <col min="12037" max="12037" width="27.109375" customWidth="1"/>
    <col min="12038" max="12038" width="13.44140625" bestFit="1" customWidth="1"/>
    <col min="12039" max="12039" width="48.33203125" bestFit="1" customWidth="1"/>
    <col min="12040" max="12041" width="11.6640625" bestFit="1" customWidth="1"/>
    <col min="12042" max="12288" width="8.88671875" customWidth="1"/>
    <col min="12289" max="12289" width="45.44140625" customWidth="1"/>
    <col min="12290" max="12290" width="67.109375" customWidth="1"/>
    <col min="12291" max="12291" width="22.6640625" customWidth="1"/>
    <col min="12292" max="12292" width="16" bestFit="1" customWidth="1"/>
    <col min="12293" max="12293" width="27.109375" customWidth="1"/>
    <col min="12294" max="12294" width="13.44140625" bestFit="1" customWidth="1"/>
    <col min="12295" max="12295" width="48.33203125" bestFit="1" customWidth="1"/>
    <col min="12296" max="12297" width="11.6640625" bestFit="1" customWidth="1"/>
    <col min="12298" max="12544" width="8.88671875" customWidth="1"/>
    <col min="12545" max="12545" width="45.44140625" customWidth="1"/>
    <col min="12546" max="12546" width="67.109375" customWidth="1"/>
    <col min="12547" max="12547" width="22.6640625" customWidth="1"/>
    <col min="12548" max="12548" width="16" bestFit="1" customWidth="1"/>
    <col min="12549" max="12549" width="27.109375" customWidth="1"/>
    <col min="12550" max="12550" width="13.44140625" bestFit="1" customWidth="1"/>
    <col min="12551" max="12551" width="48.33203125" bestFit="1" customWidth="1"/>
    <col min="12552" max="12553" width="11.6640625" bestFit="1" customWidth="1"/>
    <col min="12554" max="12800" width="8.88671875" customWidth="1"/>
    <col min="12801" max="12801" width="45.44140625" customWidth="1"/>
    <col min="12802" max="12802" width="67.109375" customWidth="1"/>
    <col min="12803" max="12803" width="22.6640625" customWidth="1"/>
    <col min="12804" max="12804" width="16" bestFit="1" customWidth="1"/>
    <col min="12805" max="12805" width="27.109375" customWidth="1"/>
    <col min="12806" max="12806" width="13.44140625" bestFit="1" customWidth="1"/>
    <col min="12807" max="12807" width="48.33203125" bestFit="1" customWidth="1"/>
    <col min="12808" max="12809" width="11.6640625" bestFit="1" customWidth="1"/>
    <col min="12810" max="13056" width="8.88671875" customWidth="1"/>
    <col min="13057" max="13057" width="45.44140625" customWidth="1"/>
    <col min="13058" max="13058" width="67.109375" customWidth="1"/>
    <col min="13059" max="13059" width="22.6640625" customWidth="1"/>
    <col min="13060" max="13060" width="16" bestFit="1" customWidth="1"/>
    <col min="13061" max="13061" width="27.109375" customWidth="1"/>
    <col min="13062" max="13062" width="13.44140625" bestFit="1" customWidth="1"/>
    <col min="13063" max="13063" width="48.33203125" bestFit="1" customWidth="1"/>
    <col min="13064" max="13065" width="11.6640625" bestFit="1" customWidth="1"/>
    <col min="13066" max="13312" width="8.88671875" customWidth="1"/>
    <col min="13313" max="13313" width="45.44140625" customWidth="1"/>
    <col min="13314" max="13314" width="67.109375" customWidth="1"/>
    <col min="13315" max="13315" width="22.6640625" customWidth="1"/>
    <col min="13316" max="13316" width="16" bestFit="1" customWidth="1"/>
    <col min="13317" max="13317" width="27.109375" customWidth="1"/>
    <col min="13318" max="13318" width="13.44140625" bestFit="1" customWidth="1"/>
    <col min="13319" max="13319" width="48.33203125" bestFit="1" customWidth="1"/>
    <col min="13320" max="13321" width="11.6640625" bestFit="1" customWidth="1"/>
    <col min="13322" max="13568" width="8.88671875" customWidth="1"/>
    <col min="13569" max="13569" width="45.44140625" customWidth="1"/>
    <col min="13570" max="13570" width="67.109375" customWidth="1"/>
    <col min="13571" max="13571" width="22.6640625" customWidth="1"/>
    <col min="13572" max="13572" width="16" bestFit="1" customWidth="1"/>
    <col min="13573" max="13573" width="27.109375" customWidth="1"/>
    <col min="13574" max="13574" width="13.44140625" bestFit="1" customWidth="1"/>
    <col min="13575" max="13575" width="48.33203125" bestFit="1" customWidth="1"/>
    <col min="13576" max="13577" width="11.6640625" bestFit="1" customWidth="1"/>
    <col min="13578" max="13824" width="8.88671875" customWidth="1"/>
    <col min="13825" max="13825" width="45.44140625" customWidth="1"/>
    <col min="13826" max="13826" width="67.109375" customWidth="1"/>
    <col min="13827" max="13827" width="22.6640625" customWidth="1"/>
    <col min="13828" max="13828" width="16" bestFit="1" customWidth="1"/>
    <col min="13829" max="13829" width="27.109375" customWidth="1"/>
    <col min="13830" max="13830" width="13.44140625" bestFit="1" customWidth="1"/>
    <col min="13831" max="13831" width="48.33203125" bestFit="1" customWidth="1"/>
    <col min="13832" max="13833" width="11.6640625" bestFit="1" customWidth="1"/>
    <col min="13834" max="14080" width="8.88671875" customWidth="1"/>
    <col min="14081" max="14081" width="45.44140625" customWidth="1"/>
    <col min="14082" max="14082" width="67.109375" customWidth="1"/>
    <col min="14083" max="14083" width="22.6640625" customWidth="1"/>
    <col min="14084" max="14084" width="16" bestFit="1" customWidth="1"/>
    <col min="14085" max="14085" width="27.109375" customWidth="1"/>
    <col min="14086" max="14086" width="13.44140625" bestFit="1" customWidth="1"/>
    <col min="14087" max="14087" width="48.33203125" bestFit="1" customWidth="1"/>
    <col min="14088" max="14089" width="11.6640625" bestFit="1" customWidth="1"/>
    <col min="14090" max="14336" width="8.88671875" customWidth="1"/>
    <col min="14337" max="14337" width="45.44140625" customWidth="1"/>
    <col min="14338" max="14338" width="67.109375" customWidth="1"/>
    <col min="14339" max="14339" width="22.6640625" customWidth="1"/>
    <col min="14340" max="14340" width="16" bestFit="1" customWidth="1"/>
    <col min="14341" max="14341" width="27.109375" customWidth="1"/>
    <col min="14342" max="14342" width="13.44140625" bestFit="1" customWidth="1"/>
    <col min="14343" max="14343" width="48.33203125" bestFit="1" customWidth="1"/>
    <col min="14344" max="14345" width="11.6640625" bestFit="1" customWidth="1"/>
    <col min="14346" max="14592" width="8.88671875" customWidth="1"/>
    <col min="14593" max="14593" width="45.44140625" customWidth="1"/>
    <col min="14594" max="14594" width="67.109375" customWidth="1"/>
    <col min="14595" max="14595" width="22.6640625" customWidth="1"/>
    <col min="14596" max="14596" width="16" bestFit="1" customWidth="1"/>
    <col min="14597" max="14597" width="27.109375" customWidth="1"/>
    <col min="14598" max="14598" width="13.44140625" bestFit="1" customWidth="1"/>
    <col min="14599" max="14599" width="48.33203125" bestFit="1" customWidth="1"/>
    <col min="14600" max="14601" width="11.6640625" bestFit="1" customWidth="1"/>
    <col min="14602" max="14848" width="8.88671875" customWidth="1"/>
    <col min="14849" max="14849" width="45.44140625" customWidth="1"/>
    <col min="14850" max="14850" width="67.109375" customWidth="1"/>
    <col min="14851" max="14851" width="22.6640625" customWidth="1"/>
    <col min="14852" max="14852" width="16" bestFit="1" customWidth="1"/>
    <col min="14853" max="14853" width="27.109375" customWidth="1"/>
    <col min="14854" max="14854" width="13.44140625" bestFit="1" customWidth="1"/>
    <col min="14855" max="14855" width="48.33203125" bestFit="1" customWidth="1"/>
    <col min="14856" max="14857" width="11.6640625" bestFit="1" customWidth="1"/>
    <col min="14858" max="15104" width="8.88671875" customWidth="1"/>
    <col min="15105" max="15105" width="45.44140625" customWidth="1"/>
    <col min="15106" max="15106" width="67.109375" customWidth="1"/>
    <col min="15107" max="15107" width="22.6640625" customWidth="1"/>
    <col min="15108" max="15108" width="16" bestFit="1" customWidth="1"/>
    <col min="15109" max="15109" width="27.109375" customWidth="1"/>
    <col min="15110" max="15110" width="13.44140625" bestFit="1" customWidth="1"/>
    <col min="15111" max="15111" width="48.33203125" bestFit="1" customWidth="1"/>
    <col min="15112" max="15113" width="11.6640625" bestFit="1" customWidth="1"/>
    <col min="15114" max="15360" width="8.88671875" customWidth="1"/>
    <col min="15361" max="15361" width="45.44140625" customWidth="1"/>
    <col min="15362" max="15362" width="67.109375" customWidth="1"/>
    <col min="15363" max="15363" width="22.6640625" customWidth="1"/>
    <col min="15364" max="15364" width="16" bestFit="1" customWidth="1"/>
    <col min="15365" max="15365" width="27.109375" customWidth="1"/>
    <col min="15366" max="15366" width="13.44140625" bestFit="1" customWidth="1"/>
    <col min="15367" max="15367" width="48.33203125" bestFit="1" customWidth="1"/>
    <col min="15368" max="15369" width="11.6640625" bestFit="1" customWidth="1"/>
    <col min="15370" max="15616" width="8.88671875" customWidth="1"/>
    <col min="15617" max="15617" width="45.44140625" customWidth="1"/>
    <col min="15618" max="15618" width="67.109375" customWidth="1"/>
    <col min="15619" max="15619" width="22.6640625" customWidth="1"/>
    <col min="15620" max="15620" width="16" bestFit="1" customWidth="1"/>
    <col min="15621" max="15621" width="27.109375" customWidth="1"/>
    <col min="15622" max="15622" width="13.44140625" bestFit="1" customWidth="1"/>
    <col min="15623" max="15623" width="48.33203125" bestFit="1" customWidth="1"/>
    <col min="15624" max="15625" width="11.6640625" bestFit="1" customWidth="1"/>
    <col min="15626" max="15872" width="8.88671875" customWidth="1"/>
    <col min="15873" max="15873" width="45.44140625" customWidth="1"/>
    <col min="15874" max="15874" width="67.109375" customWidth="1"/>
    <col min="15875" max="15875" width="22.6640625" customWidth="1"/>
    <col min="15876" max="15876" width="16" bestFit="1" customWidth="1"/>
    <col min="15877" max="15877" width="27.109375" customWidth="1"/>
    <col min="15878" max="15878" width="13.44140625" bestFit="1" customWidth="1"/>
    <col min="15879" max="15879" width="48.33203125" bestFit="1" customWidth="1"/>
    <col min="15880" max="15881" width="11.6640625" bestFit="1" customWidth="1"/>
    <col min="15882" max="16128" width="8.88671875" customWidth="1"/>
    <col min="16129" max="16129" width="45.44140625" customWidth="1"/>
    <col min="16130" max="16130" width="67.109375" customWidth="1"/>
    <col min="16131" max="16131" width="22.6640625" customWidth="1"/>
    <col min="16132" max="16132" width="16" bestFit="1" customWidth="1"/>
    <col min="16133" max="16133" width="27.109375" customWidth="1"/>
    <col min="16134" max="16134" width="13.44140625" bestFit="1" customWidth="1"/>
    <col min="16135" max="16135" width="48.33203125" bestFit="1" customWidth="1"/>
    <col min="16136" max="16137" width="11.6640625" bestFit="1" customWidth="1"/>
    <col min="16138" max="16384" width="8.88671875" customWidth="1"/>
  </cols>
  <sheetData>
    <row r="1" spans="1:8" ht="17.399999999999999" x14ac:dyDescent="0.3">
      <c r="A1" s="80" t="s">
        <v>392</v>
      </c>
    </row>
    <row r="2" spans="1:8" ht="17.399999999999999" x14ac:dyDescent="0.3">
      <c r="A2" s="80"/>
    </row>
    <row r="3" spans="1:8" ht="23.25" customHeight="1" x14ac:dyDescent="0.5">
      <c r="A3" s="1021" t="s">
        <v>805</v>
      </c>
      <c r="B3" s="1021"/>
      <c r="D3" s="158">
        <v>2017</v>
      </c>
    </row>
    <row r="4" spans="1:8" ht="15" thickBot="1" x14ac:dyDescent="0.35"/>
    <row r="5" spans="1:8" ht="15" thickBot="1" x14ac:dyDescent="0.35">
      <c r="A5" s="50">
        <v>73</v>
      </c>
      <c r="B5" s="1012" t="s">
        <v>331</v>
      </c>
      <c r="C5" s="1012"/>
      <c r="D5" s="159">
        <f>D7+D9</f>
        <v>12409792.58</v>
      </c>
      <c r="E5" s="6"/>
      <c r="F5" s="6"/>
      <c r="G5" s="6"/>
    </row>
    <row r="6" spans="1:8" x14ac:dyDescent="0.3">
      <c r="A6" s="52" t="s">
        <v>332</v>
      </c>
      <c r="B6" s="1013" t="s">
        <v>333</v>
      </c>
      <c r="C6" s="1013"/>
      <c r="D6" s="53"/>
    </row>
    <row r="7" spans="1:8" x14ac:dyDescent="0.3">
      <c r="A7" s="52">
        <v>732</v>
      </c>
      <c r="B7" s="160" t="s">
        <v>335</v>
      </c>
      <c r="C7" s="65" t="s">
        <v>346</v>
      </c>
      <c r="D7" s="53">
        <v>39610.43</v>
      </c>
    </row>
    <row r="8" spans="1:8" ht="15" thickBot="1" x14ac:dyDescent="0.35">
      <c r="A8" s="54" t="s">
        <v>336</v>
      </c>
      <c r="B8" s="1015" t="s">
        <v>337</v>
      </c>
      <c r="C8" s="1015"/>
      <c r="D8" s="88"/>
    </row>
    <row r="9" spans="1:8" ht="39.75" customHeight="1" thickBot="1" x14ac:dyDescent="0.35">
      <c r="A9" s="7" t="s">
        <v>10</v>
      </c>
      <c r="B9" s="1022" t="s">
        <v>11</v>
      </c>
      <c r="C9" s="1022"/>
      <c r="D9" s="161">
        <f>221995.73+10771323.32+1376863.1</f>
        <v>12370182.15</v>
      </c>
    </row>
    <row r="10" spans="1:8" ht="15" thickBot="1" x14ac:dyDescent="0.35">
      <c r="A10" s="62" t="s">
        <v>5</v>
      </c>
      <c r="B10" s="63" t="s">
        <v>6</v>
      </c>
      <c r="C10" s="62" t="s">
        <v>344</v>
      </c>
      <c r="D10" s="162" t="s">
        <v>345</v>
      </c>
    </row>
    <row r="11" spans="1:8" ht="17.25" customHeight="1" x14ac:dyDescent="0.3">
      <c r="A11" s="52" t="s">
        <v>806</v>
      </c>
      <c r="B11" s="27" t="s">
        <v>807</v>
      </c>
      <c r="C11" s="65" t="s">
        <v>346</v>
      </c>
      <c r="D11" s="53">
        <v>27809.84</v>
      </c>
    </row>
    <row r="12" spans="1:8" s="124" customFormat="1" x14ac:dyDescent="0.3">
      <c r="A12" s="84" t="s">
        <v>808</v>
      </c>
      <c r="B12" s="25" t="s">
        <v>809</v>
      </c>
      <c r="C12" s="91" t="s">
        <v>346</v>
      </c>
      <c r="D12" s="156">
        <v>124653.83</v>
      </c>
      <c r="H12" s="115"/>
    </row>
    <row r="13" spans="1:8" s="124" customFormat="1" ht="16.95" customHeight="1" x14ac:dyDescent="0.3">
      <c r="A13" s="52" t="s">
        <v>810</v>
      </c>
      <c r="B13" s="27" t="s">
        <v>811</v>
      </c>
      <c r="C13" s="65" t="s">
        <v>812</v>
      </c>
      <c r="D13" s="156">
        <v>27982.67</v>
      </c>
      <c r="H13" s="115"/>
    </row>
    <row r="14" spans="1:8" x14ac:dyDescent="0.3">
      <c r="A14" s="52" t="s">
        <v>813</v>
      </c>
      <c r="B14" s="27" t="s">
        <v>814</v>
      </c>
      <c r="C14" s="65" t="s">
        <v>346</v>
      </c>
      <c r="D14" s="156">
        <v>1148.8800000000001</v>
      </c>
    </row>
    <row r="15" spans="1:8" x14ac:dyDescent="0.3">
      <c r="A15" s="52" t="s">
        <v>815</v>
      </c>
      <c r="B15" s="27" t="s">
        <v>816</v>
      </c>
      <c r="C15" s="65" t="s">
        <v>346</v>
      </c>
      <c r="D15" s="156">
        <v>18600.009999999998</v>
      </c>
    </row>
    <row r="16" spans="1:8" x14ac:dyDescent="0.3">
      <c r="A16" s="52" t="s">
        <v>817</v>
      </c>
      <c r="B16" s="27" t="s">
        <v>818</v>
      </c>
      <c r="C16" s="65" t="s">
        <v>346</v>
      </c>
      <c r="D16" s="156">
        <v>21800.5</v>
      </c>
    </row>
    <row r="17" spans="1:4" x14ac:dyDescent="0.3">
      <c r="A17" s="52" t="s">
        <v>819</v>
      </c>
      <c r="B17" s="27" t="s">
        <v>820</v>
      </c>
      <c r="C17" s="65" t="s">
        <v>346</v>
      </c>
      <c r="D17" s="156">
        <v>9150720.3399999999</v>
      </c>
    </row>
    <row r="18" spans="1:4" x14ac:dyDescent="0.3">
      <c r="A18" s="52" t="s">
        <v>821</v>
      </c>
      <c r="B18" s="27" t="s">
        <v>822</v>
      </c>
      <c r="C18" s="65" t="s">
        <v>346</v>
      </c>
      <c r="D18" s="156">
        <v>0</v>
      </c>
    </row>
    <row r="19" spans="1:4" x14ac:dyDescent="0.3">
      <c r="A19" s="52" t="s">
        <v>823</v>
      </c>
      <c r="B19" s="27" t="s">
        <v>824</v>
      </c>
      <c r="C19" s="79" t="s">
        <v>825</v>
      </c>
      <c r="D19" s="156">
        <v>82327.34</v>
      </c>
    </row>
    <row r="20" spans="1:4" x14ac:dyDescent="0.3">
      <c r="A20" s="163" t="s">
        <v>826</v>
      </c>
      <c r="B20" s="164" t="s">
        <v>827</v>
      </c>
      <c r="C20" s="165" t="s">
        <v>828</v>
      </c>
      <c r="D20" s="166">
        <v>940091.32</v>
      </c>
    </row>
    <row r="21" spans="1:4" x14ac:dyDescent="0.3">
      <c r="A21" s="163" t="s">
        <v>829</v>
      </c>
      <c r="B21" s="164" t="s">
        <v>830</v>
      </c>
      <c r="C21" s="165" t="s">
        <v>828</v>
      </c>
      <c r="D21" s="166">
        <v>53999.9</v>
      </c>
    </row>
    <row r="22" spans="1:4" x14ac:dyDescent="0.3">
      <c r="A22" s="52" t="s">
        <v>831</v>
      </c>
      <c r="B22" s="27" t="s">
        <v>832</v>
      </c>
      <c r="C22" s="65" t="s">
        <v>346</v>
      </c>
      <c r="D22" s="156">
        <v>268127.34000000003</v>
      </c>
    </row>
    <row r="23" spans="1:4" x14ac:dyDescent="0.3">
      <c r="A23" s="84" t="s">
        <v>833</v>
      </c>
      <c r="B23" s="25" t="s">
        <v>834</v>
      </c>
      <c r="C23" s="91" t="s">
        <v>346</v>
      </c>
      <c r="D23" s="156">
        <v>22222.84</v>
      </c>
    </row>
    <row r="24" spans="1:4" x14ac:dyDescent="0.3">
      <c r="A24" s="84" t="s">
        <v>835</v>
      </c>
      <c r="B24" s="25" t="s">
        <v>836</v>
      </c>
      <c r="C24" s="91" t="s">
        <v>346</v>
      </c>
      <c r="D24" s="156">
        <v>40001.19</v>
      </c>
    </row>
    <row r="25" spans="1:4" x14ac:dyDescent="0.3">
      <c r="A25" s="84" t="s">
        <v>837</v>
      </c>
      <c r="B25" s="25" t="s">
        <v>838</v>
      </c>
      <c r="C25" s="91" t="s">
        <v>346</v>
      </c>
      <c r="D25" s="156">
        <v>11111.42</v>
      </c>
    </row>
    <row r="26" spans="1:4" x14ac:dyDescent="0.3">
      <c r="A26" s="52" t="s">
        <v>839</v>
      </c>
      <c r="B26" s="27" t="s">
        <v>840</v>
      </c>
      <c r="C26" s="65" t="s">
        <v>841</v>
      </c>
      <c r="D26" s="156">
        <v>185231.62</v>
      </c>
    </row>
    <row r="27" spans="1:4" x14ac:dyDescent="0.3">
      <c r="A27" s="52" t="s">
        <v>842</v>
      </c>
      <c r="B27" s="27" t="s">
        <v>843</v>
      </c>
      <c r="C27" s="65" t="s">
        <v>346</v>
      </c>
      <c r="D27" s="156">
        <v>17490.009999999998</v>
      </c>
    </row>
    <row r="28" spans="1:4" x14ac:dyDescent="0.3">
      <c r="A28" s="52" t="s">
        <v>844</v>
      </c>
      <c r="B28" s="27" t="s">
        <v>845</v>
      </c>
      <c r="C28" s="65" t="s">
        <v>346</v>
      </c>
      <c r="D28" s="156">
        <v>3720</v>
      </c>
    </row>
    <row r="29" spans="1:4" x14ac:dyDescent="0.3">
      <c r="A29" s="52" t="s">
        <v>846</v>
      </c>
      <c r="B29" s="27" t="s">
        <v>847</v>
      </c>
      <c r="C29" s="65" t="s">
        <v>848</v>
      </c>
      <c r="D29" s="156">
        <v>39634</v>
      </c>
    </row>
    <row r="30" spans="1:4" x14ac:dyDescent="0.3">
      <c r="A30" s="52" t="s">
        <v>849</v>
      </c>
      <c r="B30" s="27" t="s">
        <v>847</v>
      </c>
      <c r="C30" s="65" t="s">
        <v>812</v>
      </c>
      <c r="D30" s="156">
        <v>61100.14</v>
      </c>
    </row>
    <row r="31" spans="1:4" x14ac:dyDescent="0.3">
      <c r="A31" s="84" t="s">
        <v>850</v>
      </c>
      <c r="B31" s="27" t="s">
        <v>847</v>
      </c>
      <c r="C31" s="91" t="s">
        <v>851</v>
      </c>
      <c r="D31" s="156">
        <v>39424.699999999997</v>
      </c>
    </row>
    <row r="32" spans="1:4" x14ac:dyDescent="0.3">
      <c r="A32" s="52" t="s">
        <v>852</v>
      </c>
      <c r="B32" s="27" t="s">
        <v>847</v>
      </c>
      <c r="C32" s="91" t="s">
        <v>853</v>
      </c>
      <c r="D32" s="156">
        <v>12947.25</v>
      </c>
    </row>
    <row r="33" spans="1:4" x14ac:dyDescent="0.3">
      <c r="A33" s="52" t="s">
        <v>854</v>
      </c>
      <c r="B33" s="27" t="s">
        <v>855</v>
      </c>
      <c r="C33" s="65" t="s">
        <v>346</v>
      </c>
      <c r="D33" s="156">
        <v>55783.05</v>
      </c>
    </row>
    <row r="34" spans="1:4" x14ac:dyDescent="0.3">
      <c r="A34" s="52" t="s">
        <v>856</v>
      </c>
      <c r="B34" s="27" t="s">
        <v>857</v>
      </c>
      <c r="C34" s="65" t="s">
        <v>346</v>
      </c>
      <c r="D34" s="156">
        <v>30200</v>
      </c>
    </row>
    <row r="35" spans="1:4" x14ac:dyDescent="0.3">
      <c r="A35" s="52" t="s">
        <v>858</v>
      </c>
      <c r="B35" s="27" t="s">
        <v>857</v>
      </c>
      <c r="C35" s="65" t="s">
        <v>346</v>
      </c>
      <c r="D35" s="53">
        <v>25</v>
      </c>
    </row>
    <row r="36" spans="1:4" x14ac:dyDescent="0.3">
      <c r="A36" s="52" t="s">
        <v>859</v>
      </c>
      <c r="B36" s="27" t="s">
        <v>857</v>
      </c>
      <c r="C36" s="65" t="s">
        <v>346</v>
      </c>
      <c r="D36" s="53">
        <v>2236</v>
      </c>
    </row>
    <row r="37" spans="1:4" x14ac:dyDescent="0.3">
      <c r="A37" s="52" t="s">
        <v>860</v>
      </c>
      <c r="B37" s="27" t="s">
        <v>857</v>
      </c>
      <c r="C37" s="65" t="s">
        <v>346</v>
      </c>
      <c r="D37" s="53">
        <v>625</v>
      </c>
    </row>
    <row r="38" spans="1:4" x14ac:dyDescent="0.3">
      <c r="A38" s="52" t="s">
        <v>861</v>
      </c>
      <c r="B38" s="27" t="s">
        <v>857</v>
      </c>
      <c r="C38" s="65" t="s">
        <v>346</v>
      </c>
      <c r="D38" s="53">
        <v>409</v>
      </c>
    </row>
    <row r="39" spans="1:4" x14ac:dyDescent="0.3">
      <c r="A39" s="52" t="s">
        <v>862</v>
      </c>
      <c r="B39" s="27" t="s">
        <v>857</v>
      </c>
      <c r="C39" s="65" t="s">
        <v>346</v>
      </c>
      <c r="D39" s="53">
        <v>25</v>
      </c>
    </row>
    <row r="40" spans="1:4" x14ac:dyDescent="0.3">
      <c r="A40" s="52" t="s">
        <v>863</v>
      </c>
      <c r="B40" s="27" t="s">
        <v>857</v>
      </c>
      <c r="C40" s="65" t="s">
        <v>346</v>
      </c>
      <c r="D40" s="53">
        <v>1000</v>
      </c>
    </row>
    <row r="41" spans="1:4" x14ac:dyDescent="0.3">
      <c r="A41" s="52" t="s">
        <v>864</v>
      </c>
      <c r="B41" s="27" t="s">
        <v>857</v>
      </c>
      <c r="C41" s="65" t="s">
        <v>346</v>
      </c>
      <c r="D41" s="53">
        <v>50</v>
      </c>
    </row>
    <row r="42" spans="1:4" x14ac:dyDescent="0.3">
      <c r="A42" s="84" t="s">
        <v>865</v>
      </c>
      <c r="B42" s="27" t="s">
        <v>857</v>
      </c>
      <c r="C42" s="91" t="s">
        <v>866</v>
      </c>
      <c r="D42" s="53">
        <v>46784</v>
      </c>
    </row>
    <row r="43" spans="1:4" x14ac:dyDescent="0.3">
      <c r="A43" s="84" t="s">
        <v>867</v>
      </c>
      <c r="B43" s="27" t="s">
        <v>857</v>
      </c>
      <c r="C43" s="91" t="s">
        <v>346</v>
      </c>
      <c r="D43" s="53">
        <v>5913.11</v>
      </c>
    </row>
    <row r="44" spans="1:4" x14ac:dyDescent="0.3">
      <c r="A44" s="52" t="s">
        <v>868</v>
      </c>
      <c r="B44" s="27" t="s">
        <v>847</v>
      </c>
      <c r="C44" s="65" t="s">
        <v>812</v>
      </c>
      <c r="D44" s="53">
        <v>135552.07999999999</v>
      </c>
    </row>
    <row r="45" spans="1:4" x14ac:dyDescent="0.3">
      <c r="A45" s="52" t="s">
        <v>869</v>
      </c>
      <c r="B45" s="27" t="s">
        <v>847</v>
      </c>
      <c r="C45" s="72" t="s">
        <v>870</v>
      </c>
      <c r="D45" s="53">
        <v>20614</v>
      </c>
    </row>
    <row r="46" spans="1:4" x14ac:dyDescent="0.3">
      <c r="A46" s="52" t="s">
        <v>871</v>
      </c>
      <c r="B46" s="31" t="s">
        <v>872</v>
      </c>
      <c r="C46" s="65" t="s">
        <v>873</v>
      </c>
      <c r="D46" s="53">
        <v>62497.14</v>
      </c>
    </row>
    <row r="47" spans="1:4" x14ac:dyDescent="0.3">
      <c r="A47" s="52" t="s">
        <v>874</v>
      </c>
      <c r="B47" s="31" t="s">
        <v>875</v>
      </c>
      <c r="C47" s="65" t="s">
        <v>876</v>
      </c>
      <c r="D47" s="53">
        <v>60000</v>
      </c>
    </row>
    <row r="48" spans="1:4" x14ac:dyDescent="0.3">
      <c r="A48" s="52" t="s">
        <v>877</v>
      </c>
      <c r="B48" s="167" t="s">
        <v>878</v>
      </c>
      <c r="C48" s="65" t="s">
        <v>879</v>
      </c>
      <c r="D48" s="53">
        <v>90000</v>
      </c>
    </row>
    <row r="49" spans="1:6" x14ac:dyDescent="0.3">
      <c r="A49" s="52" t="s">
        <v>880</v>
      </c>
      <c r="B49" s="27" t="s">
        <v>847</v>
      </c>
      <c r="C49" s="72" t="s">
        <v>870</v>
      </c>
      <c r="D49" s="53">
        <v>25500</v>
      </c>
    </row>
    <row r="50" spans="1:6" x14ac:dyDescent="0.3">
      <c r="A50" s="52" t="s">
        <v>881</v>
      </c>
      <c r="B50" s="27" t="s">
        <v>882</v>
      </c>
      <c r="C50" s="65" t="s">
        <v>883</v>
      </c>
      <c r="D50" s="53">
        <v>38402.31</v>
      </c>
    </row>
    <row r="51" spans="1:6" x14ac:dyDescent="0.3">
      <c r="A51" s="52" t="s">
        <v>884</v>
      </c>
      <c r="B51" s="27" t="s">
        <v>885</v>
      </c>
      <c r="C51" s="65" t="s">
        <v>346</v>
      </c>
      <c r="D51" s="53">
        <v>581884.57999999996</v>
      </c>
    </row>
    <row r="52" spans="1:6" x14ac:dyDescent="0.3">
      <c r="A52" s="168" t="s">
        <v>886</v>
      </c>
      <c r="B52" s="31" t="s">
        <v>887</v>
      </c>
      <c r="C52" s="72" t="s">
        <v>346</v>
      </c>
      <c r="D52" s="169">
        <v>16358.59</v>
      </c>
    </row>
    <row r="53" spans="1:6" x14ac:dyDescent="0.3">
      <c r="A53" s="168" t="s">
        <v>888</v>
      </c>
      <c r="B53" s="31" t="s">
        <v>889</v>
      </c>
      <c r="C53" s="72" t="s">
        <v>346</v>
      </c>
      <c r="D53" s="169">
        <v>24698.34</v>
      </c>
    </row>
    <row r="54" spans="1:6" x14ac:dyDescent="0.3">
      <c r="A54" s="168" t="s">
        <v>890</v>
      </c>
      <c r="B54" s="31" t="s">
        <v>891</v>
      </c>
      <c r="C54" s="72" t="s">
        <v>346</v>
      </c>
      <c r="D54" s="169">
        <v>6126.99</v>
      </c>
    </row>
    <row r="55" spans="1:6" x14ac:dyDescent="0.3">
      <c r="A55" s="168" t="s">
        <v>892</v>
      </c>
      <c r="B55" s="170" t="s">
        <v>893</v>
      </c>
      <c r="C55" s="72" t="s">
        <v>346</v>
      </c>
      <c r="D55" s="169">
        <v>3399.03</v>
      </c>
    </row>
    <row r="56" spans="1:6" x14ac:dyDescent="0.3">
      <c r="A56" s="171" t="s">
        <v>894</v>
      </c>
      <c r="B56" s="172" t="s">
        <v>895</v>
      </c>
      <c r="C56" s="151" t="s">
        <v>896</v>
      </c>
      <c r="D56" s="169">
        <v>1220</v>
      </c>
    </row>
    <row r="57" spans="1:6" x14ac:dyDescent="0.3">
      <c r="A57" s="173" t="s">
        <v>897</v>
      </c>
      <c r="B57" s="110" t="s">
        <v>898</v>
      </c>
      <c r="C57" s="79" t="s">
        <v>899</v>
      </c>
      <c r="D57" s="174">
        <f>7122.66+50+49.97</f>
        <v>7222.63</v>
      </c>
    </row>
    <row r="58" spans="1:6" x14ac:dyDescent="0.3">
      <c r="A58" s="175" t="s">
        <v>900</v>
      </c>
      <c r="B58" s="176" t="s">
        <v>901</v>
      </c>
      <c r="C58" s="151" t="s">
        <v>79</v>
      </c>
      <c r="D58" s="169">
        <v>1471.16</v>
      </c>
      <c r="E58" s="6"/>
    </row>
    <row r="59" spans="1:6" x14ac:dyDescent="0.3">
      <c r="A59" s="175" t="s">
        <v>902</v>
      </c>
      <c r="B59" s="172" t="s">
        <v>903</v>
      </c>
      <c r="C59" s="79" t="s">
        <v>346</v>
      </c>
      <c r="D59" s="169">
        <v>2040</v>
      </c>
      <c r="E59" s="6"/>
    </row>
    <row r="60" spans="1:6" ht="15" thickBot="1" x14ac:dyDescent="0.35">
      <c r="A60" s="177"/>
      <c r="B60" s="75"/>
      <c r="C60" s="76"/>
      <c r="D60" s="178">
        <f>SUM(D11:D59)</f>
        <v>12370182.15</v>
      </c>
      <c r="E60" s="6"/>
      <c r="F60" s="6"/>
    </row>
    <row r="61" spans="1:6" x14ac:dyDescent="0.3">
      <c r="A61" s="81"/>
      <c r="D61" s="179"/>
    </row>
    <row r="62" spans="1:6" ht="15" thickBot="1" x14ac:dyDescent="0.35"/>
    <row r="63" spans="1:6" ht="15" thickBot="1" x14ac:dyDescent="0.35">
      <c r="C63" s="130" t="s">
        <v>344</v>
      </c>
      <c r="D63" s="180" t="s">
        <v>904</v>
      </c>
    </row>
    <row r="64" spans="1:6" x14ac:dyDescent="0.3">
      <c r="C64" s="181" t="s">
        <v>346</v>
      </c>
      <c r="D64" s="182">
        <f t="shared" ref="D64:D79" si="0">SUMIF(C11:C59,C64,D11:D59)</f>
        <v>10438179.889999999</v>
      </c>
    </row>
    <row r="65" spans="3:4" x14ac:dyDescent="0.3">
      <c r="C65" s="181" t="s">
        <v>812</v>
      </c>
      <c r="D65" s="105">
        <f t="shared" si="0"/>
        <v>224634.88999999998</v>
      </c>
    </row>
    <row r="66" spans="3:4" x14ac:dyDescent="0.3">
      <c r="C66" s="183" t="s">
        <v>825</v>
      </c>
      <c r="D66" s="105">
        <f t="shared" si="0"/>
        <v>82327.34</v>
      </c>
    </row>
    <row r="67" spans="3:4" x14ac:dyDescent="0.3">
      <c r="C67" s="184" t="s">
        <v>828</v>
      </c>
      <c r="D67" s="185">
        <f t="shared" si="0"/>
        <v>994091.22</v>
      </c>
    </row>
    <row r="68" spans="3:4" x14ac:dyDescent="0.3">
      <c r="C68" s="181" t="s">
        <v>841</v>
      </c>
      <c r="D68" s="105">
        <f t="shared" si="0"/>
        <v>185231.62</v>
      </c>
    </row>
    <row r="69" spans="3:4" x14ac:dyDescent="0.3">
      <c r="C69" s="181" t="s">
        <v>848</v>
      </c>
      <c r="D69" s="105">
        <f t="shared" si="0"/>
        <v>39634</v>
      </c>
    </row>
    <row r="70" spans="3:4" x14ac:dyDescent="0.3">
      <c r="C70" s="132" t="s">
        <v>851</v>
      </c>
      <c r="D70" s="105">
        <f t="shared" si="0"/>
        <v>52371.95</v>
      </c>
    </row>
    <row r="71" spans="3:4" x14ac:dyDescent="0.3">
      <c r="C71" s="132" t="s">
        <v>866</v>
      </c>
      <c r="D71" s="105">
        <f t="shared" si="0"/>
        <v>46784</v>
      </c>
    </row>
    <row r="72" spans="3:4" x14ac:dyDescent="0.3">
      <c r="C72" s="186" t="s">
        <v>870</v>
      </c>
      <c r="D72" s="105">
        <f t="shared" si="0"/>
        <v>46114</v>
      </c>
    </row>
    <row r="73" spans="3:4" x14ac:dyDescent="0.3">
      <c r="C73" s="181" t="s">
        <v>873</v>
      </c>
      <c r="D73" s="105">
        <f t="shared" si="0"/>
        <v>62497.14</v>
      </c>
    </row>
    <row r="74" spans="3:4" x14ac:dyDescent="0.3">
      <c r="C74" s="181" t="s">
        <v>876</v>
      </c>
      <c r="D74" s="105">
        <f t="shared" si="0"/>
        <v>60000</v>
      </c>
    </row>
    <row r="75" spans="3:4" x14ac:dyDescent="0.3">
      <c r="C75" s="181" t="s">
        <v>879</v>
      </c>
      <c r="D75" s="105">
        <f t="shared" si="0"/>
        <v>90000</v>
      </c>
    </row>
    <row r="76" spans="3:4" x14ac:dyDescent="0.3">
      <c r="C76" s="181" t="s">
        <v>883</v>
      </c>
      <c r="D76" s="105">
        <f t="shared" si="0"/>
        <v>38402.31</v>
      </c>
    </row>
    <row r="77" spans="3:4" x14ac:dyDescent="0.3">
      <c r="C77" s="140" t="s">
        <v>896</v>
      </c>
      <c r="D77" s="105">
        <f t="shared" si="0"/>
        <v>1220</v>
      </c>
    </row>
    <row r="78" spans="3:4" x14ac:dyDescent="0.3">
      <c r="C78" s="183" t="s">
        <v>899</v>
      </c>
      <c r="D78" s="105">
        <f t="shared" si="0"/>
        <v>7222.63</v>
      </c>
    </row>
    <row r="79" spans="3:4" ht="15" thickBot="1" x14ac:dyDescent="0.35">
      <c r="C79" s="140" t="s">
        <v>79</v>
      </c>
      <c r="D79" s="187">
        <f t="shared" si="0"/>
        <v>1471.16</v>
      </c>
    </row>
    <row r="80" spans="3:4" ht="15" thickBot="1" x14ac:dyDescent="0.35">
      <c r="D80" s="188">
        <f>SUM(D64:D79)</f>
        <v>12370182.15</v>
      </c>
    </row>
  </sheetData>
  <mergeCells count="5">
    <mergeCell ref="A3:B3"/>
    <mergeCell ref="B5:C5"/>
    <mergeCell ref="B6:C6"/>
    <mergeCell ref="B8:C8"/>
    <mergeCell ref="B9:C9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2"/>
  <sheetViews>
    <sheetView workbookViewId="0"/>
  </sheetViews>
  <sheetFormatPr defaultRowHeight="14.4" x14ac:dyDescent="0.3"/>
  <cols>
    <col min="1" max="1" width="45.44140625" customWidth="1"/>
    <col min="2" max="2" width="67.109375" customWidth="1"/>
    <col min="3" max="3" width="22.6640625" customWidth="1"/>
    <col min="4" max="4" width="16" style="124" bestFit="1" customWidth="1"/>
    <col min="5" max="5" width="27.109375" customWidth="1"/>
    <col min="6" max="6" width="13.44140625" bestFit="1" customWidth="1"/>
    <col min="7" max="7" width="48.33203125" bestFit="1" customWidth="1"/>
    <col min="8" max="8" width="11.6640625" style="6" bestFit="1" customWidth="1"/>
    <col min="9" max="9" width="11.6640625" bestFit="1" customWidth="1"/>
    <col min="10" max="256" width="8.88671875" customWidth="1"/>
    <col min="257" max="257" width="45.44140625" customWidth="1"/>
    <col min="258" max="258" width="67.109375" customWidth="1"/>
    <col min="259" max="259" width="22.6640625" customWidth="1"/>
    <col min="260" max="260" width="16" bestFit="1" customWidth="1"/>
    <col min="261" max="261" width="27.109375" customWidth="1"/>
    <col min="262" max="262" width="13.44140625" bestFit="1" customWidth="1"/>
    <col min="263" max="263" width="48.33203125" bestFit="1" customWidth="1"/>
    <col min="264" max="265" width="11.6640625" bestFit="1" customWidth="1"/>
    <col min="266" max="512" width="8.88671875" customWidth="1"/>
    <col min="513" max="513" width="45.44140625" customWidth="1"/>
    <col min="514" max="514" width="67.109375" customWidth="1"/>
    <col min="515" max="515" width="22.6640625" customWidth="1"/>
    <col min="516" max="516" width="16" bestFit="1" customWidth="1"/>
    <col min="517" max="517" width="27.109375" customWidth="1"/>
    <col min="518" max="518" width="13.44140625" bestFit="1" customWidth="1"/>
    <col min="519" max="519" width="48.33203125" bestFit="1" customWidth="1"/>
    <col min="520" max="521" width="11.6640625" bestFit="1" customWidth="1"/>
    <col min="522" max="768" width="8.88671875" customWidth="1"/>
    <col min="769" max="769" width="45.44140625" customWidth="1"/>
    <col min="770" max="770" width="67.109375" customWidth="1"/>
    <col min="771" max="771" width="22.6640625" customWidth="1"/>
    <col min="772" max="772" width="16" bestFit="1" customWidth="1"/>
    <col min="773" max="773" width="27.109375" customWidth="1"/>
    <col min="774" max="774" width="13.44140625" bestFit="1" customWidth="1"/>
    <col min="775" max="775" width="48.33203125" bestFit="1" customWidth="1"/>
    <col min="776" max="777" width="11.6640625" bestFit="1" customWidth="1"/>
    <col min="778" max="1024" width="8.88671875" customWidth="1"/>
    <col min="1025" max="1025" width="45.44140625" customWidth="1"/>
    <col min="1026" max="1026" width="67.109375" customWidth="1"/>
    <col min="1027" max="1027" width="22.6640625" customWidth="1"/>
    <col min="1028" max="1028" width="16" bestFit="1" customWidth="1"/>
    <col min="1029" max="1029" width="27.109375" customWidth="1"/>
    <col min="1030" max="1030" width="13.44140625" bestFit="1" customWidth="1"/>
    <col min="1031" max="1031" width="48.33203125" bestFit="1" customWidth="1"/>
    <col min="1032" max="1033" width="11.6640625" bestFit="1" customWidth="1"/>
    <col min="1034" max="1280" width="8.88671875" customWidth="1"/>
    <col min="1281" max="1281" width="45.44140625" customWidth="1"/>
    <col min="1282" max="1282" width="67.109375" customWidth="1"/>
    <col min="1283" max="1283" width="22.6640625" customWidth="1"/>
    <col min="1284" max="1284" width="16" bestFit="1" customWidth="1"/>
    <col min="1285" max="1285" width="27.109375" customWidth="1"/>
    <col min="1286" max="1286" width="13.44140625" bestFit="1" customWidth="1"/>
    <col min="1287" max="1287" width="48.33203125" bestFit="1" customWidth="1"/>
    <col min="1288" max="1289" width="11.6640625" bestFit="1" customWidth="1"/>
    <col min="1290" max="1536" width="8.88671875" customWidth="1"/>
    <col min="1537" max="1537" width="45.44140625" customWidth="1"/>
    <col min="1538" max="1538" width="67.109375" customWidth="1"/>
    <col min="1539" max="1539" width="22.6640625" customWidth="1"/>
    <col min="1540" max="1540" width="16" bestFit="1" customWidth="1"/>
    <col min="1541" max="1541" width="27.109375" customWidth="1"/>
    <col min="1542" max="1542" width="13.44140625" bestFit="1" customWidth="1"/>
    <col min="1543" max="1543" width="48.33203125" bestFit="1" customWidth="1"/>
    <col min="1544" max="1545" width="11.6640625" bestFit="1" customWidth="1"/>
    <col min="1546" max="1792" width="8.88671875" customWidth="1"/>
    <col min="1793" max="1793" width="45.44140625" customWidth="1"/>
    <col min="1794" max="1794" width="67.109375" customWidth="1"/>
    <col min="1795" max="1795" width="22.6640625" customWidth="1"/>
    <col min="1796" max="1796" width="16" bestFit="1" customWidth="1"/>
    <col min="1797" max="1797" width="27.109375" customWidth="1"/>
    <col min="1798" max="1798" width="13.44140625" bestFit="1" customWidth="1"/>
    <col min="1799" max="1799" width="48.33203125" bestFit="1" customWidth="1"/>
    <col min="1800" max="1801" width="11.6640625" bestFit="1" customWidth="1"/>
    <col min="1802" max="2048" width="8.88671875" customWidth="1"/>
    <col min="2049" max="2049" width="45.44140625" customWidth="1"/>
    <col min="2050" max="2050" width="67.109375" customWidth="1"/>
    <col min="2051" max="2051" width="22.6640625" customWidth="1"/>
    <col min="2052" max="2052" width="16" bestFit="1" customWidth="1"/>
    <col min="2053" max="2053" width="27.109375" customWidth="1"/>
    <col min="2054" max="2054" width="13.44140625" bestFit="1" customWidth="1"/>
    <col min="2055" max="2055" width="48.33203125" bestFit="1" customWidth="1"/>
    <col min="2056" max="2057" width="11.6640625" bestFit="1" customWidth="1"/>
    <col min="2058" max="2304" width="8.88671875" customWidth="1"/>
    <col min="2305" max="2305" width="45.44140625" customWidth="1"/>
    <col min="2306" max="2306" width="67.109375" customWidth="1"/>
    <col min="2307" max="2307" width="22.6640625" customWidth="1"/>
    <col min="2308" max="2308" width="16" bestFit="1" customWidth="1"/>
    <col min="2309" max="2309" width="27.109375" customWidth="1"/>
    <col min="2310" max="2310" width="13.44140625" bestFit="1" customWidth="1"/>
    <col min="2311" max="2311" width="48.33203125" bestFit="1" customWidth="1"/>
    <col min="2312" max="2313" width="11.6640625" bestFit="1" customWidth="1"/>
    <col min="2314" max="2560" width="8.88671875" customWidth="1"/>
    <col min="2561" max="2561" width="45.44140625" customWidth="1"/>
    <col min="2562" max="2562" width="67.109375" customWidth="1"/>
    <col min="2563" max="2563" width="22.6640625" customWidth="1"/>
    <col min="2564" max="2564" width="16" bestFit="1" customWidth="1"/>
    <col min="2565" max="2565" width="27.109375" customWidth="1"/>
    <col min="2566" max="2566" width="13.44140625" bestFit="1" customWidth="1"/>
    <col min="2567" max="2567" width="48.33203125" bestFit="1" customWidth="1"/>
    <col min="2568" max="2569" width="11.6640625" bestFit="1" customWidth="1"/>
    <col min="2570" max="2816" width="8.88671875" customWidth="1"/>
    <col min="2817" max="2817" width="45.44140625" customWidth="1"/>
    <col min="2818" max="2818" width="67.109375" customWidth="1"/>
    <col min="2819" max="2819" width="22.6640625" customWidth="1"/>
    <col min="2820" max="2820" width="16" bestFit="1" customWidth="1"/>
    <col min="2821" max="2821" width="27.109375" customWidth="1"/>
    <col min="2822" max="2822" width="13.44140625" bestFit="1" customWidth="1"/>
    <col min="2823" max="2823" width="48.33203125" bestFit="1" customWidth="1"/>
    <col min="2824" max="2825" width="11.6640625" bestFit="1" customWidth="1"/>
    <col min="2826" max="3072" width="8.88671875" customWidth="1"/>
    <col min="3073" max="3073" width="45.44140625" customWidth="1"/>
    <col min="3074" max="3074" width="67.109375" customWidth="1"/>
    <col min="3075" max="3075" width="22.6640625" customWidth="1"/>
    <col min="3076" max="3076" width="16" bestFit="1" customWidth="1"/>
    <col min="3077" max="3077" width="27.109375" customWidth="1"/>
    <col min="3078" max="3078" width="13.44140625" bestFit="1" customWidth="1"/>
    <col min="3079" max="3079" width="48.33203125" bestFit="1" customWidth="1"/>
    <col min="3080" max="3081" width="11.6640625" bestFit="1" customWidth="1"/>
    <col min="3082" max="3328" width="8.88671875" customWidth="1"/>
    <col min="3329" max="3329" width="45.44140625" customWidth="1"/>
    <col min="3330" max="3330" width="67.109375" customWidth="1"/>
    <col min="3331" max="3331" width="22.6640625" customWidth="1"/>
    <col min="3332" max="3332" width="16" bestFit="1" customWidth="1"/>
    <col min="3333" max="3333" width="27.109375" customWidth="1"/>
    <col min="3334" max="3334" width="13.44140625" bestFit="1" customWidth="1"/>
    <col min="3335" max="3335" width="48.33203125" bestFit="1" customWidth="1"/>
    <col min="3336" max="3337" width="11.6640625" bestFit="1" customWidth="1"/>
    <col min="3338" max="3584" width="8.88671875" customWidth="1"/>
    <col min="3585" max="3585" width="45.44140625" customWidth="1"/>
    <col min="3586" max="3586" width="67.109375" customWidth="1"/>
    <col min="3587" max="3587" width="22.6640625" customWidth="1"/>
    <col min="3588" max="3588" width="16" bestFit="1" customWidth="1"/>
    <col min="3589" max="3589" width="27.109375" customWidth="1"/>
    <col min="3590" max="3590" width="13.44140625" bestFit="1" customWidth="1"/>
    <col min="3591" max="3591" width="48.33203125" bestFit="1" customWidth="1"/>
    <col min="3592" max="3593" width="11.6640625" bestFit="1" customWidth="1"/>
    <col min="3594" max="3840" width="8.88671875" customWidth="1"/>
    <col min="3841" max="3841" width="45.44140625" customWidth="1"/>
    <col min="3842" max="3842" width="67.109375" customWidth="1"/>
    <col min="3843" max="3843" width="22.6640625" customWidth="1"/>
    <col min="3844" max="3844" width="16" bestFit="1" customWidth="1"/>
    <col min="3845" max="3845" width="27.109375" customWidth="1"/>
    <col min="3846" max="3846" width="13.44140625" bestFit="1" customWidth="1"/>
    <col min="3847" max="3847" width="48.33203125" bestFit="1" customWidth="1"/>
    <col min="3848" max="3849" width="11.6640625" bestFit="1" customWidth="1"/>
    <col min="3850" max="4096" width="8.88671875" customWidth="1"/>
    <col min="4097" max="4097" width="45.44140625" customWidth="1"/>
    <col min="4098" max="4098" width="67.109375" customWidth="1"/>
    <col min="4099" max="4099" width="22.6640625" customWidth="1"/>
    <col min="4100" max="4100" width="16" bestFit="1" customWidth="1"/>
    <col min="4101" max="4101" width="27.109375" customWidth="1"/>
    <col min="4102" max="4102" width="13.44140625" bestFit="1" customWidth="1"/>
    <col min="4103" max="4103" width="48.33203125" bestFit="1" customWidth="1"/>
    <col min="4104" max="4105" width="11.6640625" bestFit="1" customWidth="1"/>
    <col min="4106" max="4352" width="8.88671875" customWidth="1"/>
    <col min="4353" max="4353" width="45.44140625" customWidth="1"/>
    <col min="4354" max="4354" width="67.109375" customWidth="1"/>
    <col min="4355" max="4355" width="22.6640625" customWidth="1"/>
    <col min="4356" max="4356" width="16" bestFit="1" customWidth="1"/>
    <col min="4357" max="4357" width="27.109375" customWidth="1"/>
    <col min="4358" max="4358" width="13.44140625" bestFit="1" customWidth="1"/>
    <col min="4359" max="4359" width="48.33203125" bestFit="1" customWidth="1"/>
    <col min="4360" max="4361" width="11.6640625" bestFit="1" customWidth="1"/>
    <col min="4362" max="4608" width="8.88671875" customWidth="1"/>
    <col min="4609" max="4609" width="45.44140625" customWidth="1"/>
    <col min="4610" max="4610" width="67.109375" customWidth="1"/>
    <col min="4611" max="4611" width="22.6640625" customWidth="1"/>
    <col min="4612" max="4612" width="16" bestFit="1" customWidth="1"/>
    <col min="4613" max="4613" width="27.109375" customWidth="1"/>
    <col min="4614" max="4614" width="13.44140625" bestFit="1" customWidth="1"/>
    <col min="4615" max="4615" width="48.33203125" bestFit="1" customWidth="1"/>
    <col min="4616" max="4617" width="11.6640625" bestFit="1" customWidth="1"/>
    <col min="4618" max="4864" width="8.88671875" customWidth="1"/>
    <col min="4865" max="4865" width="45.44140625" customWidth="1"/>
    <col min="4866" max="4866" width="67.109375" customWidth="1"/>
    <col min="4867" max="4867" width="22.6640625" customWidth="1"/>
    <col min="4868" max="4868" width="16" bestFit="1" customWidth="1"/>
    <col min="4869" max="4869" width="27.109375" customWidth="1"/>
    <col min="4870" max="4870" width="13.44140625" bestFit="1" customWidth="1"/>
    <col min="4871" max="4871" width="48.33203125" bestFit="1" customWidth="1"/>
    <col min="4872" max="4873" width="11.6640625" bestFit="1" customWidth="1"/>
    <col min="4874" max="5120" width="8.88671875" customWidth="1"/>
    <col min="5121" max="5121" width="45.44140625" customWidth="1"/>
    <col min="5122" max="5122" width="67.109375" customWidth="1"/>
    <col min="5123" max="5123" width="22.6640625" customWidth="1"/>
    <col min="5124" max="5124" width="16" bestFit="1" customWidth="1"/>
    <col min="5125" max="5125" width="27.109375" customWidth="1"/>
    <col min="5126" max="5126" width="13.44140625" bestFit="1" customWidth="1"/>
    <col min="5127" max="5127" width="48.33203125" bestFit="1" customWidth="1"/>
    <col min="5128" max="5129" width="11.6640625" bestFit="1" customWidth="1"/>
    <col min="5130" max="5376" width="8.88671875" customWidth="1"/>
    <col min="5377" max="5377" width="45.44140625" customWidth="1"/>
    <col min="5378" max="5378" width="67.109375" customWidth="1"/>
    <col min="5379" max="5379" width="22.6640625" customWidth="1"/>
    <col min="5380" max="5380" width="16" bestFit="1" customWidth="1"/>
    <col min="5381" max="5381" width="27.109375" customWidth="1"/>
    <col min="5382" max="5382" width="13.44140625" bestFit="1" customWidth="1"/>
    <col min="5383" max="5383" width="48.33203125" bestFit="1" customWidth="1"/>
    <col min="5384" max="5385" width="11.6640625" bestFit="1" customWidth="1"/>
    <col min="5386" max="5632" width="8.88671875" customWidth="1"/>
    <col min="5633" max="5633" width="45.44140625" customWidth="1"/>
    <col min="5634" max="5634" width="67.109375" customWidth="1"/>
    <col min="5635" max="5635" width="22.6640625" customWidth="1"/>
    <col min="5636" max="5636" width="16" bestFit="1" customWidth="1"/>
    <col min="5637" max="5637" width="27.109375" customWidth="1"/>
    <col min="5638" max="5638" width="13.44140625" bestFit="1" customWidth="1"/>
    <col min="5639" max="5639" width="48.33203125" bestFit="1" customWidth="1"/>
    <col min="5640" max="5641" width="11.6640625" bestFit="1" customWidth="1"/>
    <col min="5642" max="5888" width="8.88671875" customWidth="1"/>
    <col min="5889" max="5889" width="45.44140625" customWidth="1"/>
    <col min="5890" max="5890" width="67.109375" customWidth="1"/>
    <col min="5891" max="5891" width="22.6640625" customWidth="1"/>
    <col min="5892" max="5892" width="16" bestFit="1" customWidth="1"/>
    <col min="5893" max="5893" width="27.109375" customWidth="1"/>
    <col min="5894" max="5894" width="13.44140625" bestFit="1" customWidth="1"/>
    <col min="5895" max="5895" width="48.33203125" bestFit="1" customWidth="1"/>
    <col min="5896" max="5897" width="11.6640625" bestFit="1" customWidth="1"/>
    <col min="5898" max="6144" width="8.88671875" customWidth="1"/>
    <col min="6145" max="6145" width="45.44140625" customWidth="1"/>
    <col min="6146" max="6146" width="67.109375" customWidth="1"/>
    <col min="6147" max="6147" width="22.6640625" customWidth="1"/>
    <col min="6148" max="6148" width="16" bestFit="1" customWidth="1"/>
    <col min="6149" max="6149" width="27.109375" customWidth="1"/>
    <col min="6150" max="6150" width="13.44140625" bestFit="1" customWidth="1"/>
    <col min="6151" max="6151" width="48.33203125" bestFit="1" customWidth="1"/>
    <col min="6152" max="6153" width="11.6640625" bestFit="1" customWidth="1"/>
    <col min="6154" max="6400" width="8.88671875" customWidth="1"/>
    <col min="6401" max="6401" width="45.44140625" customWidth="1"/>
    <col min="6402" max="6402" width="67.109375" customWidth="1"/>
    <col min="6403" max="6403" width="22.6640625" customWidth="1"/>
    <col min="6404" max="6404" width="16" bestFit="1" customWidth="1"/>
    <col min="6405" max="6405" width="27.109375" customWidth="1"/>
    <col min="6406" max="6406" width="13.44140625" bestFit="1" customWidth="1"/>
    <col min="6407" max="6407" width="48.33203125" bestFit="1" customWidth="1"/>
    <col min="6408" max="6409" width="11.6640625" bestFit="1" customWidth="1"/>
    <col min="6410" max="6656" width="8.88671875" customWidth="1"/>
    <col min="6657" max="6657" width="45.44140625" customWidth="1"/>
    <col min="6658" max="6658" width="67.109375" customWidth="1"/>
    <col min="6659" max="6659" width="22.6640625" customWidth="1"/>
    <col min="6660" max="6660" width="16" bestFit="1" customWidth="1"/>
    <col min="6661" max="6661" width="27.109375" customWidth="1"/>
    <col min="6662" max="6662" width="13.44140625" bestFit="1" customWidth="1"/>
    <col min="6663" max="6663" width="48.33203125" bestFit="1" customWidth="1"/>
    <col min="6664" max="6665" width="11.6640625" bestFit="1" customWidth="1"/>
    <col min="6666" max="6912" width="8.88671875" customWidth="1"/>
    <col min="6913" max="6913" width="45.44140625" customWidth="1"/>
    <col min="6914" max="6914" width="67.109375" customWidth="1"/>
    <col min="6915" max="6915" width="22.6640625" customWidth="1"/>
    <col min="6916" max="6916" width="16" bestFit="1" customWidth="1"/>
    <col min="6917" max="6917" width="27.109375" customWidth="1"/>
    <col min="6918" max="6918" width="13.44140625" bestFit="1" customWidth="1"/>
    <col min="6919" max="6919" width="48.33203125" bestFit="1" customWidth="1"/>
    <col min="6920" max="6921" width="11.6640625" bestFit="1" customWidth="1"/>
    <col min="6922" max="7168" width="8.88671875" customWidth="1"/>
    <col min="7169" max="7169" width="45.44140625" customWidth="1"/>
    <col min="7170" max="7170" width="67.109375" customWidth="1"/>
    <col min="7171" max="7171" width="22.6640625" customWidth="1"/>
    <col min="7172" max="7172" width="16" bestFit="1" customWidth="1"/>
    <col min="7173" max="7173" width="27.109375" customWidth="1"/>
    <col min="7174" max="7174" width="13.44140625" bestFit="1" customWidth="1"/>
    <col min="7175" max="7175" width="48.33203125" bestFit="1" customWidth="1"/>
    <col min="7176" max="7177" width="11.6640625" bestFit="1" customWidth="1"/>
    <col min="7178" max="7424" width="8.88671875" customWidth="1"/>
    <col min="7425" max="7425" width="45.44140625" customWidth="1"/>
    <col min="7426" max="7426" width="67.109375" customWidth="1"/>
    <col min="7427" max="7427" width="22.6640625" customWidth="1"/>
    <col min="7428" max="7428" width="16" bestFit="1" customWidth="1"/>
    <col min="7429" max="7429" width="27.109375" customWidth="1"/>
    <col min="7430" max="7430" width="13.44140625" bestFit="1" customWidth="1"/>
    <col min="7431" max="7431" width="48.33203125" bestFit="1" customWidth="1"/>
    <col min="7432" max="7433" width="11.6640625" bestFit="1" customWidth="1"/>
    <col min="7434" max="7680" width="8.88671875" customWidth="1"/>
    <col min="7681" max="7681" width="45.44140625" customWidth="1"/>
    <col min="7682" max="7682" width="67.109375" customWidth="1"/>
    <col min="7683" max="7683" width="22.6640625" customWidth="1"/>
    <col min="7684" max="7684" width="16" bestFit="1" customWidth="1"/>
    <col min="7685" max="7685" width="27.109375" customWidth="1"/>
    <col min="7686" max="7686" width="13.44140625" bestFit="1" customWidth="1"/>
    <col min="7687" max="7687" width="48.33203125" bestFit="1" customWidth="1"/>
    <col min="7688" max="7689" width="11.6640625" bestFit="1" customWidth="1"/>
    <col min="7690" max="7936" width="8.88671875" customWidth="1"/>
    <col min="7937" max="7937" width="45.44140625" customWidth="1"/>
    <col min="7938" max="7938" width="67.109375" customWidth="1"/>
    <col min="7939" max="7939" width="22.6640625" customWidth="1"/>
    <col min="7940" max="7940" width="16" bestFit="1" customWidth="1"/>
    <col min="7941" max="7941" width="27.109375" customWidth="1"/>
    <col min="7942" max="7942" width="13.44140625" bestFit="1" customWidth="1"/>
    <col min="7943" max="7943" width="48.33203125" bestFit="1" customWidth="1"/>
    <col min="7944" max="7945" width="11.6640625" bestFit="1" customWidth="1"/>
    <col min="7946" max="8192" width="8.88671875" customWidth="1"/>
    <col min="8193" max="8193" width="45.44140625" customWidth="1"/>
    <col min="8194" max="8194" width="67.109375" customWidth="1"/>
    <col min="8195" max="8195" width="22.6640625" customWidth="1"/>
    <col min="8196" max="8196" width="16" bestFit="1" customWidth="1"/>
    <col min="8197" max="8197" width="27.109375" customWidth="1"/>
    <col min="8198" max="8198" width="13.44140625" bestFit="1" customWidth="1"/>
    <col min="8199" max="8199" width="48.33203125" bestFit="1" customWidth="1"/>
    <col min="8200" max="8201" width="11.6640625" bestFit="1" customWidth="1"/>
    <col min="8202" max="8448" width="8.88671875" customWidth="1"/>
    <col min="8449" max="8449" width="45.44140625" customWidth="1"/>
    <col min="8450" max="8450" width="67.109375" customWidth="1"/>
    <col min="8451" max="8451" width="22.6640625" customWidth="1"/>
    <col min="8452" max="8452" width="16" bestFit="1" customWidth="1"/>
    <col min="8453" max="8453" width="27.109375" customWidth="1"/>
    <col min="8454" max="8454" width="13.44140625" bestFit="1" customWidth="1"/>
    <col min="8455" max="8455" width="48.33203125" bestFit="1" customWidth="1"/>
    <col min="8456" max="8457" width="11.6640625" bestFit="1" customWidth="1"/>
    <col min="8458" max="8704" width="8.88671875" customWidth="1"/>
    <col min="8705" max="8705" width="45.44140625" customWidth="1"/>
    <col min="8706" max="8706" width="67.109375" customWidth="1"/>
    <col min="8707" max="8707" width="22.6640625" customWidth="1"/>
    <col min="8708" max="8708" width="16" bestFit="1" customWidth="1"/>
    <col min="8709" max="8709" width="27.109375" customWidth="1"/>
    <col min="8710" max="8710" width="13.44140625" bestFit="1" customWidth="1"/>
    <col min="8711" max="8711" width="48.33203125" bestFit="1" customWidth="1"/>
    <col min="8712" max="8713" width="11.6640625" bestFit="1" customWidth="1"/>
    <col min="8714" max="8960" width="8.88671875" customWidth="1"/>
    <col min="8961" max="8961" width="45.44140625" customWidth="1"/>
    <col min="8962" max="8962" width="67.109375" customWidth="1"/>
    <col min="8963" max="8963" width="22.6640625" customWidth="1"/>
    <col min="8964" max="8964" width="16" bestFit="1" customWidth="1"/>
    <col min="8965" max="8965" width="27.109375" customWidth="1"/>
    <col min="8966" max="8966" width="13.44140625" bestFit="1" customWidth="1"/>
    <col min="8967" max="8967" width="48.33203125" bestFit="1" customWidth="1"/>
    <col min="8968" max="8969" width="11.6640625" bestFit="1" customWidth="1"/>
    <col min="8970" max="9216" width="8.88671875" customWidth="1"/>
    <col min="9217" max="9217" width="45.44140625" customWidth="1"/>
    <col min="9218" max="9218" width="67.109375" customWidth="1"/>
    <col min="9219" max="9219" width="22.6640625" customWidth="1"/>
    <col min="9220" max="9220" width="16" bestFit="1" customWidth="1"/>
    <col min="9221" max="9221" width="27.109375" customWidth="1"/>
    <col min="9222" max="9222" width="13.44140625" bestFit="1" customWidth="1"/>
    <col min="9223" max="9223" width="48.33203125" bestFit="1" customWidth="1"/>
    <col min="9224" max="9225" width="11.6640625" bestFit="1" customWidth="1"/>
    <col min="9226" max="9472" width="8.88671875" customWidth="1"/>
    <col min="9473" max="9473" width="45.44140625" customWidth="1"/>
    <col min="9474" max="9474" width="67.109375" customWidth="1"/>
    <col min="9475" max="9475" width="22.6640625" customWidth="1"/>
    <col min="9476" max="9476" width="16" bestFit="1" customWidth="1"/>
    <col min="9477" max="9477" width="27.109375" customWidth="1"/>
    <col min="9478" max="9478" width="13.44140625" bestFit="1" customWidth="1"/>
    <col min="9479" max="9479" width="48.33203125" bestFit="1" customWidth="1"/>
    <col min="9480" max="9481" width="11.6640625" bestFit="1" customWidth="1"/>
    <col min="9482" max="9728" width="8.88671875" customWidth="1"/>
    <col min="9729" max="9729" width="45.44140625" customWidth="1"/>
    <col min="9730" max="9730" width="67.109375" customWidth="1"/>
    <col min="9731" max="9731" width="22.6640625" customWidth="1"/>
    <col min="9732" max="9732" width="16" bestFit="1" customWidth="1"/>
    <col min="9733" max="9733" width="27.109375" customWidth="1"/>
    <col min="9734" max="9734" width="13.44140625" bestFit="1" customWidth="1"/>
    <col min="9735" max="9735" width="48.33203125" bestFit="1" customWidth="1"/>
    <col min="9736" max="9737" width="11.6640625" bestFit="1" customWidth="1"/>
    <col min="9738" max="9984" width="8.88671875" customWidth="1"/>
    <col min="9985" max="9985" width="45.44140625" customWidth="1"/>
    <col min="9986" max="9986" width="67.109375" customWidth="1"/>
    <col min="9987" max="9987" width="22.6640625" customWidth="1"/>
    <col min="9988" max="9988" width="16" bestFit="1" customWidth="1"/>
    <col min="9989" max="9989" width="27.109375" customWidth="1"/>
    <col min="9990" max="9990" width="13.44140625" bestFit="1" customWidth="1"/>
    <col min="9991" max="9991" width="48.33203125" bestFit="1" customWidth="1"/>
    <col min="9992" max="9993" width="11.6640625" bestFit="1" customWidth="1"/>
    <col min="9994" max="10240" width="8.88671875" customWidth="1"/>
    <col min="10241" max="10241" width="45.44140625" customWidth="1"/>
    <col min="10242" max="10242" width="67.109375" customWidth="1"/>
    <col min="10243" max="10243" width="22.6640625" customWidth="1"/>
    <col min="10244" max="10244" width="16" bestFit="1" customWidth="1"/>
    <col min="10245" max="10245" width="27.109375" customWidth="1"/>
    <col min="10246" max="10246" width="13.44140625" bestFit="1" customWidth="1"/>
    <col min="10247" max="10247" width="48.33203125" bestFit="1" customWidth="1"/>
    <col min="10248" max="10249" width="11.6640625" bestFit="1" customWidth="1"/>
    <col min="10250" max="10496" width="8.88671875" customWidth="1"/>
    <col min="10497" max="10497" width="45.44140625" customWidth="1"/>
    <col min="10498" max="10498" width="67.109375" customWidth="1"/>
    <col min="10499" max="10499" width="22.6640625" customWidth="1"/>
    <col min="10500" max="10500" width="16" bestFit="1" customWidth="1"/>
    <col min="10501" max="10501" width="27.109375" customWidth="1"/>
    <col min="10502" max="10502" width="13.44140625" bestFit="1" customWidth="1"/>
    <col min="10503" max="10503" width="48.33203125" bestFit="1" customWidth="1"/>
    <col min="10504" max="10505" width="11.6640625" bestFit="1" customWidth="1"/>
    <col min="10506" max="10752" width="8.88671875" customWidth="1"/>
    <col min="10753" max="10753" width="45.44140625" customWidth="1"/>
    <col min="10754" max="10754" width="67.109375" customWidth="1"/>
    <col min="10755" max="10755" width="22.6640625" customWidth="1"/>
    <col min="10756" max="10756" width="16" bestFit="1" customWidth="1"/>
    <col min="10757" max="10757" width="27.109375" customWidth="1"/>
    <col min="10758" max="10758" width="13.44140625" bestFit="1" customWidth="1"/>
    <col min="10759" max="10759" width="48.33203125" bestFit="1" customWidth="1"/>
    <col min="10760" max="10761" width="11.6640625" bestFit="1" customWidth="1"/>
    <col min="10762" max="11008" width="8.88671875" customWidth="1"/>
    <col min="11009" max="11009" width="45.44140625" customWidth="1"/>
    <col min="11010" max="11010" width="67.109375" customWidth="1"/>
    <col min="11011" max="11011" width="22.6640625" customWidth="1"/>
    <col min="11012" max="11012" width="16" bestFit="1" customWidth="1"/>
    <col min="11013" max="11013" width="27.109375" customWidth="1"/>
    <col min="11014" max="11014" width="13.44140625" bestFit="1" customWidth="1"/>
    <col min="11015" max="11015" width="48.33203125" bestFit="1" customWidth="1"/>
    <col min="11016" max="11017" width="11.6640625" bestFit="1" customWidth="1"/>
    <col min="11018" max="11264" width="8.88671875" customWidth="1"/>
    <col min="11265" max="11265" width="45.44140625" customWidth="1"/>
    <col min="11266" max="11266" width="67.109375" customWidth="1"/>
    <col min="11267" max="11267" width="22.6640625" customWidth="1"/>
    <col min="11268" max="11268" width="16" bestFit="1" customWidth="1"/>
    <col min="11269" max="11269" width="27.109375" customWidth="1"/>
    <col min="11270" max="11270" width="13.44140625" bestFit="1" customWidth="1"/>
    <col min="11271" max="11271" width="48.33203125" bestFit="1" customWidth="1"/>
    <col min="11272" max="11273" width="11.6640625" bestFit="1" customWidth="1"/>
    <col min="11274" max="11520" width="8.88671875" customWidth="1"/>
    <col min="11521" max="11521" width="45.44140625" customWidth="1"/>
    <col min="11522" max="11522" width="67.109375" customWidth="1"/>
    <col min="11523" max="11523" width="22.6640625" customWidth="1"/>
    <col min="11524" max="11524" width="16" bestFit="1" customWidth="1"/>
    <col min="11525" max="11525" width="27.109375" customWidth="1"/>
    <col min="11526" max="11526" width="13.44140625" bestFit="1" customWidth="1"/>
    <col min="11527" max="11527" width="48.33203125" bestFit="1" customWidth="1"/>
    <col min="11528" max="11529" width="11.6640625" bestFit="1" customWidth="1"/>
    <col min="11530" max="11776" width="8.88671875" customWidth="1"/>
    <col min="11777" max="11777" width="45.44140625" customWidth="1"/>
    <col min="11778" max="11778" width="67.109375" customWidth="1"/>
    <col min="11779" max="11779" width="22.6640625" customWidth="1"/>
    <col min="11780" max="11780" width="16" bestFit="1" customWidth="1"/>
    <col min="11781" max="11781" width="27.109375" customWidth="1"/>
    <col min="11782" max="11782" width="13.44140625" bestFit="1" customWidth="1"/>
    <col min="11783" max="11783" width="48.33203125" bestFit="1" customWidth="1"/>
    <col min="11784" max="11785" width="11.6640625" bestFit="1" customWidth="1"/>
    <col min="11786" max="12032" width="8.88671875" customWidth="1"/>
    <col min="12033" max="12033" width="45.44140625" customWidth="1"/>
    <col min="12034" max="12034" width="67.109375" customWidth="1"/>
    <col min="12035" max="12035" width="22.6640625" customWidth="1"/>
    <col min="12036" max="12036" width="16" bestFit="1" customWidth="1"/>
    <col min="12037" max="12037" width="27.109375" customWidth="1"/>
    <col min="12038" max="12038" width="13.44140625" bestFit="1" customWidth="1"/>
    <col min="12039" max="12039" width="48.33203125" bestFit="1" customWidth="1"/>
    <col min="12040" max="12041" width="11.6640625" bestFit="1" customWidth="1"/>
    <col min="12042" max="12288" width="8.88671875" customWidth="1"/>
    <col min="12289" max="12289" width="45.44140625" customWidth="1"/>
    <col min="12290" max="12290" width="67.109375" customWidth="1"/>
    <col min="12291" max="12291" width="22.6640625" customWidth="1"/>
    <col min="12292" max="12292" width="16" bestFit="1" customWidth="1"/>
    <col min="12293" max="12293" width="27.109375" customWidth="1"/>
    <col min="12294" max="12294" width="13.44140625" bestFit="1" customWidth="1"/>
    <col min="12295" max="12295" width="48.33203125" bestFit="1" customWidth="1"/>
    <col min="12296" max="12297" width="11.6640625" bestFit="1" customWidth="1"/>
    <col min="12298" max="12544" width="8.88671875" customWidth="1"/>
    <col min="12545" max="12545" width="45.44140625" customWidth="1"/>
    <col min="12546" max="12546" width="67.109375" customWidth="1"/>
    <col min="12547" max="12547" width="22.6640625" customWidth="1"/>
    <col min="12548" max="12548" width="16" bestFit="1" customWidth="1"/>
    <col min="12549" max="12549" width="27.109375" customWidth="1"/>
    <col min="12550" max="12550" width="13.44140625" bestFit="1" customWidth="1"/>
    <col min="12551" max="12551" width="48.33203125" bestFit="1" customWidth="1"/>
    <col min="12552" max="12553" width="11.6640625" bestFit="1" customWidth="1"/>
    <col min="12554" max="12800" width="8.88671875" customWidth="1"/>
    <col min="12801" max="12801" width="45.44140625" customWidth="1"/>
    <col min="12802" max="12802" width="67.109375" customWidth="1"/>
    <col min="12803" max="12803" width="22.6640625" customWidth="1"/>
    <col min="12804" max="12804" width="16" bestFit="1" customWidth="1"/>
    <col min="12805" max="12805" width="27.109375" customWidth="1"/>
    <col min="12806" max="12806" width="13.44140625" bestFit="1" customWidth="1"/>
    <col min="12807" max="12807" width="48.33203125" bestFit="1" customWidth="1"/>
    <col min="12808" max="12809" width="11.6640625" bestFit="1" customWidth="1"/>
    <col min="12810" max="13056" width="8.88671875" customWidth="1"/>
    <col min="13057" max="13057" width="45.44140625" customWidth="1"/>
    <col min="13058" max="13058" width="67.109375" customWidth="1"/>
    <col min="13059" max="13059" width="22.6640625" customWidth="1"/>
    <col min="13060" max="13060" width="16" bestFit="1" customWidth="1"/>
    <col min="13061" max="13061" width="27.109375" customWidth="1"/>
    <col min="13062" max="13062" width="13.44140625" bestFit="1" customWidth="1"/>
    <col min="13063" max="13063" width="48.33203125" bestFit="1" customWidth="1"/>
    <col min="13064" max="13065" width="11.6640625" bestFit="1" customWidth="1"/>
    <col min="13066" max="13312" width="8.88671875" customWidth="1"/>
    <col min="13313" max="13313" width="45.44140625" customWidth="1"/>
    <col min="13314" max="13314" width="67.109375" customWidth="1"/>
    <col min="13315" max="13315" width="22.6640625" customWidth="1"/>
    <col min="13316" max="13316" width="16" bestFit="1" customWidth="1"/>
    <col min="13317" max="13317" width="27.109375" customWidth="1"/>
    <col min="13318" max="13318" width="13.44140625" bestFit="1" customWidth="1"/>
    <col min="13319" max="13319" width="48.33203125" bestFit="1" customWidth="1"/>
    <col min="13320" max="13321" width="11.6640625" bestFit="1" customWidth="1"/>
    <col min="13322" max="13568" width="8.88671875" customWidth="1"/>
    <col min="13569" max="13569" width="45.44140625" customWidth="1"/>
    <col min="13570" max="13570" width="67.109375" customWidth="1"/>
    <col min="13571" max="13571" width="22.6640625" customWidth="1"/>
    <col min="13572" max="13572" width="16" bestFit="1" customWidth="1"/>
    <col min="13573" max="13573" width="27.109375" customWidth="1"/>
    <col min="13574" max="13574" width="13.44140625" bestFit="1" customWidth="1"/>
    <col min="13575" max="13575" width="48.33203125" bestFit="1" customWidth="1"/>
    <col min="13576" max="13577" width="11.6640625" bestFit="1" customWidth="1"/>
    <col min="13578" max="13824" width="8.88671875" customWidth="1"/>
    <col min="13825" max="13825" width="45.44140625" customWidth="1"/>
    <col min="13826" max="13826" width="67.109375" customWidth="1"/>
    <col min="13827" max="13827" width="22.6640625" customWidth="1"/>
    <col min="13828" max="13828" width="16" bestFit="1" customWidth="1"/>
    <col min="13829" max="13829" width="27.109375" customWidth="1"/>
    <col min="13830" max="13830" width="13.44140625" bestFit="1" customWidth="1"/>
    <col min="13831" max="13831" width="48.33203125" bestFit="1" customWidth="1"/>
    <col min="13832" max="13833" width="11.6640625" bestFit="1" customWidth="1"/>
    <col min="13834" max="14080" width="8.88671875" customWidth="1"/>
    <col min="14081" max="14081" width="45.44140625" customWidth="1"/>
    <col min="14082" max="14082" width="67.109375" customWidth="1"/>
    <col min="14083" max="14083" width="22.6640625" customWidth="1"/>
    <col min="14084" max="14084" width="16" bestFit="1" customWidth="1"/>
    <col min="14085" max="14085" width="27.109375" customWidth="1"/>
    <col min="14086" max="14086" width="13.44140625" bestFit="1" customWidth="1"/>
    <col min="14087" max="14087" width="48.33203125" bestFit="1" customWidth="1"/>
    <col min="14088" max="14089" width="11.6640625" bestFit="1" customWidth="1"/>
    <col min="14090" max="14336" width="8.88671875" customWidth="1"/>
    <col min="14337" max="14337" width="45.44140625" customWidth="1"/>
    <col min="14338" max="14338" width="67.109375" customWidth="1"/>
    <col min="14339" max="14339" width="22.6640625" customWidth="1"/>
    <col min="14340" max="14340" width="16" bestFit="1" customWidth="1"/>
    <col min="14341" max="14341" width="27.109375" customWidth="1"/>
    <col min="14342" max="14342" width="13.44140625" bestFit="1" customWidth="1"/>
    <col min="14343" max="14343" width="48.33203125" bestFit="1" customWidth="1"/>
    <col min="14344" max="14345" width="11.6640625" bestFit="1" customWidth="1"/>
    <col min="14346" max="14592" width="8.88671875" customWidth="1"/>
    <col min="14593" max="14593" width="45.44140625" customWidth="1"/>
    <col min="14594" max="14594" width="67.109375" customWidth="1"/>
    <col min="14595" max="14595" width="22.6640625" customWidth="1"/>
    <col min="14596" max="14596" width="16" bestFit="1" customWidth="1"/>
    <col min="14597" max="14597" width="27.109375" customWidth="1"/>
    <col min="14598" max="14598" width="13.44140625" bestFit="1" customWidth="1"/>
    <col min="14599" max="14599" width="48.33203125" bestFit="1" customWidth="1"/>
    <col min="14600" max="14601" width="11.6640625" bestFit="1" customWidth="1"/>
    <col min="14602" max="14848" width="8.88671875" customWidth="1"/>
    <col min="14849" max="14849" width="45.44140625" customWidth="1"/>
    <col min="14850" max="14850" width="67.109375" customWidth="1"/>
    <col min="14851" max="14851" width="22.6640625" customWidth="1"/>
    <col min="14852" max="14852" width="16" bestFit="1" customWidth="1"/>
    <col min="14853" max="14853" width="27.109375" customWidth="1"/>
    <col min="14854" max="14854" width="13.44140625" bestFit="1" customWidth="1"/>
    <col min="14855" max="14855" width="48.33203125" bestFit="1" customWidth="1"/>
    <col min="14856" max="14857" width="11.6640625" bestFit="1" customWidth="1"/>
    <col min="14858" max="15104" width="8.88671875" customWidth="1"/>
    <col min="15105" max="15105" width="45.44140625" customWidth="1"/>
    <col min="15106" max="15106" width="67.109375" customWidth="1"/>
    <col min="15107" max="15107" width="22.6640625" customWidth="1"/>
    <col min="15108" max="15108" width="16" bestFit="1" customWidth="1"/>
    <col min="15109" max="15109" width="27.109375" customWidth="1"/>
    <col min="15110" max="15110" width="13.44140625" bestFit="1" customWidth="1"/>
    <col min="15111" max="15111" width="48.33203125" bestFit="1" customWidth="1"/>
    <col min="15112" max="15113" width="11.6640625" bestFit="1" customWidth="1"/>
    <col min="15114" max="15360" width="8.88671875" customWidth="1"/>
    <col min="15361" max="15361" width="45.44140625" customWidth="1"/>
    <col min="15362" max="15362" width="67.109375" customWidth="1"/>
    <col min="15363" max="15363" width="22.6640625" customWidth="1"/>
    <col min="15364" max="15364" width="16" bestFit="1" customWidth="1"/>
    <col min="15365" max="15365" width="27.109375" customWidth="1"/>
    <col min="15366" max="15366" width="13.44140625" bestFit="1" customWidth="1"/>
    <col min="15367" max="15367" width="48.33203125" bestFit="1" customWidth="1"/>
    <col min="15368" max="15369" width="11.6640625" bestFit="1" customWidth="1"/>
    <col min="15370" max="15616" width="8.88671875" customWidth="1"/>
    <col min="15617" max="15617" width="45.44140625" customWidth="1"/>
    <col min="15618" max="15618" width="67.109375" customWidth="1"/>
    <col min="15619" max="15619" width="22.6640625" customWidth="1"/>
    <col min="15620" max="15620" width="16" bestFit="1" customWidth="1"/>
    <col min="15621" max="15621" width="27.109375" customWidth="1"/>
    <col min="15622" max="15622" width="13.44140625" bestFit="1" customWidth="1"/>
    <col min="15623" max="15623" width="48.33203125" bestFit="1" customWidth="1"/>
    <col min="15624" max="15625" width="11.6640625" bestFit="1" customWidth="1"/>
    <col min="15626" max="15872" width="8.88671875" customWidth="1"/>
    <col min="15873" max="15873" width="45.44140625" customWidth="1"/>
    <col min="15874" max="15874" width="67.109375" customWidth="1"/>
    <col min="15875" max="15875" width="22.6640625" customWidth="1"/>
    <col min="15876" max="15876" width="16" bestFit="1" customWidth="1"/>
    <col min="15877" max="15877" width="27.109375" customWidth="1"/>
    <col min="15878" max="15878" width="13.44140625" bestFit="1" customWidth="1"/>
    <col min="15879" max="15879" width="48.33203125" bestFit="1" customWidth="1"/>
    <col min="15880" max="15881" width="11.6640625" bestFit="1" customWidth="1"/>
    <col min="15882" max="16128" width="8.88671875" customWidth="1"/>
    <col min="16129" max="16129" width="45.44140625" customWidth="1"/>
    <col min="16130" max="16130" width="67.109375" customWidth="1"/>
    <col min="16131" max="16131" width="22.6640625" customWidth="1"/>
    <col min="16132" max="16132" width="16" bestFit="1" customWidth="1"/>
    <col min="16133" max="16133" width="27.109375" customWidth="1"/>
    <col min="16134" max="16134" width="13.44140625" bestFit="1" customWidth="1"/>
    <col min="16135" max="16135" width="48.33203125" bestFit="1" customWidth="1"/>
    <col min="16136" max="16137" width="11.6640625" bestFit="1" customWidth="1"/>
    <col min="16138" max="16384" width="8.88671875" customWidth="1"/>
  </cols>
  <sheetData>
    <row r="1" spans="1:8" ht="17.399999999999999" x14ac:dyDescent="0.3">
      <c r="A1" s="80" t="s">
        <v>392</v>
      </c>
    </row>
    <row r="2" spans="1:8" ht="17.399999999999999" x14ac:dyDescent="0.3">
      <c r="A2" s="80"/>
    </row>
    <row r="3" spans="1:8" ht="23.25" customHeight="1" x14ac:dyDescent="0.5">
      <c r="A3" s="1021" t="s">
        <v>805</v>
      </c>
      <c r="B3" s="1021"/>
      <c r="D3" s="158">
        <v>2018</v>
      </c>
    </row>
    <row r="4" spans="1:8" ht="15" thickBot="1" x14ac:dyDescent="0.35"/>
    <row r="5" spans="1:8" ht="15" thickBot="1" x14ac:dyDescent="0.35">
      <c r="A5" s="50">
        <v>73</v>
      </c>
      <c r="B5" s="1012" t="s">
        <v>331</v>
      </c>
      <c r="C5" s="1012"/>
      <c r="D5" s="159">
        <f>D7+D9</f>
        <v>12388146.83</v>
      </c>
      <c r="E5" s="6"/>
      <c r="F5" s="6"/>
      <c r="G5" s="6"/>
    </row>
    <row r="6" spans="1:8" x14ac:dyDescent="0.3">
      <c r="A6" s="52" t="s">
        <v>332</v>
      </c>
      <c r="B6" s="1013" t="s">
        <v>333</v>
      </c>
      <c r="C6" s="1013"/>
      <c r="D6" s="53"/>
    </row>
    <row r="7" spans="1:8" x14ac:dyDescent="0.3">
      <c r="A7" s="52">
        <v>732</v>
      </c>
      <c r="B7" s="160" t="s">
        <v>335</v>
      </c>
      <c r="C7" s="65" t="s">
        <v>346</v>
      </c>
      <c r="D7" s="53">
        <v>46605.19</v>
      </c>
    </row>
    <row r="8" spans="1:8" ht="15" thickBot="1" x14ac:dyDescent="0.35">
      <c r="A8" s="54" t="s">
        <v>336</v>
      </c>
      <c r="B8" s="1015" t="s">
        <v>337</v>
      </c>
      <c r="C8" s="1015"/>
      <c r="D8" s="88"/>
    </row>
    <row r="9" spans="1:8" ht="39.75" customHeight="1" thickBot="1" x14ac:dyDescent="0.35">
      <c r="A9" s="7" t="s">
        <v>10</v>
      </c>
      <c r="B9" s="1022" t="s">
        <v>11</v>
      </c>
      <c r="C9" s="1022"/>
      <c r="D9" s="161">
        <f>SUM(D11:D54)</f>
        <v>12341541.640000001</v>
      </c>
    </row>
    <row r="10" spans="1:8" ht="15" thickBot="1" x14ac:dyDescent="0.35">
      <c r="A10" s="62" t="s">
        <v>5</v>
      </c>
      <c r="B10" s="63" t="s">
        <v>6</v>
      </c>
      <c r="C10" s="62" t="s">
        <v>344</v>
      </c>
      <c r="D10" s="162" t="s">
        <v>345</v>
      </c>
    </row>
    <row r="11" spans="1:8" ht="17.25" customHeight="1" x14ac:dyDescent="0.3">
      <c r="A11" s="52" t="s">
        <v>806</v>
      </c>
      <c r="B11" s="27" t="s">
        <v>807</v>
      </c>
      <c r="C11" s="65" t="s">
        <v>346</v>
      </c>
      <c r="D11" s="53">
        <v>27784.43</v>
      </c>
    </row>
    <row r="12" spans="1:8" s="124" customFormat="1" x14ac:dyDescent="0.3">
      <c r="A12" s="84" t="s">
        <v>808</v>
      </c>
      <c r="B12" s="25" t="s">
        <v>809</v>
      </c>
      <c r="C12" s="91" t="s">
        <v>346</v>
      </c>
      <c r="D12" s="156">
        <v>185708.76</v>
      </c>
      <c r="H12" s="115"/>
    </row>
    <row r="13" spans="1:8" s="124" customFormat="1" ht="16.95" customHeight="1" x14ac:dyDescent="0.3">
      <c r="A13" s="52" t="s">
        <v>810</v>
      </c>
      <c r="B13" s="27" t="s">
        <v>811</v>
      </c>
      <c r="C13" s="65" t="s">
        <v>812</v>
      </c>
      <c r="D13" s="156">
        <v>27982.67</v>
      </c>
      <c r="H13" s="115"/>
    </row>
    <row r="14" spans="1:8" x14ac:dyDescent="0.3">
      <c r="A14" s="52" t="s">
        <v>813</v>
      </c>
      <c r="B14" s="27" t="s">
        <v>814</v>
      </c>
      <c r="C14" s="65" t="s">
        <v>346</v>
      </c>
      <c r="D14" s="156">
        <v>1148.8800000000001</v>
      </c>
    </row>
    <row r="15" spans="1:8" x14ac:dyDescent="0.3">
      <c r="A15" s="52" t="s">
        <v>815</v>
      </c>
      <c r="B15" s="27" t="s">
        <v>816</v>
      </c>
      <c r="C15" s="65" t="s">
        <v>346</v>
      </c>
      <c r="D15" s="156">
        <v>18600.009999999998</v>
      </c>
    </row>
    <row r="16" spans="1:8" x14ac:dyDescent="0.3">
      <c r="A16" s="52" t="s">
        <v>817</v>
      </c>
      <c r="B16" s="27" t="s">
        <v>818</v>
      </c>
      <c r="C16" s="65" t="s">
        <v>346</v>
      </c>
      <c r="D16" s="156">
        <v>21800.5</v>
      </c>
    </row>
    <row r="17" spans="1:4" x14ac:dyDescent="0.3">
      <c r="A17" s="52" t="s">
        <v>819</v>
      </c>
      <c r="B17" s="27" t="s">
        <v>820</v>
      </c>
      <c r="C17" s="65" t="s">
        <v>346</v>
      </c>
      <c r="D17" s="156">
        <v>9322882.6899999995</v>
      </c>
    </row>
    <row r="18" spans="1:4" x14ac:dyDescent="0.3">
      <c r="A18" s="52" t="s">
        <v>821</v>
      </c>
      <c r="B18" s="27" t="s">
        <v>822</v>
      </c>
      <c r="C18" s="65" t="s">
        <v>346</v>
      </c>
      <c r="D18" s="156">
        <v>150</v>
      </c>
    </row>
    <row r="19" spans="1:4" x14ac:dyDescent="0.3">
      <c r="A19" s="52" t="s">
        <v>823</v>
      </c>
      <c r="B19" s="27" t="s">
        <v>824</v>
      </c>
      <c r="C19" s="79" t="s">
        <v>825</v>
      </c>
      <c r="D19" s="156">
        <v>84777.63</v>
      </c>
    </row>
    <row r="20" spans="1:4" x14ac:dyDescent="0.3">
      <c r="A20" s="163" t="s">
        <v>826</v>
      </c>
      <c r="B20" s="164" t="s">
        <v>827</v>
      </c>
      <c r="C20" s="165" t="s">
        <v>828</v>
      </c>
      <c r="D20" s="166">
        <v>945369.62</v>
      </c>
    </row>
    <row r="21" spans="1:4" x14ac:dyDescent="0.3">
      <c r="A21" s="163" t="s">
        <v>829</v>
      </c>
      <c r="B21" s="164" t="s">
        <v>830</v>
      </c>
      <c r="C21" s="165" t="s">
        <v>828</v>
      </c>
      <c r="D21" s="166">
        <v>26440.46</v>
      </c>
    </row>
    <row r="22" spans="1:4" x14ac:dyDescent="0.3">
      <c r="A22" s="84" t="s">
        <v>833</v>
      </c>
      <c r="B22" s="25" t="s">
        <v>834</v>
      </c>
      <c r="C22" s="91" t="s">
        <v>346</v>
      </c>
      <c r="D22" s="156">
        <v>26667.41</v>
      </c>
    </row>
    <row r="23" spans="1:4" x14ac:dyDescent="0.3">
      <c r="A23" s="84" t="s">
        <v>835</v>
      </c>
      <c r="B23" s="25" t="s">
        <v>836</v>
      </c>
      <c r="C23" s="91" t="s">
        <v>346</v>
      </c>
      <c r="D23" s="156">
        <v>61188.99</v>
      </c>
    </row>
    <row r="24" spans="1:4" x14ac:dyDescent="0.3">
      <c r="A24" s="84" t="s">
        <v>837</v>
      </c>
      <c r="B24" s="25" t="s">
        <v>838</v>
      </c>
      <c r="C24" s="91" t="s">
        <v>346</v>
      </c>
      <c r="D24" s="156">
        <v>13333.7</v>
      </c>
    </row>
    <row r="25" spans="1:4" x14ac:dyDescent="0.3">
      <c r="A25" s="84" t="s">
        <v>905</v>
      </c>
      <c r="B25" s="25" t="s">
        <v>906</v>
      </c>
      <c r="C25" s="91" t="s">
        <v>346</v>
      </c>
      <c r="D25" s="156">
        <v>43362</v>
      </c>
    </row>
    <row r="26" spans="1:4" x14ac:dyDescent="0.3">
      <c r="A26" s="52" t="s">
        <v>839</v>
      </c>
      <c r="B26" s="27" t="s">
        <v>840</v>
      </c>
      <c r="C26" s="65" t="s">
        <v>841</v>
      </c>
      <c r="D26" s="156">
        <v>191929.49</v>
      </c>
    </row>
    <row r="27" spans="1:4" x14ac:dyDescent="0.3">
      <c r="A27" s="52" t="s">
        <v>842</v>
      </c>
      <c r="B27" s="27" t="s">
        <v>843</v>
      </c>
      <c r="C27" s="65" t="s">
        <v>346</v>
      </c>
      <c r="D27" s="156">
        <v>18853.419999999998</v>
      </c>
    </row>
    <row r="28" spans="1:4" x14ac:dyDescent="0.3">
      <c r="A28" s="52" t="s">
        <v>854</v>
      </c>
      <c r="B28" s="27" t="s">
        <v>855</v>
      </c>
      <c r="C28" s="65" t="s">
        <v>346</v>
      </c>
      <c r="D28" s="156">
        <v>8782.31</v>
      </c>
    </row>
    <row r="29" spans="1:4" x14ac:dyDescent="0.3">
      <c r="A29" s="52" t="s">
        <v>907</v>
      </c>
      <c r="B29" s="27" t="s">
        <v>908</v>
      </c>
      <c r="C29" s="91" t="s">
        <v>346</v>
      </c>
      <c r="D29" s="156">
        <v>18529.41</v>
      </c>
    </row>
    <row r="30" spans="1:4" x14ac:dyDescent="0.3">
      <c r="A30" s="52" t="s">
        <v>856</v>
      </c>
      <c r="B30" s="27" t="s">
        <v>857</v>
      </c>
      <c r="C30" s="65" t="s">
        <v>346</v>
      </c>
      <c r="D30" s="156">
        <v>25750</v>
      </c>
    </row>
    <row r="31" spans="1:4" x14ac:dyDescent="0.3">
      <c r="A31" s="52" t="s">
        <v>858</v>
      </c>
      <c r="B31" s="27" t="s">
        <v>857</v>
      </c>
      <c r="C31" s="65" t="s">
        <v>346</v>
      </c>
      <c r="D31" s="53">
        <v>25</v>
      </c>
    </row>
    <row r="32" spans="1:4" x14ac:dyDescent="0.3">
      <c r="A32" s="52" t="s">
        <v>859</v>
      </c>
      <c r="B32" s="27" t="s">
        <v>857</v>
      </c>
      <c r="C32" s="65" t="s">
        <v>346</v>
      </c>
      <c r="D32" s="53">
        <v>2236</v>
      </c>
    </row>
    <row r="33" spans="1:4" x14ac:dyDescent="0.3">
      <c r="A33" s="52" t="s">
        <v>860</v>
      </c>
      <c r="B33" s="27" t="s">
        <v>857</v>
      </c>
      <c r="C33" s="65" t="s">
        <v>346</v>
      </c>
      <c r="D33" s="53">
        <v>625</v>
      </c>
    </row>
    <row r="34" spans="1:4" x14ac:dyDescent="0.3">
      <c r="A34" s="52" t="s">
        <v>861</v>
      </c>
      <c r="B34" s="27" t="s">
        <v>857</v>
      </c>
      <c r="C34" s="65" t="s">
        <v>346</v>
      </c>
      <c r="D34" s="53">
        <v>409</v>
      </c>
    </row>
    <row r="35" spans="1:4" x14ac:dyDescent="0.3">
      <c r="A35" s="52" t="s">
        <v>862</v>
      </c>
      <c r="B35" s="27" t="s">
        <v>857</v>
      </c>
      <c r="C35" s="65" t="s">
        <v>346</v>
      </c>
      <c r="D35" s="53">
        <v>25</v>
      </c>
    </row>
    <row r="36" spans="1:4" x14ac:dyDescent="0.3">
      <c r="A36" s="52" t="s">
        <v>863</v>
      </c>
      <c r="B36" s="27" t="s">
        <v>857</v>
      </c>
      <c r="C36" s="65" t="s">
        <v>346</v>
      </c>
      <c r="D36" s="53">
        <v>1000</v>
      </c>
    </row>
    <row r="37" spans="1:4" x14ac:dyDescent="0.3">
      <c r="A37" s="84" t="s">
        <v>867</v>
      </c>
      <c r="B37" s="27" t="s">
        <v>857</v>
      </c>
      <c r="C37" s="91" t="s">
        <v>346</v>
      </c>
      <c r="D37" s="53">
        <v>6862.5</v>
      </c>
    </row>
    <row r="38" spans="1:4" x14ac:dyDescent="0.3">
      <c r="A38" s="52" t="s">
        <v>868</v>
      </c>
      <c r="B38" s="27" t="s">
        <v>847</v>
      </c>
      <c r="C38" s="65" t="s">
        <v>812</v>
      </c>
      <c r="D38" s="53">
        <v>135000</v>
      </c>
    </row>
    <row r="39" spans="1:4" x14ac:dyDescent="0.3">
      <c r="A39" s="52" t="s">
        <v>869</v>
      </c>
      <c r="B39" s="27" t="s">
        <v>847</v>
      </c>
      <c r="C39" s="72" t="s">
        <v>870</v>
      </c>
      <c r="D39" s="53">
        <v>20614</v>
      </c>
    </row>
    <row r="40" spans="1:4" x14ac:dyDescent="0.3">
      <c r="A40" s="52" t="s">
        <v>871</v>
      </c>
      <c r="B40" s="31" t="s">
        <v>872</v>
      </c>
      <c r="C40" s="65" t="s">
        <v>873</v>
      </c>
      <c r="D40" s="53">
        <v>59534</v>
      </c>
    </row>
    <row r="41" spans="1:4" x14ac:dyDescent="0.3">
      <c r="A41" s="52" t="s">
        <v>874</v>
      </c>
      <c r="B41" s="31" t="s">
        <v>875</v>
      </c>
      <c r="C41" s="65" t="s">
        <v>876</v>
      </c>
      <c r="D41" s="53">
        <v>60000</v>
      </c>
    </row>
    <row r="42" spans="1:4" x14ac:dyDescent="0.3">
      <c r="A42" s="52" t="s">
        <v>909</v>
      </c>
      <c r="B42" s="31" t="s">
        <v>875</v>
      </c>
      <c r="C42" s="65" t="s">
        <v>873</v>
      </c>
      <c r="D42" s="53">
        <v>15967.53</v>
      </c>
    </row>
    <row r="43" spans="1:4" x14ac:dyDescent="0.3">
      <c r="A43" s="52" t="s">
        <v>910</v>
      </c>
      <c r="B43" s="31" t="s">
        <v>875</v>
      </c>
      <c r="C43" s="65" t="s">
        <v>911</v>
      </c>
      <c r="D43" s="53">
        <v>30000</v>
      </c>
    </row>
    <row r="44" spans="1:4" x14ac:dyDescent="0.3">
      <c r="A44" s="52" t="s">
        <v>877</v>
      </c>
      <c r="B44" s="31" t="s">
        <v>878</v>
      </c>
      <c r="C44" s="65" t="s">
        <v>879</v>
      </c>
      <c r="D44" s="53">
        <v>96000</v>
      </c>
    </row>
    <row r="45" spans="1:4" x14ac:dyDescent="0.3">
      <c r="A45" s="52" t="s">
        <v>880</v>
      </c>
      <c r="B45" s="27" t="s">
        <v>847</v>
      </c>
      <c r="C45" s="72" t="s">
        <v>346</v>
      </c>
      <c r="D45" s="53">
        <v>25500</v>
      </c>
    </row>
    <row r="46" spans="1:4" x14ac:dyDescent="0.3">
      <c r="A46" s="52" t="s">
        <v>881</v>
      </c>
      <c r="B46" s="27" t="s">
        <v>882</v>
      </c>
      <c r="C46" s="65" t="s">
        <v>883</v>
      </c>
      <c r="D46" s="53">
        <v>42674.13</v>
      </c>
    </row>
    <row r="47" spans="1:4" x14ac:dyDescent="0.3">
      <c r="A47" s="52" t="s">
        <v>912</v>
      </c>
      <c r="B47" s="27" t="s">
        <v>857</v>
      </c>
      <c r="C47" s="65" t="s">
        <v>913</v>
      </c>
      <c r="D47" s="53">
        <v>56700</v>
      </c>
    </row>
    <row r="48" spans="1:4" x14ac:dyDescent="0.3">
      <c r="A48" s="52" t="s">
        <v>884</v>
      </c>
      <c r="B48" s="27" t="s">
        <v>885</v>
      </c>
      <c r="C48" s="65" t="s">
        <v>346</v>
      </c>
      <c r="D48" s="53">
        <v>614998.18999999994</v>
      </c>
    </row>
    <row r="49" spans="1:8" x14ac:dyDescent="0.3">
      <c r="A49" s="168" t="s">
        <v>886</v>
      </c>
      <c r="B49" s="31" t="s">
        <v>887</v>
      </c>
      <c r="C49" s="72" t="s">
        <v>346</v>
      </c>
      <c r="D49" s="169">
        <v>15655.76</v>
      </c>
    </row>
    <row r="50" spans="1:8" x14ac:dyDescent="0.3">
      <c r="A50" s="168" t="s">
        <v>888</v>
      </c>
      <c r="B50" s="31" t="s">
        <v>889</v>
      </c>
      <c r="C50" s="72" t="s">
        <v>346</v>
      </c>
      <c r="D50" s="169">
        <v>15961.17</v>
      </c>
    </row>
    <row r="51" spans="1:8" x14ac:dyDescent="0.3">
      <c r="A51" s="168" t="s">
        <v>890</v>
      </c>
      <c r="B51" s="31" t="s">
        <v>891</v>
      </c>
      <c r="C51" s="72" t="s">
        <v>346</v>
      </c>
      <c r="D51" s="169">
        <v>5963.58</v>
      </c>
    </row>
    <row r="52" spans="1:8" x14ac:dyDescent="0.3">
      <c r="A52" s="168" t="s">
        <v>914</v>
      </c>
      <c r="B52" s="170" t="s">
        <v>857</v>
      </c>
      <c r="C52" s="72" t="s">
        <v>346</v>
      </c>
      <c r="D52" s="169">
        <v>5000</v>
      </c>
    </row>
    <row r="53" spans="1:8" x14ac:dyDescent="0.3">
      <c r="A53" s="168" t="s">
        <v>892</v>
      </c>
      <c r="B53" s="170" t="s">
        <v>893</v>
      </c>
      <c r="C53" s="72" t="s">
        <v>346</v>
      </c>
      <c r="D53" s="169">
        <v>11623.4</v>
      </c>
    </row>
    <row r="54" spans="1:8" s="124" customFormat="1" x14ac:dyDescent="0.3">
      <c r="A54" s="171" t="s">
        <v>915</v>
      </c>
      <c r="B54" s="27" t="s">
        <v>916</v>
      </c>
      <c r="C54" s="151" t="s">
        <v>917</v>
      </c>
      <c r="D54" s="169">
        <v>48125</v>
      </c>
      <c r="H54" s="115"/>
    </row>
    <row r="55" spans="1:8" ht="15" thickBot="1" x14ac:dyDescent="0.35">
      <c r="A55" s="177"/>
      <c r="B55" s="75"/>
      <c r="C55" s="76"/>
      <c r="D55" s="178">
        <f>SUM(D11:D54)</f>
        <v>12341541.640000001</v>
      </c>
      <c r="E55" s="6"/>
      <c r="F55" s="6"/>
    </row>
    <row r="56" spans="1:8" x14ac:dyDescent="0.3">
      <c r="A56" s="81"/>
      <c r="D56" s="179"/>
    </row>
    <row r="57" spans="1:8" ht="15" thickBot="1" x14ac:dyDescent="0.35"/>
    <row r="58" spans="1:8" ht="15" thickBot="1" x14ac:dyDescent="0.35">
      <c r="C58" s="130" t="s">
        <v>344</v>
      </c>
      <c r="D58" s="180" t="s">
        <v>904</v>
      </c>
    </row>
    <row r="59" spans="1:8" x14ac:dyDescent="0.3">
      <c r="C59" s="65" t="s">
        <v>346</v>
      </c>
      <c r="D59" s="182">
        <f t="shared" ref="D59:D67" si="0">SUMIF(C11:C54,C59,D11:D54)</f>
        <v>10500427.109999999</v>
      </c>
    </row>
    <row r="60" spans="1:8" x14ac:dyDescent="0.3">
      <c r="C60" s="65" t="s">
        <v>812</v>
      </c>
      <c r="D60" s="105">
        <f t="shared" si="0"/>
        <v>162982.66999999998</v>
      </c>
    </row>
    <row r="61" spans="1:8" x14ac:dyDescent="0.3">
      <c r="C61" s="79" t="s">
        <v>825</v>
      </c>
      <c r="D61" s="105">
        <f t="shared" si="0"/>
        <v>84777.63</v>
      </c>
    </row>
    <row r="62" spans="1:8" x14ac:dyDescent="0.3">
      <c r="C62" s="165" t="s">
        <v>828</v>
      </c>
      <c r="D62" s="185">
        <f t="shared" si="0"/>
        <v>971810.08</v>
      </c>
    </row>
    <row r="63" spans="1:8" x14ac:dyDescent="0.3">
      <c r="C63" s="65" t="s">
        <v>841</v>
      </c>
      <c r="D63" s="105">
        <f t="shared" si="0"/>
        <v>191929.49</v>
      </c>
    </row>
    <row r="64" spans="1:8" x14ac:dyDescent="0.3">
      <c r="C64" s="72" t="s">
        <v>870</v>
      </c>
      <c r="D64" s="105">
        <f t="shared" si="0"/>
        <v>20614</v>
      </c>
    </row>
    <row r="65" spans="3:4" x14ac:dyDescent="0.3">
      <c r="C65" s="65" t="s">
        <v>873</v>
      </c>
      <c r="D65" s="105">
        <f t="shared" si="0"/>
        <v>75501.53</v>
      </c>
    </row>
    <row r="66" spans="3:4" x14ac:dyDescent="0.3">
      <c r="C66" s="65" t="s">
        <v>876</v>
      </c>
      <c r="D66" s="105">
        <f t="shared" si="0"/>
        <v>60000</v>
      </c>
    </row>
    <row r="67" spans="3:4" x14ac:dyDescent="0.3">
      <c r="C67" s="65" t="s">
        <v>879</v>
      </c>
      <c r="D67" s="105">
        <f t="shared" si="0"/>
        <v>96000</v>
      </c>
    </row>
    <row r="68" spans="3:4" x14ac:dyDescent="0.3">
      <c r="C68" s="65" t="s">
        <v>883</v>
      </c>
      <c r="D68" s="105">
        <f>SUMIF(C19:C62,C68,D19:D62)</f>
        <v>42674.13</v>
      </c>
    </row>
    <row r="69" spans="3:4" x14ac:dyDescent="0.3">
      <c r="C69" s="65" t="s">
        <v>911</v>
      </c>
      <c r="D69" s="105">
        <f>SUMIF(C20:C63,C69,D20:D63)</f>
        <v>30000</v>
      </c>
    </row>
    <row r="70" spans="3:4" x14ac:dyDescent="0.3">
      <c r="C70" s="65" t="s">
        <v>913</v>
      </c>
      <c r="D70" s="105">
        <f>SUMIF(C21:C64,C70,D21:D64)</f>
        <v>56700</v>
      </c>
    </row>
    <row r="71" spans="3:4" ht="15" thickBot="1" x14ac:dyDescent="0.35">
      <c r="C71" s="151" t="s">
        <v>917</v>
      </c>
      <c r="D71" s="105">
        <f>SUMIF(C22:C65,C71,D22:D65)</f>
        <v>48125</v>
      </c>
    </row>
    <row r="72" spans="3:4" ht="15" thickBot="1" x14ac:dyDescent="0.35">
      <c r="D72" s="188">
        <f>SUM(D59:D71)</f>
        <v>12341541.640000001</v>
      </c>
    </row>
  </sheetData>
  <mergeCells count="5">
    <mergeCell ref="A3:B3"/>
    <mergeCell ref="B5:C5"/>
    <mergeCell ref="B6:C6"/>
    <mergeCell ref="B8:C8"/>
    <mergeCell ref="B9:C9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2"/>
  <sheetViews>
    <sheetView workbookViewId="0"/>
  </sheetViews>
  <sheetFormatPr defaultRowHeight="14.4" x14ac:dyDescent="0.3"/>
  <cols>
    <col min="1" max="1" width="27.44140625" customWidth="1"/>
    <col min="2" max="2" width="68.88671875" customWidth="1"/>
    <col min="3" max="4" width="22.6640625" customWidth="1"/>
    <col min="5" max="5" width="10.109375" bestFit="1" customWidth="1"/>
    <col min="6" max="6" width="8.88671875" customWidth="1"/>
  </cols>
  <sheetData>
    <row r="1" spans="1:4" ht="17.399999999999999" x14ac:dyDescent="0.3">
      <c r="A1" s="80" t="s">
        <v>392</v>
      </c>
    </row>
    <row r="2" spans="1:4" ht="17.399999999999999" x14ac:dyDescent="0.3">
      <c r="A2" s="80"/>
    </row>
    <row r="3" spans="1:4" ht="23.25" customHeight="1" x14ac:dyDescent="0.3">
      <c r="A3" s="1017" t="s">
        <v>918</v>
      </c>
      <c r="B3" s="1017"/>
    </row>
    <row r="4" spans="1:4" ht="15" thickBot="1" x14ac:dyDescent="0.35"/>
    <row r="5" spans="1:4" ht="15" thickBot="1" x14ac:dyDescent="0.35">
      <c r="A5" s="50">
        <v>73</v>
      </c>
      <c r="B5" s="1012" t="s">
        <v>331</v>
      </c>
      <c r="C5" s="1012"/>
      <c r="D5" s="82">
        <f>SUM(D6:D8)+D9</f>
        <v>8949192.8900000006</v>
      </c>
    </row>
    <row r="6" spans="1:4" x14ac:dyDescent="0.3">
      <c r="A6" s="52" t="s">
        <v>332</v>
      </c>
      <c r="B6" s="1013" t="s">
        <v>333</v>
      </c>
      <c r="C6" s="1013"/>
      <c r="D6" s="53"/>
    </row>
    <row r="7" spans="1:4" x14ac:dyDescent="0.3">
      <c r="A7" s="52" t="s">
        <v>334</v>
      </c>
      <c r="B7" s="1014" t="s">
        <v>335</v>
      </c>
      <c r="C7" s="1014"/>
      <c r="D7" s="53">
        <v>17930.05</v>
      </c>
    </row>
    <row r="8" spans="1:4" ht="15" thickBot="1" x14ac:dyDescent="0.35">
      <c r="A8" s="54" t="s">
        <v>336</v>
      </c>
      <c r="B8" s="1015" t="s">
        <v>337</v>
      </c>
      <c r="C8" s="1015"/>
      <c r="D8" s="55"/>
    </row>
    <row r="9" spans="1:4" ht="39.75" customHeight="1" thickBot="1" x14ac:dyDescent="0.35">
      <c r="A9" s="7" t="s">
        <v>10</v>
      </c>
      <c r="B9" s="1016" t="s">
        <v>11</v>
      </c>
      <c r="C9" s="1016"/>
      <c r="D9" s="82">
        <f>SUM(D11:D42)</f>
        <v>8931262.8399999999</v>
      </c>
    </row>
    <row r="10" spans="1:4" ht="15" thickBot="1" x14ac:dyDescent="0.35">
      <c r="A10" s="62" t="s">
        <v>5</v>
      </c>
      <c r="B10" s="63" t="s">
        <v>6</v>
      </c>
      <c r="C10" s="62" t="s">
        <v>344</v>
      </c>
      <c r="D10" s="64" t="s">
        <v>345</v>
      </c>
    </row>
    <row r="11" spans="1:4" x14ac:dyDescent="0.3">
      <c r="A11" s="52" t="s">
        <v>919</v>
      </c>
      <c r="B11" s="27" t="s">
        <v>920</v>
      </c>
      <c r="C11" s="65" t="s">
        <v>346</v>
      </c>
      <c r="D11" s="53">
        <v>73738.539999999994</v>
      </c>
    </row>
    <row r="12" spans="1:4" x14ac:dyDescent="0.3">
      <c r="A12" s="52" t="s">
        <v>919</v>
      </c>
      <c r="B12" s="27" t="s">
        <v>920</v>
      </c>
      <c r="C12" s="65" t="s">
        <v>346</v>
      </c>
      <c r="D12" s="53">
        <v>38203.769999999997</v>
      </c>
    </row>
    <row r="13" spans="1:4" ht="39.6" x14ac:dyDescent="0.3">
      <c r="A13" s="52" t="s">
        <v>919</v>
      </c>
      <c r="B13" s="27" t="s">
        <v>920</v>
      </c>
      <c r="C13" s="91" t="s">
        <v>921</v>
      </c>
      <c r="D13" s="53">
        <f>10519.92+13964.37</f>
        <v>24484.29</v>
      </c>
    </row>
    <row r="14" spans="1:4" ht="39.6" x14ac:dyDescent="0.3">
      <c r="A14" s="52" t="s">
        <v>922</v>
      </c>
      <c r="B14" s="27" t="s">
        <v>920</v>
      </c>
      <c r="C14" s="91" t="s">
        <v>921</v>
      </c>
      <c r="D14" s="53">
        <f>4000+3750</f>
        <v>7750</v>
      </c>
    </row>
    <row r="15" spans="1:4" x14ac:dyDescent="0.3">
      <c r="A15" s="52" t="s">
        <v>923</v>
      </c>
      <c r="B15" s="27" t="s">
        <v>920</v>
      </c>
      <c r="C15" s="65" t="s">
        <v>346</v>
      </c>
      <c r="D15" s="53">
        <v>757.58</v>
      </c>
    </row>
    <row r="16" spans="1:4" ht="39.6" x14ac:dyDescent="0.3">
      <c r="A16" s="52" t="s">
        <v>923</v>
      </c>
      <c r="B16" s="27" t="s">
        <v>920</v>
      </c>
      <c r="C16" s="91" t="s">
        <v>921</v>
      </c>
      <c r="D16" s="53">
        <f>1500+1500</f>
        <v>3000</v>
      </c>
    </row>
    <row r="17" spans="1:5" x14ac:dyDescent="0.3">
      <c r="A17" s="52" t="s">
        <v>924</v>
      </c>
      <c r="B17" s="27" t="s">
        <v>920</v>
      </c>
      <c r="C17" s="65" t="s">
        <v>346</v>
      </c>
      <c r="D17" s="53">
        <v>18325.490000000002</v>
      </c>
    </row>
    <row r="18" spans="1:5" ht="39.6" x14ac:dyDescent="0.3">
      <c r="A18" s="52" t="s">
        <v>925</v>
      </c>
      <c r="B18" s="27" t="s">
        <v>920</v>
      </c>
      <c r="C18" s="91" t="s">
        <v>921</v>
      </c>
      <c r="D18" s="53">
        <f>2863.37+10626.12+2900</f>
        <v>16389.490000000002</v>
      </c>
      <c r="E18" s="6"/>
    </row>
    <row r="19" spans="1:5" x14ac:dyDescent="0.3">
      <c r="A19" s="52" t="s">
        <v>346</v>
      </c>
      <c r="B19" s="27" t="s">
        <v>926</v>
      </c>
      <c r="C19" s="65" t="s">
        <v>346</v>
      </c>
      <c r="D19" s="53">
        <v>7401297.4400000004</v>
      </c>
    </row>
    <row r="20" spans="1:5" x14ac:dyDescent="0.3">
      <c r="A20" s="52" t="s">
        <v>346</v>
      </c>
      <c r="B20" s="27" t="s">
        <v>927</v>
      </c>
      <c r="C20" s="65" t="s">
        <v>346</v>
      </c>
      <c r="D20" s="53">
        <v>199209.22</v>
      </c>
    </row>
    <row r="21" spans="1:5" x14ac:dyDescent="0.3">
      <c r="A21" s="52" t="s">
        <v>346</v>
      </c>
      <c r="B21" s="27" t="s">
        <v>928</v>
      </c>
      <c r="C21" s="65" t="s">
        <v>346</v>
      </c>
      <c r="D21" s="53">
        <v>27778.55</v>
      </c>
    </row>
    <row r="22" spans="1:5" x14ac:dyDescent="0.3">
      <c r="A22" s="84" t="s">
        <v>346</v>
      </c>
      <c r="B22" s="25" t="s">
        <v>929</v>
      </c>
      <c r="C22" s="91" t="s">
        <v>346</v>
      </c>
      <c r="D22" s="53">
        <v>90755.16</v>
      </c>
    </row>
    <row r="23" spans="1:5" x14ac:dyDescent="0.3">
      <c r="A23" s="84" t="s">
        <v>346</v>
      </c>
      <c r="B23" s="25" t="s">
        <v>930</v>
      </c>
      <c r="C23" s="91" t="s">
        <v>346</v>
      </c>
      <c r="D23" s="53">
        <v>50</v>
      </c>
    </row>
    <row r="24" spans="1:5" x14ac:dyDescent="0.3">
      <c r="A24" s="52" t="s">
        <v>922</v>
      </c>
      <c r="B24" s="27" t="s">
        <v>931</v>
      </c>
      <c r="C24" s="65" t="s">
        <v>932</v>
      </c>
      <c r="D24" s="53">
        <v>6250</v>
      </c>
    </row>
    <row r="25" spans="1:5" x14ac:dyDescent="0.3">
      <c r="A25" s="52" t="s">
        <v>923</v>
      </c>
      <c r="B25" s="27" t="s">
        <v>933</v>
      </c>
      <c r="C25" s="65" t="s">
        <v>346</v>
      </c>
      <c r="D25" s="53">
        <v>31900</v>
      </c>
    </row>
    <row r="26" spans="1:5" x14ac:dyDescent="0.3">
      <c r="A26" s="52" t="s">
        <v>923</v>
      </c>
      <c r="B26" s="27" t="s">
        <v>934</v>
      </c>
      <c r="C26" s="65" t="s">
        <v>923</v>
      </c>
      <c r="D26" s="53">
        <v>79590.600000000006</v>
      </c>
    </row>
    <row r="27" spans="1:5" x14ac:dyDescent="0.3">
      <c r="A27" s="52" t="s">
        <v>923</v>
      </c>
      <c r="B27" s="27" t="s">
        <v>935</v>
      </c>
      <c r="C27" s="65" t="s">
        <v>923</v>
      </c>
      <c r="D27" s="53">
        <v>120977.71</v>
      </c>
    </row>
    <row r="28" spans="1:5" x14ac:dyDescent="0.3">
      <c r="A28" s="52" t="s">
        <v>923</v>
      </c>
      <c r="B28" s="27" t="s">
        <v>936</v>
      </c>
      <c r="C28" s="65" t="s">
        <v>923</v>
      </c>
      <c r="D28" s="53">
        <v>153332.31</v>
      </c>
    </row>
    <row r="29" spans="1:5" x14ac:dyDescent="0.3">
      <c r="A29" s="52" t="s">
        <v>923</v>
      </c>
      <c r="B29" s="27" t="s">
        <v>937</v>
      </c>
      <c r="C29" s="65" t="s">
        <v>923</v>
      </c>
      <c r="D29" s="53">
        <v>70000</v>
      </c>
    </row>
    <row r="30" spans="1:5" x14ac:dyDescent="0.3">
      <c r="A30" s="52" t="s">
        <v>923</v>
      </c>
      <c r="B30" s="27" t="s">
        <v>938</v>
      </c>
      <c r="C30" s="65" t="s">
        <v>346</v>
      </c>
      <c r="D30" s="53">
        <v>500</v>
      </c>
    </row>
    <row r="31" spans="1:5" x14ac:dyDescent="0.3">
      <c r="A31" s="84" t="s">
        <v>939</v>
      </c>
      <c r="B31" s="25" t="s">
        <v>940</v>
      </c>
      <c r="C31" s="91" t="s">
        <v>346</v>
      </c>
      <c r="D31" s="53">
        <v>7500</v>
      </c>
    </row>
    <row r="32" spans="1:5" x14ac:dyDescent="0.3">
      <c r="A32" s="52" t="s">
        <v>941</v>
      </c>
      <c r="B32" s="27" t="s">
        <v>257</v>
      </c>
      <c r="C32" s="65" t="s">
        <v>346</v>
      </c>
      <c r="D32" s="53">
        <v>500</v>
      </c>
    </row>
    <row r="33" spans="1:4" x14ac:dyDescent="0.3">
      <c r="A33" s="52" t="s">
        <v>942</v>
      </c>
      <c r="B33" s="27" t="s">
        <v>943</v>
      </c>
      <c r="C33" s="65" t="s">
        <v>944</v>
      </c>
      <c r="D33" s="53">
        <v>83000</v>
      </c>
    </row>
    <row r="34" spans="1:4" x14ac:dyDescent="0.3">
      <c r="A34" s="52" t="s">
        <v>458</v>
      </c>
      <c r="B34" s="27" t="s">
        <v>704</v>
      </c>
      <c r="C34" s="65" t="s">
        <v>346</v>
      </c>
      <c r="D34" s="53">
        <v>441423.55</v>
      </c>
    </row>
    <row r="35" spans="1:4" x14ac:dyDescent="0.3">
      <c r="A35" s="52" t="s">
        <v>945</v>
      </c>
      <c r="B35" s="27" t="s">
        <v>946</v>
      </c>
      <c r="C35" s="65" t="s">
        <v>346</v>
      </c>
      <c r="D35" s="53">
        <v>-4.12</v>
      </c>
    </row>
    <row r="36" spans="1:4" x14ac:dyDescent="0.3">
      <c r="A36" s="52" t="s">
        <v>947</v>
      </c>
      <c r="B36" s="27" t="s">
        <v>948</v>
      </c>
      <c r="C36" s="65" t="s">
        <v>346</v>
      </c>
      <c r="D36" s="53">
        <v>-13299.3</v>
      </c>
    </row>
    <row r="37" spans="1:4" x14ac:dyDescent="0.3">
      <c r="A37" s="52" t="s">
        <v>949</v>
      </c>
      <c r="B37" s="27" t="s">
        <v>949</v>
      </c>
      <c r="C37" s="65" t="s">
        <v>949</v>
      </c>
      <c r="D37" s="53">
        <v>34284.730000000003</v>
      </c>
    </row>
    <row r="38" spans="1:4" x14ac:dyDescent="0.3">
      <c r="A38" s="52" t="s">
        <v>686</v>
      </c>
      <c r="B38" s="27" t="s">
        <v>950</v>
      </c>
      <c r="C38" s="65" t="s">
        <v>951</v>
      </c>
      <c r="D38" s="53">
        <v>4366.1000000000004</v>
      </c>
    </row>
    <row r="39" spans="1:4" x14ac:dyDescent="0.3">
      <c r="A39" s="168" t="s">
        <v>952</v>
      </c>
      <c r="B39" s="31" t="s">
        <v>953</v>
      </c>
      <c r="C39" s="72" t="s">
        <v>346</v>
      </c>
      <c r="D39" s="53">
        <v>1450</v>
      </c>
    </row>
    <row r="40" spans="1:4" x14ac:dyDescent="0.3">
      <c r="A40" s="168" t="s">
        <v>954</v>
      </c>
      <c r="B40" s="31" t="s">
        <v>953</v>
      </c>
      <c r="C40" s="72" t="s">
        <v>346</v>
      </c>
      <c r="D40" s="73">
        <v>5670.26</v>
      </c>
    </row>
    <row r="41" spans="1:4" x14ac:dyDescent="0.3">
      <c r="A41" s="168" t="s">
        <v>955</v>
      </c>
      <c r="B41" s="31" t="s">
        <v>953</v>
      </c>
      <c r="C41" s="72" t="s">
        <v>951</v>
      </c>
      <c r="D41" s="73">
        <v>81.47</v>
      </c>
    </row>
    <row r="42" spans="1:4" ht="15" thickBot="1" x14ac:dyDescent="0.35">
      <c r="A42" s="189" t="s">
        <v>956</v>
      </c>
      <c r="B42" s="190" t="s">
        <v>957</v>
      </c>
      <c r="C42" s="191" t="s">
        <v>346</v>
      </c>
      <c r="D42" s="77">
        <v>2000</v>
      </c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5"/>
  <sheetViews>
    <sheetView workbookViewId="0"/>
  </sheetViews>
  <sheetFormatPr defaultRowHeight="14.4" x14ac:dyDescent="0.3"/>
  <cols>
    <col min="1" max="1" width="27.44140625" customWidth="1"/>
    <col min="2" max="2" width="68.88671875" customWidth="1"/>
    <col min="3" max="4" width="22.6640625" customWidth="1"/>
    <col min="5" max="5" width="10.109375" bestFit="1" customWidth="1"/>
    <col min="6" max="6" width="8.88671875" customWidth="1"/>
  </cols>
  <sheetData>
    <row r="1" spans="1:4" ht="17.399999999999999" x14ac:dyDescent="0.3">
      <c r="A1" s="80" t="s">
        <v>392</v>
      </c>
    </row>
    <row r="2" spans="1:4" ht="17.399999999999999" x14ac:dyDescent="0.3">
      <c r="A2" s="80"/>
    </row>
    <row r="3" spans="1:4" ht="23.25" customHeight="1" x14ac:dyDescent="0.3">
      <c r="A3" s="1023" t="s">
        <v>918</v>
      </c>
      <c r="B3" s="1023"/>
    </row>
    <row r="4" spans="1:4" ht="15" thickBot="1" x14ac:dyDescent="0.35"/>
    <row r="5" spans="1:4" ht="15" thickBot="1" x14ac:dyDescent="0.35">
      <c r="A5" s="50">
        <v>73</v>
      </c>
      <c r="B5" s="1012" t="s">
        <v>331</v>
      </c>
      <c r="C5" s="1012"/>
      <c r="D5" s="51">
        <f>SUM(D6:D8)+D9</f>
        <v>9240818.4900000039</v>
      </c>
    </row>
    <row r="6" spans="1:4" x14ac:dyDescent="0.3">
      <c r="A6" s="192" t="s">
        <v>332</v>
      </c>
      <c r="B6" s="1013" t="s">
        <v>333</v>
      </c>
      <c r="C6" s="1013"/>
      <c r="D6" s="193"/>
    </row>
    <row r="7" spans="1:4" x14ac:dyDescent="0.3">
      <c r="A7" s="192" t="s">
        <v>334</v>
      </c>
      <c r="B7" s="1014" t="s">
        <v>335</v>
      </c>
      <c r="C7" s="1014"/>
      <c r="D7" s="193">
        <v>42102.11</v>
      </c>
    </row>
    <row r="8" spans="1:4" ht="15" thickBot="1" x14ac:dyDescent="0.35">
      <c r="A8" s="194" t="s">
        <v>336</v>
      </c>
      <c r="B8" s="1015" t="s">
        <v>337</v>
      </c>
      <c r="C8" s="1015"/>
      <c r="D8" s="195"/>
    </row>
    <row r="9" spans="1:4" ht="39.75" customHeight="1" thickBot="1" x14ac:dyDescent="0.35">
      <c r="A9" s="196" t="s">
        <v>10</v>
      </c>
      <c r="B9" s="1016" t="s">
        <v>11</v>
      </c>
      <c r="C9" s="1016"/>
      <c r="D9" s="51">
        <f>SUM(D11:D45)</f>
        <v>9198716.3800000045</v>
      </c>
    </row>
    <row r="10" spans="1:4" ht="15" thickBot="1" x14ac:dyDescent="0.35">
      <c r="A10" s="62" t="s">
        <v>5</v>
      </c>
      <c r="B10" s="63" t="s">
        <v>6</v>
      </c>
      <c r="C10" s="62" t="s">
        <v>344</v>
      </c>
      <c r="D10" s="197" t="s">
        <v>345</v>
      </c>
    </row>
    <row r="11" spans="1:4" x14ac:dyDescent="0.3">
      <c r="A11" s="192" t="s">
        <v>919</v>
      </c>
      <c r="B11" s="198" t="s">
        <v>920</v>
      </c>
      <c r="C11" s="199" t="s">
        <v>346</v>
      </c>
      <c r="D11" s="193">
        <v>73738.539999999994</v>
      </c>
    </row>
    <row r="12" spans="1:4" x14ac:dyDescent="0.3">
      <c r="A12" s="192" t="s">
        <v>919</v>
      </c>
      <c r="B12" s="198" t="s">
        <v>920</v>
      </c>
      <c r="C12" s="199" t="s">
        <v>346</v>
      </c>
      <c r="D12" s="193">
        <v>38203.769999999997</v>
      </c>
    </row>
    <row r="13" spans="1:4" ht="39.6" x14ac:dyDescent="0.3">
      <c r="A13" s="192" t="s">
        <v>919</v>
      </c>
      <c r="B13" s="198" t="s">
        <v>920</v>
      </c>
      <c r="C13" s="200" t="s">
        <v>921</v>
      </c>
      <c r="D13" s="193">
        <f>10519.92+13964.37</f>
        <v>24484.29</v>
      </c>
    </row>
    <row r="14" spans="1:4" ht="39.6" x14ac:dyDescent="0.3">
      <c r="A14" s="192" t="s">
        <v>922</v>
      </c>
      <c r="B14" s="198" t="s">
        <v>920</v>
      </c>
      <c r="C14" s="200" t="s">
        <v>921</v>
      </c>
      <c r="D14" s="193">
        <f>4000+3750</f>
        <v>7750</v>
      </c>
    </row>
    <row r="15" spans="1:4" x14ac:dyDescent="0.3">
      <c r="A15" s="192" t="s">
        <v>923</v>
      </c>
      <c r="B15" s="198" t="s">
        <v>920</v>
      </c>
      <c r="C15" s="199" t="s">
        <v>346</v>
      </c>
      <c r="D15" s="193">
        <v>757.58</v>
      </c>
    </row>
    <row r="16" spans="1:4" ht="39.6" x14ac:dyDescent="0.3">
      <c r="A16" s="192" t="s">
        <v>923</v>
      </c>
      <c r="B16" s="198" t="s">
        <v>920</v>
      </c>
      <c r="C16" s="200" t="s">
        <v>921</v>
      </c>
      <c r="D16" s="193">
        <f>1500+1500</f>
        <v>3000</v>
      </c>
    </row>
    <row r="17" spans="1:5" x14ac:dyDescent="0.3">
      <c r="A17" s="192" t="s">
        <v>924</v>
      </c>
      <c r="B17" s="198" t="s">
        <v>920</v>
      </c>
      <c r="C17" s="199" t="s">
        <v>346</v>
      </c>
      <c r="D17" s="193">
        <v>18325.490000000002</v>
      </c>
    </row>
    <row r="18" spans="1:5" ht="39.6" x14ac:dyDescent="0.3">
      <c r="A18" s="192" t="s">
        <v>925</v>
      </c>
      <c r="B18" s="198" t="s">
        <v>920</v>
      </c>
      <c r="C18" s="200" t="s">
        <v>921</v>
      </c>
      <c r="D18" s="193">
        <f>2863.37+10626.12+2900</f>
        <v>16389.490000000002</v>
      </c>
      <c r="E18" s="6"/>
    </row>
    <row r="19" spans="1:5" x14ac:dyDescent="0.3">
      <c r="A19" s="192" t="s">
        <v>346</v>
      </c>
      <c r="B19" s="198" t="s">
        <v>926</v>
      </c>
      <c r="C19" s="199" t="s">
        <v>346</v>
      </c>
      <c r="D19" s="193">
        <v>7546570.1299999999</v>
      </c>
    </row>
    <row r="20" spans="1:5" x14ac:dyDescent="0.3">
      <c r="A20" s="192" t="s">
        <v>346</v>
      </c>
      <c r="B20" s="198" t="s">
        <v>928</v>
      </c>
      <c r="C20" s="199" t="s">
        <v>346</v>
      </c>
      <c r="D20" s="193">
        <v>33334.28</v>
      </c>
    </row>
    <row r="21" spans="1:5" x14ac:dyDescent="0.3">
      <c r="A21" s="201" t="s">
        <v>346</v>
      </c>
      <c r="B21" s="202" t="s">
        <v>929</v>
      </c>
      <c r="C21" s="200" t="s">
        <v>346</v>
      </c>
      <c r="D21" s="193">
        <v>93668.98</v>
      </c>
    </row>
    <row r="22" spans="1:5" x14ac:dyDescent="0.3">
      <c r="A22" s="201" t="s">
        <v>346</v>
      </c>
      <c r="B22" s="202" t="s">
        <v>930</v>
      </c>
      <c r="C22" s="200" t="s">
        <v>346</v>
      </c>
      <c r="D22" s="193">
        <v>100</v>
      </c>
    </row>
    <row r="23" spans="1:5" x14ac:dyDescent="0.3">
      <c r="A23" s="201" t="s">
        <v>346</v>
      </c>
      <c r="B23" s="202" t="s">
        <v>958</v>
      </c>
      <c r="C23" s="200" t="s">
        <v>346</v>
      </c>
      <c r="D23" s="193">
        <v>45764.88</v>
      </c>
    </row>
    <row r="24" spans="1:5" x14ac:dyDescent="0.3">
      <c r="A24" s="201" t="s">
        <v>346</v>
      </c>
      <c r="B24" s="202" t="s">
        <v>959</v>
      </c>
      <c r="C24" s="200" t="s">
        <v>346</v>
      </c>
      <c r="D24" s="193">
        <v>22882.44</v>
      </c>
    </row>
    <row r="25" spans="1:5" x14ac:dyDescent="0.3">
      <c r="A25" s="201" t="s">
        <v>346</v>
      </c>
      <c r="B25" s="202" t="s">
        <v>960</v>
      </c>
      <c r="C25" s="200" t="s">
        <v>346</v>
      </c>
      <c r="D25" s="193">
        <v>3421.69</v>
      </c>
    </row>
    <row r="26" spans="1:5" x14ac:dyDescent="0.3">
      <c r="A26" s="192" t="s">
        <v>923</v>
      </c>
      <c r="B26" s="198" t="s">
        <v>933</v>
      </c>
      <c r="C26" s="199" t="s">
        <v>346</v>
      </c>
      <c r="D26" s="193">
        <v>31900</v>
      </c>
    </row>
    <row r="27" spans="1:5" x14ac:dyDescent="0.3">
      <c r="A27" s="192" t="s">
        <v>923</v>
      </c>
      <c r="B27" s="198" t="s">
        <v>934</v>
      </c>
      <c r="C27" s="199" t="s">
        <v>923</v>
      </c>
      <c r="D27" s="193">
        <v>81182.41</v>
      </c>
    </row>
    <row r="28" spans="1:5" x14ac:dyDescent="0.3">
      <c r="A28" s="192" t="s">
        <v>923</v>
      </c>
      <c r="B28" s="198" t="s">
        <v>935</v>
      </c>
      <c r="C28" s="199" t="s">
        <v>923</v>
      </c>
      <c r="D28" s="193">
        <v>123397.26</v>
      </c>
    </row>
    <row r="29" spans="1:5" x14ac:dyDescent="0.3">
      <c r="A29" s="192" t="s">
        <v>923</v>
      </c>
      <c r="B29" s="198" t="s">
        <v>936</v>
      </c>
      <c r="C29" s="199" t="s">
        <v>923</v>
      </c>
      <c r="D29" s="193">
        <f>153332.31+48832.31</f>
        <v>202164.62</v>
      </c>
    </row>
    <row r="30" spans="1:5" x14ac:dyDescent="0.3">
      <c r="A30" s="192" t="s">
        <v>923</v>
      </c>
      <c r="B30" s="198" t="s">
        <v>937</v>
      </c>
      <c r="C30" s="199" t="s">
        <v>923</v>
      </c>
      <c r="D30" s="193">
        <v>69055.13</v>
      </c>
    </row>
    <row r="31" spans="1:5" x14ac:dyDescent="0.3">
      <c r="A31" s="192" t="s">
        <v>923</v>
      </c>
      <c r="B31" s="198" t="s">
        <v>938</v>
      </c>
      <c r="C31" s="199" t="s">
        <v>346</v>
      </c>
      <c r="D31" s="193">
        <v>500</v>
      </c>
    </row>
    <row r="32" spans="1:5" x14ac:dyDescent="0.3">
      <c r="A32" s="192" t="s">
        <v>923</v>
      </c>
      <c r="B32" s="198" t="s">
        <v>961</v>
      </c>
      <c r="C32" s="199" t="s">
        <v>923</v>
      </c>
      <c r="D32" s="193">
        <v>40000</v>
      </c>
    </row>
    <row r="33" spans="1:4" x14ac:dyDescent="0.3">
      <c r="A33" s="192" t="s">
        <v>923</v>
      </c>
      <c r="B33" s="198" t="s">
        <v>962</v>
      </c>
      <c r="C33" s="199" t="s">
        <v>346</v>
      </c>
      <c r="D33" s="193">
        <v>250</v>
      </c>
    </row>
    <row r="34" spans="1:4" x14ac:dyDescent="0.3">
      <c r="A34" s="201" t="s">
        <v>939</v>
      </c>
      <c r="B34" s="202" t="s">
        <v>940</v>
      </c>
      <c r="C34" s="200" t="s">
        <v>346</v>
      </c>
      <c r="D34" s="193">
        <v>7500</v>
      </c>
    </row>
    <row r="35" spans="1:4" x14ac:dyDescent="0.3">
      <c r="A35" s="192" t="s">
        <v>941</v>
      </c>
      <c r="B35" s="198" t="s">
        <v>257</v>
      </c>
      <c r="C35" s="199" t="s">
        <v>346</v>
      </c>
      <c r="D35" s="193">
        <v>500</v>
      </c>
    </row>
    <row r="36" spans="1:4" x14ac:dyDescent="0.3">
      <c r="A36" s="192" t="s">
        <v>942</v>
      </c>
      <c r="B36" s="198" t="s">
        <v>943</v>
      </c>
      <c r="C36" s="199" t="s">
        <v>944</v>
      </c>
      <c r="D36" s="193">
        <v>83000</v>
      </c>
    </row>
    <row r="37" spans="1:4" x14ac:dyDescent="0.3">
      <c r="A37" s="192" t="s">
        <v>458</v>
      </c>
      <c r="B37" s="198" t="s">
        <v>704</v>
      </c>
      <c r="C37" s="199" t="s">
        <v>346</v>
      </c>
      <c r="D37" s="193">
        <v>471728.8</v>
      </c>
    </row>
    <row r="38" spans="1:4" x14ac:dyDescent="0.3">
      <c r="A38" s="192" t="s">
        <v>945</v>
      </c>
      <c r="B38" s="198" t="s">
        <v>946</v>
      </c>
      <c r="C38" s="199" t="s">
        <v>346</v>
      </c>
      <c r="D38" s="193">
        <v>7508.82</v>
      </c>
    </row>
    <row r="39" spans="1:4" x14ac:dyDescent="0.3">
      <c r="A39" s="192" t="s">
        <v>963</v>
      </c>
      <c r="B39" s="198" t="s">
        <v>964</v>
      </c>
      <c r="C39" s="199" t="s">
        <v>963</v>
      </c>
      <c r="D39" s="193">
        <v>55396.46</v>
      </c>
    </row>
    <row r="40" spans="1:4" x14ac:dyDescent="0.3">
      <c r="A40" s="192" t="s">
        <v>949</v>
      </c>
      <c r="B40" s="198" t="s">
        <v>949</v>
      </c>
      <c r="C40" s="199" t="s">
        <v>949</v>
      </c>
      <c r="D40" s="193">
        <v>84228.4</v>
      </c>
    </row>
    <row r="41" spans="1:4" x14ac:dyDescent="0.3">
      <c r="A41" s="192" t="s">
        <v>686</v>
      </c>
      <c r="B41" s="198" t="s">
        <v>965</v>
      </c>
      <c r="C41" s="199" t="s">
        <v>951</v>
      </c>
      <c r="D41" s="193">
        <v>899.8</v>
      </c>
    </row>
    <row r="42" spans="1:4" x14ac:dyDescent="0.3">
      <c r="A42" s="168" t="s">
        <v>952</v>
      </c>
      <c r="B42" s="31" t="s">
        <v>953</v>
      </c>
      <c r="C42" s="72" t="s">
        <v>346</v>
      </c>
      <c r="D42" s="193">
        <v>850</v>
      </c>
    </row>
    <row r="43" spans="1:4" x14ac:dyDescent="0.3">
      <c r="A43" s="168" t="s">
        <v>954</v>
      </c>
      <c r="B43" s="31" t="s">
        <v>953</v>
      </c>
      <c r="C43" s="72" t="s">
        <v>346</v>
      </c>
      <c r="D43" s="73">
        <v>5763.12</v>
      </c>
    </row>
    <row r="44" spans="1:4" x14ac:dyDescent="0.3">
      <c r="A44" s="168" t="s">
        <v>663</v>
      </c>
      <c r="B44" s="31" t="s">
        <v>966</v>
      </c>
      <c r="C44" s="72" t="s">
        <v>951</v>
      </c>
      <c r="D44" s="73">
        <v>2500</v>
      </c>
    </row>
    <row r="45" spans="1:4" ht="15" thickBot="1" x14ac:dyDescent="0.35">
      <c r="A45" s="189" t="s">
        <v>956</v>
      </c>
      <c r="B45" s="190" t="s">
        <v>957</v>
      </c>
      <c r="C45" s="191" t="s">
        <v>346</v>
      </c>
      <c r="D45" s="77">
        <v>2000</v>
      </c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18"/>
  <sheetViews>
    <sheetView workbookViewId="0"/>
  </sheetViews>
  <sheetFormatPr defaultRowHeight="14.4" x14ac:dyDescent="0.3"/>
  <cols>
    <col min="1" max="1" width="34.44140625" customWidth="1"/>
    <col min="2" max="2" width="55" style="203" customWidth="1"/>
    <col min="3" max="3" width="29.33203125" style="203" customWidth="1"/>
    <col min="4" max="6" width="12.6640625" bestFit="1" customWidth="1"/>
    <col min="7" max="7" width="8.88671875" customWidth="1"/>
  </cols>
  <sheetData>
    <row r="1" spans="1:7" ht="17.399999999999999" x14ac:dyDescent="0.3">
      <c r="A1" s="80" t="s">
        <v>967</v>
      </c>
    </row>
    <row r="2" spans="1:7" x14ac:dyDescent="0.3">
      <c r="A2" s="204"/>
    </row>
    <row r="3" spans="1:7" ht="23.25" customHeight="1" x14ac:dyDescent="0.3">
      <c r="A3" s="1017" t="s">
        <v>968</v>
      </c>
      <c r="B3" s="1017"/>
    </row>
    <row r="4" spans="1:7" ht="15" thickBot="1" x14ac:dyDescent="0.35"/>
    <row r="5" spans="1:7" ht="15" thickBot="1" x14ac:dyDescent="0.35">
      <c r="A5" s="50">
        <v>73</v>
      </c>
      <c r="B5" s="1012" t="s">
        <v>331</v>
      </c>
      <c r="C5" s="1012"/>
      <c r="D5" s="82">
        <f>D6+D7+D33+D34</f>
        <v>25987078.510000002</v>
      </c>
      <c r="F5" s="6"/>
    </row>
    <row r="6" spans="1:7" x14ac:dyDescent="0.3">
      <c r="A6" s="52" t="s">
        <v>332</v>
      </c>
      <c r="B6" s="1013" t="s">
        <v>333</v>
      </c>
      <c r="C6" s="1013"/>
      <c r="D6" s="205">
        <v>0</v>
      </c>
    </row>
    <row r="7" spans="1:7" x14ac:dyDescent="0.3">
      <c r="A7" s="206" t="s">
        <v>334</v>
      </c>
      <c r="B7" s="1024" t="s">
        <v>335</v>
      </c>
      <c r="C7" s="1024"/>
      <c r="D7" s="207">
        <f>+SUM(D8:D32)</f>
        <v>60912.649999999994</v>
      </c>
      <c r="E7" s="6"/>
      <c r="G7" s="6"/>
    </row>
    <row r="8" spans="1:7" x14ac:dyDescent="0.3">
      <c r="A8" s="208"/>
      <c r="B8" s="209" t="s">
        <v>969</v>
      </c>
      <c r="C8" s="210"/>
      <c r="D8" s="88">
        <f>50+40472.65+390-SUM(D9:D31)-17547.37</f>
        <v>70.610000000000582</v>
      </c>
      <c r="E8" s="6"/>
    </row>
    <row r="9" spans="1:7" x14ac:dyDescent="0.3">
      <c r="A9" s="208"/>
      <c r="B9" s="211" t="s">
        <v>970</v>
      </c>
      <c r="C9" s="212"/>
      <c r="D9" s="213">
        <v>460.9</v>
      </c>
      <c r="E9" s="6"/>
    </row>
    <row r="10" spans="1:7" x14ac:dyDescent="0.3">
      <c r="A10" s="208"/>
      <c r="B10" s="214" t="s">
        <v>971</v>
      </c>
      <c r="C10" s="215"/>
      <c r="D10" s="216">
        <v>309.37</v>
      </c>
      <c r="E10" s="6"/>
    </row>
    <row r="11" spans="1:7" x14ac:dyDescent="0.3">
      <c r="A11" s="208"/>
      <c r="B11" s="217" t="s">
        <v>972</v>
      </c>
      <c r="C11" s="218"/>
      <c r="D11" s="219">
        <v>1025.97</v>
      </c>
      <c r="E11" s="6"/>
    </row>
    <row r="12" spans="1:7" x14ac:dyDescent="0.3">
      <c r="A12" s="208"/>
      <c r="B12" s="220" t="s">
        <v>973</v>
      </c>
      <c r="C12" s="221"/>
      <c r="D12" s="222">
        <v>1075.31</v>
      </c>
    </row>
    <row r="13" spans="1:7" x14ac:dyDescent="0.3">
      <c r="A13" s="208"/>
      <c r="B13" s="223" t="s">
        <v>974</v>
      </c>
      <c r="C13" s="224"/>
      <c r="D13" s="225">
        <v>409.57</v>
      </c>
    </row>
    <row r="14" spans="1:7" x14ac:dyDescent="0.3">
      <c r="A14" s="208"/>
      <c r="B14" s="226" t="s">
        <v>975</v>
      </c>
      <c r="C14" s="227"/>
      <c r="D14" s="228">
        <v>200.7</v>
      </c>
    </row>
    <row r="15" spans="1:7" x14ac:dyDescent="0.3">
      <c r="A15" s="208"/>
      <c r="B15" s="229" t="s">
        <v>976</v>
      </c>
      <c r="C15" s="230"/>
      <c r="D15" s="231">
        <v>0</v>
      </c>
    </row>
    <row r="16" spans="1:7" x14ac:dyDescent="0.3">
      <c r="A16" s="208"/>
      <c r="B16" s="232" t="s">
        <v>977</v>
      </c>
      <c r="C16" s="233"/>
      <c r="D16" s="234">
        <v>305.45999999999998</v>
      </c>
    </row>
    <row r="17" spans="1:4" x14ac:dyDescent="0.3">
      <c r="A17" s="208"/>
      <c r="B17" s="235" t="s">
        <v>978</v>
      </c>
      <c r="C17" s="236"/>
      <c r="D17" s="237">
        <v>978.53</v>
      </c>
    </row>
    <row r="18" spans="1:4" x14ac:dyDescent="0.3">
      <c r="A18" s="208"/>
      <c r="B18" s="238" t="s">
        <v>979</v>
      </c>
      <c r="C18" s="239"/>
      <c r="D18" s="240">
        <v>0</v>
      </c>
    </row>
    <row r="19" spans="1:4" x14ac:dyDescent="0.3">
      <c r="A19" s="208"/>
      <c r="B19" s="241" t="s">
        <v>980</v>
      </c>
      <c r="C19" s="242"/>
      <c r="D19" s="243">
        <v>4524.93</v>
      </c>
    </row>
    <row r="20" spans="1:4" x14ac:dyDescent="0.3">
      <c r="A20" s="208"/>
      <c r="B20" s="244" t="s">
        <v>981</v>
      </c>
      <c r="C20" s="245"/>
      <c r="D20" s="246">
        <v>2048.9299999999998</v>
      </c>
    </row>
    <row r="21" spans="1:4" x14ac:dyDescent="0.3">
      <c r="A21" s="208"/>
      <c r="B21" s="247" t="s">
        <v>982</v>
      </c>
      <c r="C21" s="248"/>
      <c r="D21" s="249">
        <v>2207.1</v>
      </c>
    </row>
    <row r="22" spans="1:4" x14ac:dyDescent="0.3">
      <c r="A22" s="208"/>
      <c r="B22" s="250" t="s">
        <v>983</v>
      </c>
      <c r="C22" s="251"/>
      <c r="D22" s="252">
        <v>338.31</v>
      </c>
    </row>
    <row r="23" spans="1:4" x14ac:dyDescent="0.3">
      <c r="A23" s="208"/>
      <c r="B23" s="253" t="s">
        <v>984</v>
      </c>
      <c r="C23" s="254"/>
      <c r="D23" s="255">
        <v>161.36000000000001</v>
      </c>
    </row>
    <row r="24" spans="1:4" x14ac:dyDescent="0.3">
      <c r="A24" s="208"/>
      <c r="B24" s="256" t="s">
        <v>985</v>
      </c>
      <c r="C24" s="257"/>
      <c r="D24" s="258">
        <v>778.56</v>
      </c>
    </row>
    <row r="25" spans="1:4" x14ac:dyDescent="0.3">
      <c r="A25" s="208"/>
      <c r="B25" s="259" t="s">
        <v>986</v>
      </c>
      <c r="C25" s="260"/>
      <c r="D25" s="261">
        <v>4636.99</v>
      </c>
    </row>
    <row r="26" spans="1:4" x14ac:dyDescent="0.3">
      <c r="A26" s="208"/>
      <c r="B26" s="262" t="s">
        <v>987</v>
      </c>
      <c r="C26" s="263"/>
      <c r="D26" s="264">
        <v>49.51</v>
      </c>
    </row>
    <row r="27" spans="1:4" x14ac:dyDescent="0.3">
      <c r="A27" s="208"/>
      <c r="B27" s="265" t="s">
        <v>988</v>
      </c>
      <c r="C27" s="266"/>
      <c r="D27" s="267">
        <v>248.68</v>
      </c>
    </row>
    <row r="28" spans="1:4" x14ac:dyDescent="0.3">
      <c r="A28" s="208"/>
      <c r="B28" s="268" t="s">
        <v>989</v>
      </c>
      <c r="C28" s="269"/>
      <c r="D28" s="270">
        <v>32.75</v>
      </c>
    </row>
    <row r="29" spans="1:4" x14ac:dyDescent="0.3">
      <c r="A29" s="208"/>
      <c r="B29" s="271" t="s">
        <v>990</v>
      </c>
      <c r="C29" s="272"/>
      <c r="D29" s="273">
        <v>349.41</v>
      </c>
    </row>
    <row r="30" spans="1:4" x14ac:dyDescent="0.3">
      <c r="A30" s="208"/>
      <c r="B30" s="274" t="s">
        <v>991</v>
      </c>
      <c r="C30" s="275"/>
      <c r="D30" s="276">
        <v>1035.27</v>
      </c>
    </row>
    <row r="31" spans="1:4" x14ac:dyDescent="0.3">
      <c r="A31" s="208"/>
      <c r="B31" s="229" t="s">
        <v>992</v>
      </c>
      <c r="C31" s="230"/>
      <c r="D31" s="277">
        <v>2117.06</v>
      </c>
    </row>
    <row r="32" spans="1:4" x14ac:dyDescent="0.3">
      <c r="A32" s="208"/>
      <c r="B32" s="278" t="s">
        <v>993</v>
      </c>
      <c r="C32" s="279"/>
      <c r="D32" s="280">
        <f>20000+17547.37</f>
        <v>37547.369999999995</v>
      </c>
    </row>
    <row r="33" spans="1:7" ht="15" thickBot="1" x14ac:dyDescent="0.35">
      <c r="A33" s="281" t="s">
        <v>336</v>
      </c>
      <c r="B33" s="1015" t="s">
        <v>337</v>
      </c>
      <c r="C33" s="1015"/>
      <c r="D33" s="282">
        <v>0</v>
      </c>
    </row>
    <row r="34" spans="1:7" ht="39.75" customHeight="1" thickBot="1" x14ac:dyDescent="0.35">
      <c r="A34" s="7" t="s">
        <v>10</v>
      </c>
      <c r="B34" s="1016" t="s">
        <v>11</v>
      </c>
      <c r="C34" s="1016"/>
      <c r="D34" s="82">
        <f>SUM(D36:D117)</f>
        <v>25926165.860000003</v>
      </c>
    </row>
    <row r="35" spans="1:7" ht="15" thickBot="1" x14ac:dyDescent="0.35">
      <c r="A35" s="62" t="s">
        <v>5</v>
      </c>
      <c r="B35" s="283" t="s">
        <v>6</v>
      </c>
      <c r="C35" s="284" t="s">
        <v>344</v>
      </c>
      <c r="D35" s="64" t="s">
        <v>345</v>
      </c>
    </row>
    <row r="36" spans="1:7" ht="15" thickBot="1" x14ac:dyDescent="0.35">
      <c r="A36" s="285" t="s">
        <v>485</v>
      </c>
      <c r="B36" s="286" t="s">
        <v>691</v>
      </c>
      <c r="C36" s="287" t="s">
        <v>994</v>
      </c>
      <c r="D36" s="288">
        <f>389974.95-D37-D38-D39</f>
        <v>385648.03</v>
      </c>
      <c r="E36" s="6"/>
      <c r="G36" s="6"/>
    </row>
    <row r="37" spans="1:7" ht="15" thickBot="1" x14ac:dyDescent="0.35">
      <c r="A37" s="289" t="s">
        <v>485</v>
      </c>
      <c r="B37" s="290" t="s">
        <v>691</v>
      </c>
      <c r="C37" s="291" t="s">
        <v>995</v>
      </c>
      <c r="D37" s="292">
        <v>1110.25</v>
      </c>
      <c r="E37" s="6">
        <f>+D37+D41+D45+D66+D9</f>
        <v>277399.92</v>
      </c>
      <c r="G37" s="6"/>
    </row>
    <row r="38" spans="1:7" ht="15" thickBot="1" x14ac:dyDescent="0.35">
      <c r="A38" s="293" t="s">
        <v>485</v>
      </c>
      <c r="B38" s="294" t="s">
        <v>691</v>
      </c>
      <c r="C38" s="295" t="s">
        <v>996</v>
      </c>
      <c r="D38" s="296">
        <v>745.23</v>
      </c>
      <c r="E38" s="6">
        <f>+D10+D38+D42+D46+D67</f>
        <v>156791.67999999999</v>
      </c>
      <c r="G38" s="6"/>
    </row>
    <row r="39" spans="1:7" x14ac:dyDescent="0.3">
      <c r="A39" s="297" t="s">
        <v>485</v>
      </c>
      <c r="B39" s="298" t="s">
        <v>691</v>
      </c>
      <c r="C39" s="299" t="s">
        <v>997</v>
      </c>
      <c r="D39" s="300">
        <v>2471.44</v>
      </c>
      <c r="E39" s="6">
        <f>+D11+D39+D43+D47+D69</f>
        <v>632538.69000000006</v>
      </c>
      <c r="G39" s="6"/>
    </row>
    <row r="40" spans="1:7" x14ac:dyDescent="0.3">
      <c r="A40" s="301" t="s">
        <v>456</v>
      </c>
      <c r="B40" s="302" t="s">
        <v>691</v>
      </c>
      <c r="C40" s="141" t="s">
        <v>994</v>
      </c>
      <c r="D40" s="303">
        <f>18905.23-D41-D42-D43</f>
        <v>18695.469999999998</v>
      </c>
    </row>
    <row r="41" spans="1:7" x14ac:dyDescent="0.3">
      <c r="A41" s="304" t="s">
        <v>456</v>
      </c>
      <c r="B41" s="305" t="s">
        <v>691</v>
      </c>
      <c r="C41" s="291" t="s">
        <v>995</v>
      </c>
      <c r="D41" s="306">
        <v>53.82</v>
      </c>
    </row>
    <row r="42" spans="1:7" x14ac:dyDescent="0.3">
      <c r="A42" s="307" t="s">
        <v>456</v>
      </c>
      <c r="B42" s="308" t="s">
        <v>691</v>
      </c>
      <c r="C42" s="295" t="s">
        <v>996</v>
      </c>
      <c r="D42" s="309">
        <v>36.130000000000003</v>
      </c>
    </row>
    <row r="43" spans="1:7" x14ac:dyDescent="0.3">
      <c r="A43" s="310" t="s">
        <v>456</v>
      </c>
      <c r="B43" s="311" t="s">
        <v>691</v>
      </c>
      <c r="C43" s="299" t="s">
        <v>997</v>
      </c>
      <c r="D43" s="312">
        <v>119.81</v>
      </c>
    </row>
    <row r="44" spans="1:7" x14ac:dyDescent="0.3">
      <c r="A44" s="301" t="s">
        <v>998</v>
      </c>
      <c r="B44" s="302" t="s">
        <v>691</v>
      </c>
      <c r="C44" s="141" t="s">
        <v>994</v>
      </c>
      <c r="D44" s="303">
        <f>63742.4+10076.04-D45-D46-D47</f>
        <v>72999.389999999985</v>
      </c>
    </row>
    <row r="45" spans="1:7" x14ac:dyDescent="0.3">
      <c r="A45" s="304" t="s">
        <v>998</v>
      </c>
      <c r="B45" s="305" t="s">
        <v>691</v>
      </c>
      <c r="C45" s="291" t="s">
        <v>995</v>
      </c>
      <c r="D45" s="306">
        <f>181.47+28.69</f>
        <v>210.16</v>
      </c>
    </row>
    <row r="46" spans="1:7" x14ac:dyDescent="0.3">
      <c r="A46" s="307" t="s">
        <v>998</v>
      </c>
      <c r="B46" s="308" t="s">
        <v>691</v>
      </c>
      <c r="C46" s="295" t="s">
        <v>996</v>
      </c>
      <c r="D46" s="309">
        <f>121.81+19.26</f>
        <v>141.07</v>
      </c>
    </row>
    <row r="47" spans="1:7" x14ac:dyDescent="0.3">
      <c r="A47" s="310" t="s">
        <v>998</v>
      </c>
      <c r="B47" s="311" t="s">
        <v>691</v>
      </c>
      <c r="C47" s="299" t="s">
        <v>997</v>
      </c>
      <c r="D47" s="312">
        <f>403.96+63.86</f>
        <v>467.82</v>
      </c>
    </row>
    <row r="48" spans="1:7" x14ac:dyDescent="0.3">
      <c r="A48" s="313" t="s">
        <v>346</v>
      </c>
      <c r="B48" s="23" t="s">
        <v>999</v>
      </c>
      <c r="C48" s="141" t="s">
        <v>994</v>
      </c>
      <c r="D48" s="314">
        <v>19898755.75</v>
      </c>
      <c r="E48" s="6">
        <f>+D8+SUM(D48:D65)+D36+D40+D44-D51</f>
        <v>21808201.070000008</v>
      </c>
    </row>
    <row r="49" spans="1:5" x14ac:dyDescent="0.3">
      <c r="A49" s="313" t="s">
        <v>346</v>
      </c>
      <c r="B49" s="315" t="s">
        <v>1000</v>
      </c>
      <c r="C49" s="141" t="s">
        <v>994</v>
      </c>
      <c r="D49" s="53">
        <v>270731.37</v>
      </c>
    </row>
    <row r="50" spans="1:5" x14ac:dyDescent="0.3">
      <c r="A50" s="313" t="s">
        <v>346</v>
      </c>
      <c r="B50" s="315" t="s">
        <v>1001</v>
      </c>
      <c r="C50" s="141" t="s">
        <v>994</v>
      </c>
      <c r="D50" s="53">
        <v>0</v>
      </c>
    </row>
    <row r="51" spans="1:5" x14ac:dyDescent="0.3">
      <c r="A51" s="316" t="s">
        <v>346</v>
      </c>
      <c r="B51" s="317" t="s">
        <v>1002</v>
      </c>
      <c r="C51" s="318" t="s">
        <v>994</v>
      </c>
      <c r="D51" s="319">
        <v>71113.23</v>
      </c>
      <c r="E51" s="6">
        <f>+D51</f>
        <v>71113.23</v>
      </c>
    </row>
    <row r="52" spans="1:5" x14ac:dyDescent="0.3">
      <c r="A52" s="313" t="s">
        <v>346</v>
      </c>
      <c r="B52" s="315" t="s">
        <v>1003</v>
      </c>
      <c r="C52" s="141" t="s">
        <v>994</v>
      </c>
      <c r="D52" s="53">
        <v>11385</v>
      </c>
    </row>
    <row r="53" spans="1:5" x14ac:dyDescent="0.3">
      <c r="A53" s="84" t="s">
        <v>1004</v>
      </c>
      <c r="B53" s="107" t="s">
        <v>1005</v>
      </c>
      <c r="C53" s="141" t="s">
        <v>994</v>
      </c>
      <c r="D53" s="320">
        <v>565.52</v>
      </c>
    </row>
    <row r="54" spans="1:5" x14ac:dyDescent="0.3">
      <c r="A54" s="84" t="s">
        <v>1004</v>
      </c>
      <c r="B54" s="315" t="s">
        <v>1006</v>
      </c>
      <c r="C54" s="141" t="s">
        <v>994</v>
      </c>
      <c r="D54" s="53">
        <v>2500</v>
      </c>
    </row>
    <row r="55" spans="1:5" x14ac:dyDescent="0.3">
      <c r="A55" s="301" t="s">
        <v>1007</v>
      </c>
      <c r="B55" s="107" t="s">
        <v>1008</v>
      </c>
      <c r="C55" s="141" t="s">
        <v>994</v>
      </c>
      <c r="D55" s="320">
        <v>635</v>
      </c>
    </row>
    <row r="56" spans="1:5" x14ac:dyDescent="0.3">
      <c r="A56" s="301" t="s">
        <v>1009</v>
      </c>
      <c r="B56" s="107" t="s">
        <v>1010</v>
      </c>
      <c r="C56" s="141" t="s">
        <v>994</v>
      </c>
      <c r="D56" s="320">
        <v>2500</v>
      </c>
    </row>
    <row r="57" spans="1:5" x14ac:dyDescent="0.3">
      <c r="A57" s="301" t="s">
        <v>1009</v>
      </c>
      <c r="B57" s="107" t="s">
        <v>1011</v>
      </c>
      <c r="C57" s="141" t="s">
        <v>994</v>
      </c>
      <c r="D57" s="320">
        <f>2480*2</f>
        <v>4960</v>
      </c>
      <c r="E57" s="6"/>
    </row>
    <row r="58" spans="1:5" x14ac:dyDescent="0.3">
      <c r="A58" s="301" t="s">
        <v>1012</v>
      </c>
      <c r="B58" s="107" t="s">
        <v>1013</v>
      </c>
      <c r="C58" s="141" t="s">
        <v>994</v>
      </c>
      <c r="D58" s="320">
        <v>8027.01</v>
      </c>
    </row>
    <row r="59" spans="1:5" x14ac:dyDescent="0.3">
      <c r="A59" s="321" t="s">
        <v>1014</v>
      </c>
      <c r="B59" s="322" t="s">
        <v>1015</v>
      </c>
      <c r="C59" s="91" t="s">
        <v>994</v>
      </c>
      <c r="D59" s="323">
        <v>12345</v>
      </c>
    </row>
    <row r="60" spans="1:5" x14ac:dyDescent="0.3">
      <c r="A60" s="301" t="s">
        <v>1016</v>
      </c>
      <c r="B60" s="107" t="s">
        <v>1017</v>
      </c>
      <c r="C60" s="141" t="s">
        <v>994</v>
      </c>
      <c r="D60" s="320">
        <f>331*2+700+700+736+225+405.75+200+1860+687+500+4500+5447+768.8+3900+49067.4-14000-8576.26</f>
        <v>47782.689999999995</v>
      </c>
      <c r="E60" s="6"/>
    </row>
    <row r="61" spans="1:5" ht="27" x14ac:dyDescent="0.3">
      <c r="A61" s="301" t="s">
        <v>1018</v>
      </c>
      <c r="B61" s="107" t="s">
        <v>1019</v>
      </c>
      <c r="C61" s="141" t="s">
        <v>994</v>
      </c>
      <c r="D61" s="320">
        <v>881.8</v>
      </c>
    </row>
    <row r="62" spans="1:5" ht="40.200000000000003" x14ac:dyDescent="0.3">
      <c r="A62" s="324" t="s">
        <v>1020</v>
      </c>
      <c r="B62" s="107" t="s">
        <v>1021</v>
      </c>
      <c r="C62" s="141" t="s">
        <v>994</v>
      </c>
      <c r="D62" s="320">
        <v>27147.599999999999</v>
      </c>
      <c r="E62" s="6"/>
    </row>
    <row r="63" spans="1:5" x14ac:dyDescent="0.3">
      <c r="A63" s="301" t="s">
        <v>1022</v>
      </c>
      <c r="B63" s="107" t="s">
        <v>1023</v>
      </c>
      <c r="C63" s="141" t="s">
        <v>994</v>
      </c>
      <c r="D63" s="320">
        <v>8576.26</v>
      </c>
      <c r="E63" s="6"/>
    </row>
    <row r="64" spans="1:5" x14ac:dyDescent="0.3">
      <c r="A64" s="84" t="s">
        <v>1024</v>
      </c>
      <c r="B64" s="325" t="s">
        <v>1025</v>
      </c>
      <c r="C64" s="141" t="s">
        <v>994</v>
      </c>
      <c r="D64" s="326">
        <v>6372.45</v>
      </c>
    </row>
    <row r="65" spans="1:6" x14ac:dyDescent="0.3">
      <c r="A65" s="301" t="s">
        <v>458</v>
      </c>
      <c r="B65" s="107" t="s">
        <v>1026</v>
      </c>
      <c r="C65" s="141" t="s">
        <v>994</v>
      </c>
      <c r="D65" s="320">
        <v>1027622.12</v>
      </c>
    </row>
    <row r="66" spans="1:6" x14ac:dyDescent="0.3">
      <c r="A66" s="327" t="s">
        <v>346</v>
      </c>
      <c r="B66" s="328" t="s">
        <v>1027</v>
      </c>
      <c r="C66" s="291" t="s">
        <v>995</v>
      </c>
      <c r="D66" s="329">
        <v>275564.78999999998</v>
      </c>
      <c r="E66" s="78"/>
    </row>
    <row r="67" spans="1:6" x14ac:dyDescent="0.3">
      <c r="A67" s="330" t="s">
        <v>346</v>
      </c>
      <c r="B67" s="331" t="s">
        <v>1028</v>
      </c>
      <c r="C67" s="295" t="s">
        <v>996</v>
      </c>
      <c r="D67" s="332">
        <v>155559.88</v>
      </c>
    </row>
    <row r="68" spans="1:6" x14ac:dyDescent="0.3">
      <c r="A68" s="313" t="s">
        <v>346</v>
      </c>
      <c r="B68" s="333" t="s">
        <v>1029</v>
      </c>
      <c r="C68" s="141" t="s">
        <v>1030</v>
      </c>
      <c r="D68" s="323">
        <v>33334.26</v>
      </c>
      <c r="E68" s="6">
        <f>+D68</f>
        <v>33334.26</v>
      </c>
    </row>
    <row r="69" spans="1:6" x14ac:dyDescent="0.3">
      <c r="A69" s="334" t="s">
        <v>346</v>
      </c>
      <c r="B69" s="335" t="s">
        <v>402</v>
      </c>
      <c r="C69" s="299" t="s">
        <v>997</v>
      </c>
      <c r="D69" s="336">
        <v>628453.65</v>
      </c>
    </row>
    <row r="70" spans="1:6" x14ac:dyDescent="0.3">
      <c r="A70" s="84" t="s">
        <v>1031</v>
      </c>
      <c r="B70" s="315" t="s">
        <v>1032</v>
      </c>
      <c r="C70" s="91" t="s">
        <v>1033</v>
      </c>
      <c r="D70" s="53">
        <v>77916.67</v>
      </c>
      <c r="E70" s="337">
        <f>+D70</f>
        <v>77916.67</v>
      </c>
    </row>
    <row r="71" spans="1:6" x14ac:dyDescent="0.3">
      <c r="A71" s="338" t="s">
        <v>1034</v>
      </c>
      <c r="B71" s="339" t="s">
        <v>1035</v>
      </c>
      <c r="C71" s="340" t="s">
        <v>1036</v>
      </c>
      <c r="D71" s="341">
        <v>28821</v>
      </c>
      <c r="E71" s="6">
        <f>+D13+D71</f>
        <v>29230.57</v>
      </c>
    </row>
    <row r="72" spans="1:6" x14ac:dyDescent="0.3">
      <c r="A72" s="342" t="s">
        <v>1034</v>
      </c>
      <c r="B72" s="343" t="s">
        <v>1037</v>
      </c>
      <c r="C72" s="344" t="s">
        <v>1038</v>
      </c>
      <c r="D72" s="345">
        <v>39382</v>
      </c>
      <c r="E72" s="6">
        <f>+D14+D72</f>
        <v>39582.699999999997</v>
      </c>
    </row>
    <row r="73" spans="1:6" x14ac:dyDescent="0.3">
      <c r="A73" s="84" t="s">
        <v>1004</v>
      </c>
      <c r="B73" s="315" t="s">
        <v>1039</v>
      </c>
      <c r="C73" s="91" t="s">
        <v>1040</v>
      </c>
      <c r="D73" s="53">
        <v>23282.05</v>
      </c>
      <c r="E73" s="6">
        <f>+D73</f>
        <v>23282.05</v>
      </c>
      <c r="F73" s="6"/>
    </row>
    <row r="74" spans="1:6" x14ac:dyDescent="0.3">
      <c r="A74" s="346" t="s">
        <v>1034</v>
      </c>
      <c r="B74" s="347" t="s">
        <v>1041</v>
      </c>
      <c r="C74" s="348" t="s">
        <v>1042</v>
      </c>
      <c r="D74" s="349">
        <v>122287.98</v>
      </c>
      <c r="E74" s="6">
        <f>+D15+D74</f>
        <v>122287.98</v>
      </c>
      <c r="F74" s="6"/>
    </row>
    <row r="75" spans="1:6" ht="26.4" x14ac:dyDescent="0.3">
      <c r="A75" s="84" t="s">
        <v>1004</v>
      </c>
      <c r="B75" s="315" t="s">
        <v>1043</v>
      </c>
      <c r="C75" s="91" t="s">
        <v>1044</v>
      </c>
      <c r="D75" s="53">
        <v>29859.62</v>
      </c>
      <c r="E75" s="6">
        <f>+D75</f>
        <v>29859.62</v>
      </c>
    </row>
    <row r="76" spans="1:6" x14ac:dyDescent="0.3">
      <c r="A76" s="350" t="s">
        <v>1034</v>
      </c>
      <c r="B76" s="351" t="s">
        <v>1045</v>
      </c>
      <c r="C76" s="352" t="s">
        <v>1046</v>
      </c>
      <c r="D76" s="353">
        <v>155730</v>
      </c>
      <c r="E76" s="6">
        <f>+D12+D76</f>
        <v>156805.31</v>
      </c>
    </row>
    <row r="77" spans="1:6" x14ac:dyDescent="0.3">
      <c r="A77" s="84" t="s">
        <v>1034</v>
      </c>
      <c r="B77" s="315" t="s">
        <v>1047</v>
      </c>
      <c r="C77" s="91" t="s">
        <v>1048</v>
      </c>
      <c r="D77" s="53">
        <v>117871.31</v>
      </c>
      <c r="E77" s="6">
        <f>+D77</f>
        <v>117871.31</v>
      </c>
    </row>
    <row r="78" spans="1:6" x14ac:dyDescent="0.3">
      <c r="A78" s="354" t="s">
        <v>1034</v>
      </c>
      <c r="B78" s="355" t="s">
        <v>1049</v>
      </c>
      <c r="C78" s="356" t="s">
        <v>1050</v>
      </c>
      <c r="D78" s="70">
        <v>773887.9</v>
      </c>
      <c r="E78" s="6">
        <f>+D78</f>
        <v>773887.9</v>
      </c>
      <c r="F78" s="6"/>
    </row>
    <row r="79" spans="1:6" x14ac:dyDescent="0.3">
      <c r="A79" s="354" t="s">
        <v>1034</v>
      </c>
      <c r="B79" s="355" t="s">
        <v>416</v>
      </c>
      <c r="C79" s="356" t="s">
        <v>1051</v>
      </c>
      <c r="D79" s="70">
        <v>209954.63</v>
      </c>
      <c r="E79" s="6">
        <f>+D79</f>
        <v>209954.63</v>
      </c>
    </row>
    <row r="80" spans="1:6" x14ac:dyDescent="0.3">
      <c r="A80" s="354" t="s">
        <v>1034</v>
      </c>
      <c r="B80" s="355" t="s">
        <v>1052</v>
      </c>
      <c r="C80" s="356" t="s">
        <v>1053</v>
      </c>
      <c r="D80" s="70">
        <v>17705.77</v>
      </c>
      <c r="E80" s="6">
        <f>+D80</f>
        <v>17705.77</v>
      </c>
    </row>
    <row r="81" spans="1:7" ht="39.6" x14ac:dyDescent="0.3">
      <c r="A81" s="357" t="s">
        <v>1004</v>
      </c>
      <c r="B81" s="358" t="s">
        <v>1054</v>
      </c>
      <c r="C81" s="359" t="s">
        <v>1055</v>
      </c>
      <c r="D81" s="360">
        <v>76610.600000000006</v>
      </c>
      <c r="E81" s="337">
        <f>+D17+D81</f>
        <v>77589.13</v>
      </c>
    </row>
    <row r="82" spans="1:7" ht="26.4" x14ac:dyDescent="0.3">
      <c r="A82" s="361" t="s">
        <v>1004</v>
      </c>
      <c r="B82" s="362" t="s">
        <v>1056</v>
      </c>
      <c r="C82" s="363" t="s">
        <v>1057</v>
      </c>
      <c r="D82" s="364">
        <v>46000</v>
      </c>
      <c r="E82" s="337">
        <f>+D16+D82</f>
        <v>46305.46</v>
      </c>
    </row>
    <row r="83" spans="1:7" x14ac:dyDescent="0.3">
      <c r="A83" s="84" t="s">
        <v>708</v>
      </c>
      <c r="B83" s="365" t="s">
        <v>1058</v>
      </c>
      <c r="C83" s="155" t="s">
        <v>1059</v>
      </c>
      <c r="D83" s="366">
        <v>56869.21</v>
      </c>
      <c r="E83" s="6">
        <f>+D83</f>
        <v>56869.21</v>
      </c>
    </row>
    <row r="84" spans="1:7" x14ac:dyDescent="0.3">
      <c r="A84" s="367" t="s">
        <v>1060</v>
      </c>
      <c r="B84" s="368" t="s">
        <v>1061</v>
      </c>
      <c r="C84" s="369" t="s">
        <v>1062</v>
      </c>
      <c r="D84" s="370">
        <v>49716.800000000003</v>
      </c>
      <c r="E84" s="6">
        <f>+D18+D84</f>
        <v>49716.800000000003</v>
      </c>
    </row>
    <row r="85" spans="1:7" x14ac:dyDescent="0.3">
      <c r="A85" s="371" t="s">
        <v>1009</v>
      </c>
      <c r="B85" s="372" t="s">
        <v>1063</v>
      </c>
      <c r="C85" s="373" t="s">
        <v>1064</v>
      </c>
      <c r="D85" s="374">
        <v>30000</v>
      </c>
      <c r="E85" s="6">
        <f>+D29+D85</f>
        <v>30349.41</v>
      </c>
    </row>
    <row r="86" spans="1:7" x14ac:dyDescent="0.3">
      <c r="A86" s="375" t="s">
        <v>1009</v>
      </c>
      <c r="B86" s="376" t="s">
        <v>1023</v>
      </c>
      <c r="C86" s="141" t="s">
        <v>1065</v>
      </c>
      <c r="D86" s="377">
        <v>14000</v>
      </c>
      <c r="E86" s="6">
        <f>+D86</f>
        <v>14000</v>
      </c>
    </row>
    <row r="87" spans="1:7" x14ac:dyDescent="0.3">
      <c r="A87" s="375" t="s">
        <v>1009</v>
      </c>
      <c r="B87" s="376" t="s">
        <v>1066</v>
      </c>
      <c r="C87" s="141" t="s">
        <v>1067</v>
      </c>
      <c r="D87" s="366">
        <v>3750</v>
      </c>
      <c r="E87" s="6">
        <f>+D87</f>
        <v>3750</v>
      </c>
    </row>
    <row r="88" spans="1:7" ht="26.4" x14ac:dyDescent="0.3">
      <c r="A88" s="378" t="s">
        <v>1009</v>
      </c>
      <c r="B88" s="379" t="s">
        <v>1068</v>
      </c>
      <c r="C88" s="380" t="s">
        <v>1069</v>
      </c>
      <c r="D88" s="381">
        <v>2395</v>
      </c>
      <c r="E88" s="6">
        <f>+D30+D88</f>
        <v>3430.27</v>
      </c>
    </row>
    <row r="89" spans="1:7" x14ac:dyDescent="0.3">
      <c r="A89" s="375" t="s">
        <v>1070</v>
      </c>
      <c r="B89" s="376" t="s">
        <v>1071</v>
      </c>
      <c r="C89" s="141" t="s">
        <v>1072</v>
      </c>
      <c r="D89" s="320">
        <v>38991.360000000001</v>
      </c>
      <c r="E89" s="6">
        <f>+D89</f>
        <v>38991.360000000001</v>
      </c>
    </row>
    <row r="90" spans="1:7" x14ac:dyDescent="0.3">
      <c r="A90" s="382" t="s">
        <v>1012</v>
      </c>
      <c r="B90" s="383" t="s">
        <v>1073</v>
      </c>
      <c r="C90" s="384" t="s">
        <v>1074</v>
      </c>
      <c r="D90" s="385">
        <v>2500</v>
      </c>
      <c r="E90" s="6">
        <f>+D28+SUM(D90:D93)</f>
        <v>56942.239999999998</v>
      </c>
    </row>
    <row r="91" spans="1:7" x14ac:dyDescent="0.3">
      <c r="A91" s="382" t="s">
        <v>1009</v>
      </c>
      <c r="B91" s="383" t="s">
        <v>1074</v>
      </c>
      <c r="C91" s="384" t="s">
        <v>1074</v>
      </c>
      <c r="D91" s="385">
        <v>47000</v>
      </c>
      <c r="E91" s="6"/>
    </row>
    <row r="92" spans="1:7" ht="27" x14ac:dyDescent="0.3">
      <c r="A92" s="382" t="s">
        <v>1075</v>
      </c>
      <c r="B92" s="383" t="s">
        <v>1076</v>
      </c>
      <c r="C92" s="384" t="s">
        <v>1074</v>
      </c>
      <c r="D92" s="385">
        <v>6000</v>
      </c>
      <c r="E92" s="6"/>
    </row>
    <row r="93" spans="1:7" x14ac:dyDescent="0.3">
      <c r="A93" s="382" t="s">
        <v>1077</v>
      </c>
      <c r="B93" s="383" t="s">
        <v>1073</v>
      </c>
      <c r="C93" s="384" t="s">
        <v>1074</v>
      </c>
      <c r="D93" s="385">
        <f>1217.25+192.24</f>
        <v>1409.49</v>
      </c>
      <c r="E93" s="6"/>
      <c r="G93" s="6"/>
    </row>
    <row r="94" spans="1:7" x14ac:dyDescent="0.3">
      <c r="A94" s="375" t="s">
        <v>1078</v>
      </c>
      <c r="B94" s="376" t="s">
        <v>1079</v>
      </c>
      <c r="C94" s="141" t="s">
        <v>1080</v>
      </c>
      <c r="D94" s="320">
        <v>43000</v>
      </c>
      <c r="E94" s="6">
        <f>+D94</f>
        <v>43000</v>
      </c>
      <c r="G94" s="6"/>
    </row>
    <row r="95" spans="1:7" x14ac:dyDescent="0.3">
      <c r="A95" s="375" t="s">
        <v>1081</v>
      </c>
      <c r="B95" s="376" t="s">
        <v>1082</v>
      </c>
      <c r="C95" s="141" t="s">
        <v>1083</v>
      </c>
      <c r="D95" s="320">
        <v>17700</v>
      </c>
      <c r="E95" s="6">
        <f>+D95</f>
        <v>17700</v>
      </c>
    </row>
    <row r="96" spans="1:7" x14ac:dyDescent="0.3">
      <c r="A96" s="375" t="s">
        <v>1084</v>
      </c>
      <c r="B96" s="376" t="s">
        <v>1085</v>
      </c>
      <c r="C96" s="141" t="s">
        <v>1086</v>
      </c>
      <c r="D96" s="320">
        <v>26672</v>
      </c>
      <c r="E96" s="6">
        <f>+D96</f>
        <v>26672</v>
      </c>
    </row>
    <row r="97" spans="1:7" ht="26.4" x14ac:dyDescent="0.3">
      <c r="A97" s="386" t="s">
        <v>1087</v>
      </c>
      <c r="B97" s="387" t="s">
        <v>1088</v>
      </c>
      <c r="C97" s="388" t="s">
        <v>1089</v>
      </c>
      <c r="D97" s="389">
        <v>28400</v>
      </c>
      <c r="E97" s="6">
        <f>+D31+D97</f>
        <v>30517.06</v>
      </c>
    </row>
    <row r="98" spans="1:7" x14ac:dyDescent="0.3">
      <c r="A98" s="301" t="s">
        <v>1087</v>
      </c>
      <c r="B98" s="107" t="s">
        <v>1090</v>
      </c>
      <c r="C98" s="141" t="s">
        <v>1091</v>
      </c>
      <c r="D98" s="320">
        <v>15549.63</v>
      </c>
      <c r="E98" s="6">
        <f>+D98</f>
        <v>15549.63</v>
      </c>
    </row>
    <row r="99" spans="1:7" x14ac:dyDescent="0.3">
      <c r="A99" s="301" t="s">
        <v>1087</v>
      </c>
      <c r="B99" s="107" t="s">
        <v>1039</v>
      </c>
      <c r="C99" s="141" t="s">
        <v>1039</v>
      </c>
      <c r="D99" s="320">
        <v>20000</v>
      </c>
      <c r="E99" s="6">
        <f>+D99</f>
        <v>20000</v>
      </c>
    </row>
    <row r="100" spans="1:7" x14ac:dyDescent="0.3">
      <c r="A100" s="390" t="s">
        <v>1092</v>
      </c>
      <c r="B100" s="391" t="s">
        <v>1093</v>
      </c>
      <c r="C100" s="392" t="s">
        <v>1094</v>
      </c>
      <c r="D100" s="393">
        <f>10000</f>
        <v>10000</v>
      </c>
      <c r="E100" s="6">
        <f>+D32+D100</f>
        <v>47547.369999999995</v>
      </c>
    </row>
    <row r="101" spans="1:7" x14ac:dyDescent="0.3">
      <c r="A101" s="375" t="s">
        <v>1095</v>
      </c>
      <c r="B101" s="376" t="s">
        <v>1096</v>
      </c>
      <c r="C101" s="141" t="s">
        <v>1097</v>
      </c>
      <c r="D101" s="320">
        <v>20013.740000000002</v>
      </c>
      <c r="E101" s="6">
        <f>+D101</f>
        <v>20013.740000000002</v>
      </c>
    </row>
    <row r="102" spans="1:7" x14ac:dyDescent="0.3">
      <c r="A102" s="394" t="s">
        <v>1098</v>
      </c>
      <c r="B102" s="395" t="s">
        <v>1099</v>
      </c>
      <c r="C102" s="396" t="s">
        <v>1098</v>
      </c>
      <c r="D102" s="397">
        <v>326400</v>
      </c>
      <c r="E102" s="6">
        <f>+D19+D102</f>
        <v>330924.93</v>
      </c>
    </row>
    <row r="103" spans="1:7" ht="27" x14ac:dyDescent="0.3">
      <c r="A103" s="375" t="s">
        <v>1100</v>
      </c>
      <c r="B103" s="376" t="s">
        <v>1021</v>
      </c>
      <c r="C103" s="398" t="s">
        <v>1101</v>
      </c>
      <c r="D103" s="320">
        <v>22839.49</v>
      </c>
      <c r="E103" s="6">
        <f>+D103</f>
        <v>22839.49</v>
      </c>
      <c r="G103" s="6"/>
    </row>
    <row r="104" spans="1:7" ht="26.25" customHeight="1" x14ac:dyDescent="0.3">
      <c r="A104" s="301" t="s">
        <v>1102</v>
      </c>
      <c r="B104" s="107" t="s">
        <v>1103</v>
      </c>
      <c r="C104" s="399" t="s">
        <v>1104</v>
      </c>
      <c r="D104" s="320">
        <v>19701.060000000001</v>
      </c>
      <c r="E104" s="6">
        <f>+D104</f>
        <v>19701.060000000001</v>
      </c>
    </row>
    <row r="105" spans="1:7" x14ac:dyDescent="0.3">
      <c r="A105" s="400" t="s">
        <v>1105</v>
      </c>
      <c r="B105" s="401" t="s">
        <v>1106</v>
      </c>
      <c r="C105" s="402" t="s">
        <v>1107</v>
      </c>
      <c r="D105" s="403">
        <v>87096.73</v>
      </c>
      <c r="E105" s="6">
        <f>+D105</f>
        <v>87096.73</v>
      </c>
    </row>
    <row r="106" spans="1:7" x14ac:dyDescent="0.3">
      <c r="A106" s="404" t="s">
        <v>1031</v>
      </c>
      <c r="B106" s="405" t="s">
        <v>1108</v>
      </c>
      <c r="C106" s="406" t="s">
        <v>1109</v>
      </c>
      <c r="D106" s="407">
        <v>32269.38</v>
      </c>
      <c r="E106" s="6">
        <f>+D24+D106</f>
        <v>33047.94</v>
      </c>
    </row>
    <row r="107" spans="1:7" x14ac:dyDescent="0.3">
      <c r="A107" s="375" t="s">
        <v>1110</v>
      </c>
      <c r="B107" s="376" t="s">
        <v>1111</v>
      </c>
      <c r="C107" s="141" t="s">
        <v>1112</v>
      </c>
      <c r="D107" s="169">
        <v>30000</v>
      </c>
      <c r="E107" s="6">
        <f>+D107</f>
        <v>30000</v>
      </c>
    </row>
    <row r="108" spans="1:7" x14ac:dyDescent="0.3">
      <c r="A108" s="408" t="s">
        <v>1113</v>
      </c>
      <c r="B108" s="409" t="s">
        <v>1114</v>
      </c>
      <c r="C108" s="410" t="s">
        <v>1115</v>
      </c>
      <c r="D108" s="411">
        <v>40000</v>
      </c>
      <c r="E108" s="6">
        <f>+D20+D108</f>
        <v>42048.93</v>
      </c>
    </row>
    <row r="109" spans="1:7" ht="27" x14ac:dyDescent="0.3">
      <c r="A109" s="412" t="s">
        <v>1113</v>
      </c>
      <c r="B109" s="413" t="s">
        <v>1021</v>
      </c>
      <c r="C109" s="414" t="s">
        <v>1116</v>
      </c>
      <c r="D109" s="415">
        <v>12500</v>
      </c>
      <c r="E109" s="6">
        <f>+D21+D109</f>
        <v>14707.1</v>
      </c>
    </row>
    <row r="110" spans="1:7" ht="27" x14ac:dyDescent="0.3">
      <c r="A110" s="416" t="s">
        <v>1117</v>
      </c>
      <c r="B110" s="417" t="s">
        <v>1021</v>
      </c>
      <c r="C110" s="418" t="s">
        <v>1118</v>
      </c>
      <c r="D110" s="419">
        <v>25375</v>
      </c>
      <c r="E110" s="6">
        <f>+D22+D110</f>
        <v>25713.31</v>
      </c>
    </row>
    <row r="111" spans="1:7" x14ac:dyDescent="0.3">
      <c r="A111" s="420" t="s">
        <v>1119</v>
      </c>
      <c r="B111" s="421" t="s">
        <v>1120</v>
      </c>
      <c r="C111" s="422" t="s">
        <v>1121</v>
      </c>
      <c r="D111" s="423">
        <v>30040.46</v>
      </c>
      <c r="E111" s="337">
        <f>+D23+D111</f>
        <v>30201.82</v>
      </c>
    </row>
    <row r="112" spans="1:7" x14ac:dyDescent="0.3">
      <c r="A112" s="301" t="s">
        <v>1122</v>
      </c>
      <c r="B112" s="107" t="s">
        <v>1123</v>
      </c>
      <c r="C112" s="107" t="s">
        <v>1123</v>
      </c>
      <c r="D112" s="320">
        <v>12795.3</v>
      </c>
      <c r="E112" s="337">
        <f>+D112</f>
        <v>12795.3</v>
      </c>
    </row>
    <row r="113" spans="1:5" x14ac:dyDescent="0.3">
      <c r="A113" s="424" t="s">
        <v>1124</v>
      </c>
      <c r="B113" s="425" t="s">
        <v>1021</v>
      </c>
      <c r="C113" s="426" t="s">
        <v>1125</v>
      </c>
      <c r="D113" s="427">
        <v>15000</v>
      </c>
      <c r="E113" s="6">
        <f>+D25+D113</f>
        <v>19636.989999999998</v>
      </c>
    </row>
    <row r="114" spans="1:5" x14ac:dyDescent="0.3">
      <c r="A114" s="428" t="s">
        <v>1124</v>
      </c>
      <c r="B114" s="429" t="s">
        <v>1126</v>
      </c>
      <c r="C114" s="430" t="s">
        <v>1127</v>
      </c>
      <c r="D114" s="431">
        <v>50000</v>
      </c>
      <c r="E114" s="6">
        <f>+D26+D114</f>
        <v>50049.51</v>
      </c>
    </row>
    <row r="115" spans="1:5" ht="15" thickBot="1" x14ac:dyDescent="0.35">
      <c r="A115" s="189" t="s">
        <v>1128</v>
      </c>
      <c r="B115" s="376" t="s">
        <v>1129</v>
      </c>
      <c r="C115" s="141" t="s">
        <v>1130</v>
      </c>
      <c r="D115" s="320">
        <v>60000</v>
      </c>
      <c r="E115" s="6">
        <f>+D115</f>
        <v>60000</v>
      </c>
    </row>
    <row r="116" spans="1:5" x14ac:dyDescent="0.3">
      <c r="A116" s="432" t="s">
        <v>1128</v>
      </c>
      <c r="B116" s="433" t="s">
        <v>1131</v>
      </c>
      <c r="C116" s="434" t="s">
        <v>1132</v>
      </c>
      <c r="D116" s="435">
        <v>15000</v>
      </c>
      <c r="E116" s="6">
        <f>+D27+D116</f>
        <v>15248.68</v>
      </c>
    </row>
    <row r="117" spans="1:5" ht="15" thickBot="1" x14ac:dyDescent="0.35">
      <c r="A117" s="189" t="s">
        <v>1128</v>
      </c>
      <c r="B117" s="436" t="s">
        <v>1133</v>
      </c>
      <c r="C117" s="437" t="s">
        <v>1134</v>
      </c>
      <c r="D117" s="438">
        <v>16359.68</v>
      </c>
      <c r="E117" s="439">
        <f>+D117</f>
        <v>16359.68</v>
      </c>
    </row>
    <row r="118" spans="1:5" x14ac:dyDescent="0.3">
      <c r="E118" s="6">
        <f>+SUM(E8:E117)</f>
        <v>25987078.510000002</v>
      </c>
    </row>
  </sheetData>
  <mergeCells count="6">
    <mergeCell ref="B34:C34"/>
    <mergeCell ref="A3:B3"/>
    <mergeCell ref="B5:C5"/>
    <mergeCell ref="B6:C6"/>
    <mergeCell ref="B7:C7"/>
    <mergeCell ref="B33:C33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37"/>
  <sheetViews>
    <sheetView workbookViewId="0"/>
  </sheetViews>
  <sheetFormatPr defaultRowHeight="14.4" x14ac:dyDescent="0.3"/>
  <cols>
    <col min="1" max="1" width="34.44140625" customWidth="1"/>
    <col min="2" max="2" width="55" style="203" customWidth="1"/>
    <col min="3" max="3" width="29.33203125" style="203" customWidth="1"/>
    <col min="4" max="6" width="12.6640625" bestFit="1" customWidth="1"/>
    <col min="7" max="8" width="11.5546875" bestFit="1" customWidth="1"/>
    <col min="9" max="9" width="8.88671875" customWidth="1"/>
  </cols>
  <sheetData>
    <row r="1" spans="1:7" ht="17.399999999999999" x14ac:dyDescent="0.3">
      <c r="A1" s="80" t="s">
        <v>1135</v>
      </c>
    </row>
    <row r="2" spans="1:7" x14ac:dyDescent="0.3">
      <c r="A2" s="204"/>
    </row>
    <row r="3" spans="1:7" ht="23.25" customHeight="1" x14ac:dyDescent="0.3">
      <c r="A3" s="1017" t="s">
        <v>968</v>
      </c>
      <c r="B3" s="1017"/>
    </row>
    <row r="4" spans="1:7" ht="15" thickBot="1" x14ac:dyDescent="0.35"/>
    <row r="5" spans="1:7" ht="15" thickBot="1" x14ac:dyDescent="0.35">
      <c r="A5" s="50">
        <v>73</v>
      </c>
      <c r="B5" s="1012" t="s">
        <v>331</v>
      </c>
      <c r="C5" s="1012"/>
      <c r="D5" s="82">
        <f>D6+D7+D36+D37</f>
        <v>26433183.309999987</v>
      </c>
      <c r="F5" s="6"/>
    </row>
    <row r="6" spans="1:7" x14ac:dyDescent="0.3">
      <c r="A6" s="52" t="s">
        <v>332</v>
      </c>
      <c r="B6" s="1013" t="s">
        <v>333</v>
      </c>
      <c r="C6" s="1013"/>
      <c r="D6" s="205">
        <v>0</v>
      </c>
      <c r="E6" s="124"/>
      <c r="F6" s="124"/>
    </row>
    <row r="7" spans="1:7" x14ac:dyDescent="0.3">
      <c r="A7" s="206" t="s">
        <v>334</v>
      </c>
      <c r="B7" s="1024" t="s">
        <v>335</v>
      </c>
      <c r="C7" s="1024"/>
      <c r="D7" s="207">
        <f>+SUM(D8:D35)</f>
        <v>43563.95</v>
      </c>
      <c r="E7" s="115"/>
      <c r="F7" s="124"/>
      <c r="G7" s="6"/>
    </row>
    <row r="8" spans="1:7" x14ac:dyDescent="0.3">
      <c r="A8" s="208"/>
      <c r="B8" s="209" t="s">
        <v>969</v>
      </c>
      <c r="C8" s="210"/>
      <c r="D8" s="88">
        <f>(2463.4+41100.55)-SUM(D9:D35)</f>
        <v>0</v>
      </c>
      <c r="E8" s="115"/>
      <c r="F8" s="124"/>
    </row>
    <row r="9" spans="1:7" x14ac:dyDescent="0.3">
      <c r="A9" s="208"/>
      <c r="B9" s="211" t="s">
        <v>970</v>
      </c>
      <c r="C9" s="212"/>
      <c r="D9" s="213">
        <v>494.92</v>
      </c>
      <c r="E9" s="115"/>
      <c r="F9" s="124"/>
    </row>
    <row r="10" spans="1:7" x14ac:dyDescent="0.3">
      <c r="A10" s="208"/>
      <c r="B10" s="214" t="s">
        <v>971</v>
      </c>
      <c r="C10" s="215"/>
      <c r="D10" s="216">
        <v>331.22</v>
      </c>
      <c r="E10" s="115"/>
      <c r="F10" s="124"/>
    </row>
    <row r="11" spans="1:7" x14ac:dyDescent="0.3">
      <c r="A11" s="208"/>
      <c r="B11" s="217" t="s">
        <v>1136</v>
      </c>
      <c r="C11" s="218"/>
      <c r="D11" s="219">
        <v>57.22</v>
      </c>
      <c r="E11" s="115"/>
      <c r="F11" s="124"/>
    </row>
    <row r="12" spans="1:7" x14ac:dyDescent="0.3">
      <c r="A12" s="208"/>
      <c r="B12" s="440" t="s">
        <v>1137</v>
      </c>
      <c r="C12" s="441"/>
      <c r="D12" s="442">
        <v>177.79</v>
      </c>
      <c r="E12" s="115"/>
      <c r="F12" s="124"/>
    </row>
    <row r="13" spans="1:7" x14ac:dyDescent="0.3">
      <c r="A13" s="208"/>
      <c r="B13" s="220" t="s">
        <v>973</v>
      </c>
      <c r="C13" s="221"/>
      <c r="D13" s="222"/>
      <c r="E13" s="124"/>
      <c r="F13" s="124"/>
    </row>
    <row r="14" spans="1:7" x14ac:dyDescent="0.3">
      <c r="A14" s="208"/>
      <c r="B14" s="223" t="s">
        <v>974</v>
      </c>
      <c r="C14" s="224"/>
      <c r="D14" s="225"/>
      <c r="E14" s="124"/>
      <c r="F14" s="124"/>
    </row>
    <row r="15" spans="1:7" x14ac:dyDescent="0.3">
      <c r="A15" s="208"/>
      <c r="B15" s="226" t="s">
        <v>975</v>
      </c>
      <c r="C15" s="227"/>
      <c r="D15" s="228"/>
      <c r="E15" s="124"/>
      <c r="F15" s="124"/>
    </row>
    <row r="16" spans="1:7" x14ac:dyDescent="0.3">
      <c r="A16" s="208"/>
      <c r="B16" s="229" t="s">
        <v>976</v>
      </c>
      <c r="C16" s="230"/>
      <c r="D16" s="231"/>
      <c r="E16" s="124"/>
      <c r="F16" s="124"/>
    </row>
    <row r="17" spans="1:6" x14ac:dyDescent="0.3">
      <c r="A17" s="208"/>
      <c r="B17" s="209" t="s">
        <v>1138</v>
      </c>
      <c r="C17" s="443"/>
      <c r="D17" s="88">
        <v>1017.37</v>
      </c>
      <c r="E17" s="124"/>
      <c r="F17" s="124"/>
    </row>
    <row r="18" spans="1:6" x14ac:dyDescent="0.3">
      <c r="A18" s="208"/>
      <c r="B18" s="232" t="s">
        <v>1139</v>
      </c>
      <c r="C18" s="233"/>
      <c r="D18" s="234">
        <f>10+3344.93</f>
        <v>3354.93</v>
      </c>
      <c r="E18" s="124"/>
      <c r="F18" s="124"/>
    </row>
    <row r="19" spans="1:6" x14ac:dyDescent="0.3">
      <c r="A19" s="208"/>
      <c r="B19" s="235" t="s">
        <v>978</v>
      </c>
      <c r="C19" s="236"/>
      <c r="D19" s="237"/>
      <c r="E19" s="124"/>
      <c r="F19" s="124"/>
    </row>
    <row r="20" spans="1:6" x14ac:dyDescent="0.3">
      <c r="A20" s="208"/>
      <c r="B20" s="238" t="s">
        <v>979</v>
      </c>
      <c r="C20" s="239"/>
      <c r="D20" s="240"/>
      <c r="E20" s="124"/>
      <c r="F20" s="124"/>
    </row>
    <row r="21" spans="1:6" x14ac:dyDescent="0.3">
      <c r="A21" s="208"/>
      <c r="B21" s="241" t="s">
        <v>980</v>
      </c>
      <c r="C21" s="242"/>
      <c r="D21" s="243"/>
      <c r="E21" s="124"/>
      <c r="F21" s="124"/>
    </row>
    <row r="22" spans="1:6" x14ac:dyDescent="0.3">
      <c r="A22" s="208"/>
      <c r="B22" s="244" t="s">
        <v>981</v>
      </c>
      <c r="C22" s="245"/>
      <c r="D22" s="246">
        <v>13828.62</v>
      </c>
      <c r="E22" s="124"/>
      <c r="F22" s="124"/>
    </row>
    <row r="23" spans="1:6" x14ac:dyDescent="0.3">
      <c r="A23" s="208"/>
      <c r="B23" s="247" t="s">
        <v>982</v>
      </c>
      <c r="C23" s="248"/>
      <c r="D23" s="249"/>
      <c r="E23" s="124"/>
      <c r="F23" s="124"/>
    </row>
    <row r="24" spans="1:6" x14ac:dyDescent="0.3">
      <c r="A24" s="208"/>
      <c r="B24" s="250" t="s">
        <v>983</v>
      </c>
      <c r="C24" s="251"/>
      <c r="D24" s="252"/>
      <c r="E24" s="124"/>
      <c r="F24" s="124"/>
    </row>
    <row r="25" spans="1:6" x14ac:dyDescent="0.3">
      <c r="A25" s="208"/>
      <c r="B25" s="253" t="s">
        <v>984</v>
      </c>
      <c r="C25" s="254"/>
      <c r="D25" s="255"/>
      <c r="E25" s="124"/>
      <c r="F25" s="124"/>
    </row>
    <row r="26" spans="1:6" x14ac:dyDescent="0.3">
      <c r="A26" s="208"/>
      <c r="B26" s="256" t="s">
        <v>985</v>
      </c>
      <c r="C26" s="257"/>
      <c r="D26" s="258"/>
      <c r="E26" s="124"/>
      <c r="F26" s="124"/>
    </row>
    <row r="27" spans="1:6" x14ac:dyDescent="0.3">
      <c r="A27" s="208"/>
      <c r="B27" s="259" t="s">
        <v>986</v>
      </c>
      <c r="C27" s="260"/>
      <c r="D27" s="261"/>
      <c r="E27" s="124"/>
      <c r="F27" s="124"/>
    </row>
    <row r="28" spans="1:6" x14ac:dyDescent="0.3">
      <c r="A28" s="208"/>
      <c r="B28" s="262" t="s">
        <v>987</v>
      </c>
      <c r="C28" s="263"/>
      <c r="D28" s="264"/>
      <c r="E28" s="124"/>
      <c r="F28" s="124"/>
    </row>
    <row r="29" spans="1:6" x14ac:dyDescent="0.3">
      <c r="A29" s="208"/>
      <c r="B29" s="265" t="s">
        <v>988</v>
      </c>
      <c r="C29" s="266"/>
      <c r="D29" s="267"/>
      <c r="E29" s="124"/>
      <c r="F29" s="124"/>
    </row>
    <row r="30" spans="1:6" x14ac:dyDescent="0.3">
      <c r="A30" s="208"/>
      <c r="B30" s="268" t="s">
        <v>989</v>
      </c>
      <c r="C30" s="269"/>
      <c r="D30" s="270">
        <v>932.4</v>
      </c>
      <c r="E30" s="124"/>
      <c r="F30" s="124"/>
    </row>
    <row r="31" spans="1:6" x14ac:dyDescent="0.3">
      <c r="A31" s="208"/>
      <c r="B31" s="271" t="s">
        <v>990</v>
      </c>
      <c r="C31" s="272"/>
      <c r="D31" s="273">
        <v>10000</v>
      </c>
      <c r="E31" s="124"/>
      <c r="F31" s="124"/>
    </row>
    <row r="32" spans="1:6" x14ac:dyDescent="0.3">
      <c r="A32" s="208"/>
      <c r="B32" s="444" t="s">
        <v>1140</v>
      </c>
      <c r="C32" s="445"/>
      <c r="D32" s="446">
        <v>3313.78</v>
      </c>
      <c r="E32" s="124"/>
      <c r="F32" s="124"/>
    </row>
    <row r="33" spans="1:8" x14ac:dyDescent="0.3">
      <c r="A33" s="208"/>
      <c r="B33" s="229" t="s">
        <v>1141</v>
      </c>
      <c r="C33" s="230"/>
      <c r="D33" s="277"/>
      <c r="E33" s="124"/>
      <c r="F33" s="124"/>
    </row>
    <row r="34" spans="1:8" x14ac:dyDescent="0.3">
      <c r="A34" s="208"/>
      <c r="B34" s="447" t="s">
        <v>1142</v>
      </c>
      <c r="C34" s="448"/>
      <c r="D34" s="449">
        <v>55.7</v>
      </c>
      <c r="E34" s="124"/>
      <c r="F34" s="124"/>
    </row>
    <row r="35" spans="1:8" x14ac:dyDescent="0.3">
      <c r="A35" s="208"/>
      <c r="B35" s="278" t="s">
        <v>993</v>
      </c>
      <c r="C35" s="279"/>
      <c r="D35" s="280">
        <v>10000</v>
      </c>
      <c r="E35" s="124"/>
      <c r="F35" s="124"/>
    </row>
    <row r="36" spans="1:8" ht="15" thickBot="1" x14ac:dyDescent="0.35">
      <c r="A36" s="281" t="s">
        <v>336</v>
      </c>
      <c r="B36" s="1015" t="s">
        <v>337</v>
      </c>
      <c r="C36" s="1015"/>
      <c r="D36" s="282">
        <v>0</v>
      </c>
      <c r="E36" s="124"/>
      <c r="F36" s="124"/>
    </row>
    <row r="37" spans="1:8" ht="39.75" customHeight="1" thickBot="1" x14ac:dyDescent="0.35">
      <c r="A37" s="7" t="s">
        <v>10</v>
      </c>
      <c r="B37" s="1016" t="s">
        <v>11</v>
      </c>
      <c r="C37" s="1016"/>
      <c r="D37" s="82">
        <f>SUM(D39:D134)</f>
        <v>26389619.359999988</v>
      </c>
      <c r="E37" s="124"/>
      <c r="F37" s="124"/>
    </row>
    <row r="38" spans="1:8" ht="15" thickBot="1" x14ac:dyDescent="0.35">
      <c r="A38" s="62" t="s">
        <v>5</v>
      </c>
      <c r="B38" s="283" t="s">
        <v>6</v>
      </c>
      <c r="C38" s="284" t="s">
        <v>344</v>
      </c>
      <c r="D38" s="64" t="s">
        <v>345</v>
      </c>
      <c r="E38" s="124"/>
      <c r="F38" s="124"/>
    </row>
    <row r="39" spans="1:8" ht="15" thickBot="1" x14ac:dyDescent="0.35">
      <c r="A39" s="285" t="s">
        <v>485</v>
      </c>
      <c r="B39" s="286" t="s">
        <v>691</v>
      </c>
      <c r="C39" s="287" t="s">
        <v>994</v>
      </c>
      <c r="D39" s="288">
        <f>406720.73-SUM(D40:D43)</f>
        <v>394056.54</v>
      </c>
      <c r="E39" s="115"/>
      <c r="F39" s="124"/>
      <c r="G39" s="6"/>
    </row>
    <row r="40" spans="1:8" ht="15" thickBot="1" x14ac:dyDescent="0.35">
      <c r="A40" s="289" t="s">
        <v>485</v>
      </c>
      <c r="B40" s="290" t="s">
        <v>691</v>
      </c>
      <c r="C40" s="291" t="s">
        <v>995</v>
      </c>
      <c r="D40" s="292">
        <v>7369.54</v>
      </c>
      <c r="E40" s="115">
        <f>+D40+D45+D50+D75+D9</f>
        <v>293174.55999999994</v>
      </c>
      <c r="F40" s="124"/>
      <c r="G40" s="6"/>
    </row>
    <row r="41" spans="1:8" ht="15" thickBot="1" x14ac:dyDescent="0.35">
      <c r="A41" s="293" t="s">
        <v>485</v>
      </c>
      <c r="B41" s="294" t="s">
        <v>691</v>
      </c>
      <c r="C41" s="295" t="s">
        <v>996</v>
      </c>
      <c r="D41" s="296">
        <v>3092.28</v>
      </c>
      <c r="E41" s="115">
        <f>+D10+D41+D46+D51+D76</f>
        <v>190748.83</v>
      </c>
      <c r="F41" s="124"/>
      <c r="G41" s="6"/>
    </row>
    <row r="42" spans="1:8" ht="27" thickBot="1" x14ac:dyDescent="0.35">
      <c r="A42" s="297" t="s">
        <v>485</v>
      </c>
      <c r="B42" s="298" t="s">
        <v>691</v>
      </c>
      <c r="C42" s="299" t="s">
        <v>1143</v>
      </c>
      <c r="D42" s="300">
        <v>533.15</v>
      </c>
      <c r="E42" s="115">
        <f>+D11+D42+D47+D52+D77</f>
        <v>40708.33</v>
      </c>
      <c r="F42" s="115"/>
      <c r="G42" s="6"/>
      <c r="H42" s="6"/>
    </row>
    <row r="43" spans="1:8" ht="26.4" x14ac:dyDescent="0.3">
      <c r="A43" s="450" t="s">
        <v>485</v>
      </c>
      <c r="B43" s="451" t="s">
        <v>691</v>
      </c>
      <c r="C43" s="318" t="s">
        <v>1144</v>
      </c>
      <c r="D43" s="452">
        <v>1669.22</v>
      </c>
      <c r="E43" s="115">
        <f>+D12+D43+D48+D53+D78</f>
        <v>110988.13</v>
      </c>
      <c r="F43" s="124"/>
      <c r="G43" s="6"/>
    </row>
    <row r="44" spans="1:8" x14ac:dyDescent="0.3">
      <c r="A44" s="301" t="s">
        <v>456</v>
      </c>
      <c r="B44" s="302" t="s">
        <v>691</v>
      </c>
      <c r="C44" s="141" t="s">
        <v>994</v>
      </c>
      <c r="D44" s="303">
        <f>19905.23-SUM(D45:D48)</f>
        <v>19576.82</v>
      </c>
      <c r="E44" s="124"/>
      <c r="F44" s="124"/>
    </row>
    <row r="45" spans="1:8" x14ac:dyDescent="0.3">
      <c r="A45" s="304" t="s">
        <v>456</v>
      </c>
      <c r="B45" s="305" t="s">
        <v>691</v>
      </c>
      <c r="C45" s="291" t="s">
        <v>995</v>
      </c>
      <c r="D45" s="306">
        <v>69.430000000000007</v>
      </c>
      <c r="E45" s="124"/>
      <c r="F45" s="124"/>
    </row>
    <row r="46" spans="1:8" x14ac:dyDescent="0.3">
      <c r="A46" s="307" t="s">
        <v>456</v>
      </c>
      <c r="B46" s="308" t="s">
        <v>691</v>
      </c>
      <c r="C46" s="295" t="s">
        <v>996</v>
      </c>
      <c r="D46" s="309">
        <v>151.34</v>
      </c>
      <c r="E46" s="124"/>
      <c r="F46" s="124"/>
    </row>
    <row r="47" spans="1:8" ht="26.4" x14ac:dyDescent="0.3">
      <c r="A47" s="310" t="s">
        <v>456</v>
      </c>
      <c r="B47" s="311" t="s">
        <v>691</v>
      </c>
      <c r="C47" s="299" t="s">
        <v>1143</v>
      </c>
      <c r="D47" s="312">
        <v>26.09</v>
      </c>
      <c r="E47" s="124"/>
      <c r="F47" s="124"/>
    </row>
    <row r="48" spans="1:8" ht="26.4" x14ac:dyDescent="0.3">
      <c r="A48" s="453" t="s">
        <v>456</v>
      </c>
      <c r="B48" s="454" t="s">
        <v>691</v>
      </c>
      <c r="C48" s="318" t="s">
        <v>1144</v>
      </c>
      <c r="D48" s="455">
        <v>81.55</v>
      </c>
      <c r="E48" s="124"/>
      <c r="F48" s="124"/>
    </row>
    <row r="49" spans="1:7" x14ac:dyDescent="0.3">
      <c r="A49" s="301" t="s">
        <v>998</v>
      </c>
      <c r="B49" s="302" t="s">
        <v>691</v>
      </c>
      <c r="C49" s="141" t="s">
        <v>994</v>
      </c>
      <c r="D49" s="303">
        <f>66043.4-SUM(D50:D53)</f>
        <v>64410.349999999991</v>
      </c>
      <c r="E49" s="124"/>
      <c r="F49" s="124"/>
    </row>
    <row r="50" spans="1:7" x14ac:dyDescent="0.3">
      <c r="A50" s="304" t="s">
        <v>998</v>
      </c>
      <c r="B50" s="305" t="s">
        <v>691</v>
      </c>
      <c r="C50" s="291" t="s">
        <v>995</v>
      </c>
      <c r="D50" s="306">
        <v>761.01</v>
      </c>
      <c r="E50" s="124"/>
      <c r="F50" s="124"/>
    </row>
    <row r="51" spans="1:7" x14ac:dyDescent="0.3">
      <c r="A51" s="307" t="s">
        <v>998</v>
      </c>
      <c r="B51" s="308" t="s">
        <v>691</v>
      </c>
      <c r="C51" s="295" t="s">
        <v>996</v>
      </c>
      <c r="D51" s="309">
        <v>502.13</v>
      </c>
      <c r="E51" s="124"/>
      <c r="F51" s="124"/>
    </row>
    <row r="52" spans="1:7" ht="26.4" x14ac:dyDescent="0.3">
      <c r="A52" s="310" t="s">
        <v>998</v>
      </c>
      <c r="B52" s="311" t="s">
        <v>691</v>
      </c>
      <c r="C52" s="299" t="s">
        <v>1143</v>
      </c>
      <c r="D52" s="312">
        <v>90.76</v>
      </c>
      <c r="E52" s="124"/>
      <c r="F52" s="124"/>
    </row>
    <row r="53" spans="1:7" ht="26.4" x14ac:dyDescent="0.3">
      <c r="A53" s="453" t="s">
        <v>998</v>
      </c>
      <c r="B53" s="454" t="s">
        <v>691</v>
      </c>
      <c r="C53" s="318" t="s">
        <v>1144</v>
      </c>
      <c r="D53" s="455">
        <v>279.14999999999998</v>
      </c>
      <c r="E53" s="124"/>
      <c r="F53" s="124"/>
    </row>
    <row r="54" spans="1:7" x14ac:dyDescent="0.3">
      <c r="A54" s="313" t="s">
        <v>346</v>
      </c>
      <c r="B54" s="23" t="s">
        <v>999</v>
      </c>
      <c r="C54" s="141" t="s">
        <v>994</v>
      </c>
      <c r="D54" s="456">
        <v>20295298.489999998</v>
      </c>
      <c r="E54" s="115">
        <f>+D8+SUM(D54:D74)+D39+D44+D49</f>
        <v>22339784.189999998</v>
      </c>
      <c r="F54" s="115">
        <v>22318235.07</v>
      </c>
      <c r="G54" s="6">
        <f>+E54-F54</f>
        <v>21549.119999997318</v>
      </c>
    </row>
    <row r="55" spans="1:7" x14ac:dyDescent="0.3">
      <c r="A55" s="313" t="s">
        <v>346</v>
      </c>
      <c r="B55" s="315" t="s">
        <v>1000</v>
      </c>
      <c r="C55" s="141" t="s">
        <v>994</v>
      </c>
      <c r="D55" s="345">
        <v>275824.92</v>
      </c>
      <c r="E55" s="124"/>
      <c r="F55" s="124"/>
    </row>
    <row r="56" spans="1:7" x14ac:dyDescent="0.3">
      <c r="A56" s="313" t="s">
        <v>346</v>
      </c>
      <c r="B56" s="315" t="s">
        <v>1003</v>
      </c>
      <c r="C56" s="141" t="s">
        <v>994</v>
      </c>
      <c r="D56" s="345">
        <v>6400</v>
      </c>
      <c r="E56" s="124"/>
      <c r="F56" s="124"/>
    </row>
    <row r="57" spans="1:7" x14ac:dyDescent="0.3">
      <c r="A57" s="84" t="s">
        <v>346</v>
      </c>
      <c r="B57" s="315" t="s">
        <v>1145</v>
      </c>
      <c r="C57" s="91" t="s">
        <v>1146</v>
      </c>
      <c r="D57" s="345">
        <v>11377.98</v>
      </c>
      <c r="E57" s="124"/>
      <c r="F57" s="124"/>
    </row>
    <row r="58" spans="1:7" ht="26.4" x14ac:dyDescent="0.3">
      <c r="A58" s="84" t="s">
        <v>346</v>
      </c>
      <c r="B58" s="315" t="s">
        <v>1147</v>
      </c>
      <c r="C58" s="91" t="s">
        <v>1148</v>
      </c>
      <c r="D58" s="345">
        <v>6444.33</v>
      </c>
      <c r="E58" s="124"/>
      <c r="F58" s="124"/>
    </row>
    <row r="59" spans="1:7" x14ac:dyDescent="0.3">
      <c r="A59" s="84" t="s">
        <v>1004</v>
      </c>
      <c r="B59" s="107" t="s">
        <v>1005</v>
      </c>
      <c r="C59" s="141" t="s">
        <v>994</v>
      </c>
      <c r="D59" s="457">
        <v>680.4</v>
      </c>
      <c r="E59" s="124"/>
      <c r="F59" s="124"/>
    </row>
    <row r="60" spans="1:7" x14ac:dyDescent="0.3">
      <c r="A60" s="84" t="s">
        <v>1004</v>
      </c>
      <c r="B60" s="315" t="s">
        <v>1006</v>
      </c>
      <c r="C60" s="141" t="s">
        <v>994</v>
      </c>
      <c r="D60" s="345">
        <v>2500</v>
      </c>
      <c r="E60" s="124"/>
      <c r="F60" s="124"/>
    </row>
    <row r="61" spans="1:7" x14ac:dyDescent="0.3">
      <c r="A61" s="301" t="s">
        <v>1009</v>
      </c>
      <c r="B61" s="107" t="s">
        <v>1010</v>
      </c>
      <c r="C61" s="141" t="s">
        <v>994</v>
      </c>
      <c r="D61" s="457">
        <v>9000</v>
      </c>
      <c r="E61" s="124"/>
      <c r="F61" s="124"/>
    </row>
    <row r="62" spans="1:7" x14ac:dyDescent="0.3">
      <c r="A62" s="301" t="s">
        <v>1009</v>
      </c>
      <c r="B62" s="107" t="s">
        <v>1011</v>
      </c>
      <c r="C62" s="141" t="s">
        <v>994</v>
      </c>
      <c r="D62" s="320">
        <f>2480*2+2000</f>
        <v>6960</v>
      </c>
      <c r="E62" s="115"/>
      <c r="F62" s="124"/>
    </row>
    <row r="63" spans="1:7" x14ac:dyDescent="0.3">
      <c r="A63" s="301" t="s">
        <v>1009</v>
      </c>
      <c r="B63" s="107" t="s">
        <v>1149</v>
      </c>
      <c r="C63" s="141" t="s">
        <v>994</v>
      </c>
      <c r="D63" s="320">
        <v>6197</v>
      </c>
      <c r="E63" s="115"/>
      <c r="F63" s="115"/>
    </row>
    <row r="64" spans="1:7" x14ac:dyDescent="0.3">
      <c r="A64" s="301" t="s">
        <v>1012</v>
      </c>
      <c r="B64" s="107" t="s">
        <v>1013</v>
      </c>
      <c r="C64" s="141" t="s">
        <v>994</v>
      </c>
      <c r="D64" s="457">
        <v>8106.65</v>
      </c>
      <c r="E64" s="124"/>
      <c r="F64" s="124"/>
    </row>
    <row r="65" spans="1:6" x14ac:dyDescent="0.3">
      <c r="A65" s="321" t="s">
        <v>1014</v>
      </c>
      <c r="B65" s="322" t="s">
        <v>1015</v>
      </c>
      <c r="C65" s="91" t="s">
        <v>994</v>
      </c>
      <c r="D65" s="458">
        <v>12345</v>
      </c>
      <c r="E65" s="124"/>
      <c r="F65" s="124"/>
    </row>
    <row r="66" spans="1:6" x14ac:dyDescent="0.3">
      <c r="A66" s="375" t="s">
        <v>1150</v>
      </c>
      <c r="B66" s="376" t="s">
        <v>1023</v>
      </c>
      <c r="C66" s="141" t="s">
        <v>994</v>
      </c>
      <c r="D66" s="459">
        <f>45549.12-D105</f>
        <v>31549.120000000003</v>
      </c>
      <c r="E66" s="115"/>
      <c r="F66" s="124"/>
    </row>
    <row r="67" spans="1:6" x14ac:dyDescent="0.3">
      <c r="A67" s="375" t="s">
        <v>1016</v>
      </c>
      <c r="B67" s="376" t="s">
        <v>1151</v>
      </c>
      <c r="C67" s="141" t="s">
        <v>994</v>
      </c>
      <c r="D67" s="366">
        <v>6970.75</v>
      </c>
      <c r="E67" s="115"/>
      <c r="F67" s="124"/>
    </row>
    <row r="68" spans="1:6" ht="27" x14ac:dyDescent="0.3">
      <c r="A68" s="301" t="s">
        <v>1018</v>
      </c>
      <c r="B68" s="107" t="s">
        <v>1019</v>
      </c>
      <c r="C68" s="141" t="s">
        <v>994</v>
      </c>
      <c r="D68" s="457">
        <v>1100</v>
      </c>
      <c r="E68" s="124"/>
      <c r="F68" s="124"/>
    </row>
    <row r="69" spans="1:6" ht="40.200000000000003" x14ac:dyDescent="0.3">
      <c r="A69" s="324" t="s">
        <v>1020</v>
      </c>
      <c r="B69" s="107" t="s">
        <v>1021</v>
      </c>
      <c r="C69" s="141" t="s">
        <v>994</v>
      </c>
      <c r="D69" s="457">
        <v>27103.96</v>
      </c>
      <c r="E69" s="115"/>
      <c r="F69" s="124"/>
    </row>
    <row r="70" spans="1:6" x14ac:dyDescent="0.3">
      <c r="A70" s="460" t="s">
        <v>1128</v>
      </c>
      <c r="B70" s="107" t="s">
        <v>1152</v>
      </c>
      <c r="C70" s="141" t="s">
        <v>994</v>
      </c>
      <c r="D70" s="457">
        <v>5447</v>
      </c>
      <c r="E70" s="115"/>
      <c r="F70" s="124"/>
    </row>
    <row r="71" spans="1:6" x14ac:dyDescent="0.3">
      <c r="A71" s="301" t="s">
        <v>1100</v>
      </c>
      <c r="B71" s="107" t="s">
        <v>1153</v>
      </c>
      <c r="C71" s="141" t="s">
        <v>994</v>
      </c>
      <c r="D71" s="457">
        <v>770</v>
      </c>
      <c r="E71" s="115"/>
      <c r="F71" s="124"/>
    </row>
    <row r="72" spans="1:6" x14ac:dyDescent="0.3">
      <c r="A72" s="301" t="s">
        <v>1154</v>
      </c>
      <c r="B72" s="107" t="s">
        <v>1155</v>
      </c>
      <c r="C72" s="141" t="s">
        <v>994</v>
      </c>
      <c r="D72" s="457">
        <v>3900</v>
      </c>
      <c r="E72" s="115"/>
      <c r="F72" s="124"/>
    </row>
    <row r="73" spans="1:6" x14ac:dyDescent="0.3">
      <c r="A73" s="84" t="s">
        <v>1024</v>
      </c>
      <c r="B73" s="325" t="s">
        <v>1025</v>
      </c>
      <c r="C73" s="141" t="s">
        <v>994</v>
      </c>
      <c r="D73" s="461">
        <v>9493.65</v>
      </c>
      <c r="E73" s="124"/>
      <c r="F73" s="124"/>
    </row>
    <row r="74" spans="1:6" x14ac:dyDescent="0.3">
      <c r="A74" s="301" t="s">
        <v>458</v>
      </c>
      <c r="B74" s="107" t="s">
        <v>1026</v>
      </c>
      <c r="C74" s="141" t="s">
        <v>994</v>
      </c>
      <c r="D74" s="457">
        <v>1134271.23</v>
      </c>
      <c r="E74" s="124"/>
      <c r="F74" s="124"/>
    </row>
    <row r="75" spans="1:6" x14ac:dyDescent="0.3">
      <c r="A75" s="327" t="s">
        <v>346</v>
      </c>
      <c r="B75" s="328" t="s">
        <v>1027</v>
      </c>
      <c r="C75" s="291" t="s">
        <v>995</v>
      </c>
      <c r="D75" s="329">
        <v>284479.65999999997</v>
      </c>
      <c r="E75" s="462"/>
      <c r="F75" s="124"/>
    </row>
    <row r="76" spans="1:6" x14ac:dyDescent="0.3">
      <c r="A76" s="330" t="s">
        <v>346</v>
      </c>
      <c r="B76" s="331" t="s">
        <v>1028</v>
      </c>
      <c r="C76" s="295" t="s">
        <v>996</v>
      </c>
      <c r="D76" s="332">
        <v>186671.86</v>
      </c>
      <c r="E76" s="124"/>
      <c r="F76" s="124"/>
    </row>
    <row r="77" spans="1:6" x14ac:dyDescent="0.3">
      <c r="A77" s="334" t="s">
        <v>346</v>
      </c>
      <c r="B77" s="463" t="s">
        <v>1029</v>
      </c>
      <c r="C77" s="299" t="s">
        <v>1030</v>
      </c>
      <c r="D77" s="464">
        <v>40001.11</v>
      </c>
      <c r="E77" s="115"/>
      <c r="F77" s="124"/>
    </row>
    <row r="78" spans="1:6" x14ac:dyDescent="0.3">
      <c r="A78" s="316" t="s">
        <v>346</v>
      </c>
      <c r="B78" s="317" t="s">
        <v>1002</v>
      </c>
      <c r="C78" s="318" t="s">
        <v>994</v>
      </c>
      <c r="D78" s="319">
        <v>108780.42</v>
      </c>
      <c r="E78" s="115"/>
      <c r="F78" s="124"/>
    </row>
    <row r="79" spans="1:6" x14ac:dyDescent="0.3">
      <c r="A79" s="334" t="s">
        <v>346</v>
      </c>
      <c r="B79" s="335" t="s">
        <v>1156</v>
      </c>
      <c r="C79" s="299" t="s">
        <v>1157</v>
      </c>
      <c r="D79" s="336">
        <v>10601.61</v>
      </c>
      <c r="E79" s="115">
        <f>+D79</f>
        <v>10601.61</v>
      </c>
      <c r="F79" s="124"/>
    </row>
    <row r="80" spans="1:6" x14ac:dyDescent="0.3">
      <c r="A80" s="84" t="s">
        <v>346</v>
      </c>
      <c r="B80" s="315" t="s">
        <v>1158</v>
      </c>
      <c r="C80" s="91" t="s">
        <v>1159</v>
      </c>
      <c r="D80" s="53">
        <v>150139.74</v>
      </c>
      <c r="E80" s="115">
        <f>+D80</f>
        <v>150139.74</v>
      </c>
      <c r="F80" s="124"/>
    </row>
    <row r="81" spans="1:6" ht="26.4" x14ac:dyDescent="0.3">
      <c r="A81" s="84" t="s">
        <v>1160</v>
      </c>
      <c r="B81" s="315" t="s">
        <v>1161</v>
      </c>
      <c r="C81" s="91" t="s">
        <v>1162</v>
      </c>
      <c r="D81" s="53">
        <f>8768.5+29227.33</f>
        <v>37995.83</v>
      </c>
      <c r="E81" s="115">
        <f>+D81</f>
        <v>37995.83</v>
      </c>
      <c r="F81" s="124"/>
    </row>
    <row r="82" spans="1:6" x14ac:dyDescent="0.3">
      <c r="A82" s="404" t="s">
        <v>1031</v>
      </c>
      <c r="B82" s="405" t="s">
        <v>1108</v>
      </c>
      <c r="C82" s="406" t="s">
        <v>1109</v>
      </c>
      <c r="D82" s="407">
        <v>4991.3599999999997</v>
      </c>
      <c r="E82" s="115">
        <f>+D26+D82</f>
        <v>4991.3599999999997</v>
      </c>
      <c r="F82" s="124"/>
    </row>
    <row r="83" spans="1:6" x14ac:dyDescent="0.3">
      <c r="A83" s="84" t="s">
        <v>1031</v>
      </c>
      <c r="B83" s="315" t="s">
        <v>1032</v>
      </c>
      <c r="C83" s="91" t="s">
        <v>1033</v>
      </c>
      <c r="D83" s="53">
        <v>85085.7</v>
      </c>
      <c r="E83" s="179">
        <f>+D83</f>
        <v>85085.7</v>
      </c>
      <c r="F83" s="124"/>
    </row>
    <row r="84" spans="1:6" x14ac:dyDescent="0.3">
      <c r="A84" s="84" t="s">
        <v>1163</v>
      </c>
      <c r="B84" s="315" t="s">
        <v>1164</v>
      </c>
      <c r="C84" s="91" t="s">
        <v>1165</v>
      </c>
      <c r="D84" s="53">
        <v>4648.0600000000004</v>
      </c>
      <c r="E84" s="179">
        <f>+D84</f>
        <v>4648.0600000000004</v>
      </c>
      <c r="F84" s="124"/>
    </row>
    <row r="85" spans="1:6" x14ac:dyDescent="0.3">
      <c r="A85" s="338" t="s">
        <v>1034</v>
      </c>
      <c r="B85" s="339" t="s">
        <v>1035</v>
      </c>
      <c r="C85" s="340" t="s">
        <v>1036</v>
      </c>
      <c r="D85" s="341">
        <v>29487</v>
      </c>
      <c r="E85" s="115">
        <f>+D14+D85</f>
        <v>29487</v>
      </c>
      <c r="F85" s="124"/>
    </row>
    <row r="86" spans="1:6" x14ac:dyDescent="0.3">
      <c r="A86" s="354" t="s">
        <v>1034</v>
      </c>
      <c r="B86" s="315" t="s">
        <v>1166</v>
      </c>
      <c r="C86" s="356" t="s">
        <v>1167</v>
      </c>
      <c r="D86" s="53">
        <v>30557.15</v>
      </c>
      <c r="E86" s="115">
        <f>+D86</f>
        <v>30557.15</v>
      </c>
      <c r="F86" s="124"/>
    </row>
    <row r="87" spans="1:6" x14ac:dyDescent="0.3">
      <c r="A87" s="342" t="s">
        <v>1034</v>
      </c>
      <c r="B87" s="343" t="s">
        <v>1037</v>
      </c>
      <c r="C87" s="344" t="s">
        <v>1038</v>
      </c>
      <c r="D87" s="345">
        <v>40329</v>
      </c>
      <c r="E87" s="115">
        <f>+D15+D87</f>
        <v>40329</v>
      </c>
      <c r="F87" s="124"/>
    </row>
    <row r="88" spans="1:6" x14ac:dyDescent="0.3">
      <c r="A88" s="361" t="s">
        <v>1004</v>
      </c>
      <c r="B88" s="362" t="s">
        <v>1039</v>
      </c>
      <c r="C88" s="363" t="s">
        <v>1040</v>
      </c>
      <c r="D88" s="465">
        <v>36717.949999999997</v>
      </c>
      <c r="E88" s="115">
        <f>+D18+D88</f>
        <v>40072.879999999997</v>
      </c>
      <c r="F88" s="115"/>
    </row>
    <row r="89" spans="1:6" ht="26.4" x14ac:dyDescent="0.3">
      <c r="A89" s="354" t="s">
        <v>1034</v>
      </c>
      <c r="B89" s="315" t="s">
        <v>1168</v>
      </c>
      <c r="C89" s="91" t="s">
        <v>1169</v>
      </c>
      <c r="D89" s="53">
        <v>34236.82</v>
      </c>
      <c r="E89" s="115">
        <f>+D17+D89</f>
        <v>35254.19</v>
      </c>
      <c r="F89" s="115"/>
    </row>
    <row r="90" spans="1:6" x14ac:dyDescent="0.3">
      <c r="A90" s="346" t="s">
        <v>1034</v>
      </c>
      <c r="B90" s="347" t="s">
        <v>1041</v>
      </c>
      <c r="C90" s="348" t="s">
        <v>1042</v>
      </c>
      <c r="D90" s="349">
        <v>120068.45</v>
      </c>
      <c r="E90" s="115">
        <f>+D16+D90</f>
        <v>120068.45</v>
      </c>
      <c r="F90" s="115"/>
    </row>
    <row r="91" spans="1:6" ht="26.4" x14ac:dyDescent="0.3">
      <c r="A91" s="84" t="s">
        <v>1004</v>
      </c>
      <c r="B91" s="315" t="s">
        <v>1043</v>
      </c>
      <c r="C91" s="91" t="s">
        <v>1044</v>
      </c>
      <c r="D91" s="53">
        <v>46269.71</v>
      </c>
      <c r="E91" s="115">
        <f>+D91</f>
        <v>46269.71</v>
      </c>
      <c r="F91" s="115"/>
    </row>
    <row r="92" spans="1:6" x14ac:dyDescent="0.3">
      <c r="A92" s="350" t="s">
        <v>1034</v>
      </c>
      <c r="B92" s="351" t="s">
        <v>1045</v>
      </c>
      <c r="C92" s="352" t="s">
        <v>1046</v>
      </c>
      <c r="D92" s="353">
        <v>159476</v>
      </c>
      <c r="E92" s="115">
        <f>+D13+D92</f>
        <v>159476</v>
      </c>
      <c r="F92" s="124"/>
    </row>
    <row r="93" spans="1:6" x14ac:dyDescent="0.3">
      <c r="A93" s="84" t="s">
        <v>1034</v>
      </c>
      <c r="B93" s="315" t="s">
        <v>1047</v>
      </c>
      <c r="C93" s="91" t="s">
        <v>1048</v>
      </c>
      <c r="D93" s="53">
        <v>128273</v>
      </c>
      <c r="E93" s="115">
        <f>+D93</f>
        <v>128273</v>
      </c>
      <c r="F93" s="124"/>
    </row>
    <row r="94" spans="1:6" x14ac:dyDescent="0.3">
      <c r="A94" s="354" t="s">
        <v>1034</v>
      </c>
      <c r="B94" s="355" t="s">
        <v>1049</v>
      </c>
      <c r="C94" s="356" t="s">
        <v>1050</v>
      </c>
      <c r="D94" s="70">
        <v>784713</v>
      </c>
      <c r="E94" s="115">
        <f>+D94</f>
        <v>784713</v>
      </c>
      <c r="F94" s="115"/>
    </row>
    <row r="95" spans="1:6" x14ac:dyDescent="0.3">
      <c r="A95" s="354" t="s">
        <v>1034</v>
      </c>
      <c r="B95" s="355" t="s">
        <v>416</v>
      </c>
      <c r="C95" s="356" t="s">
        <v>1051</v>
      </c>
      <c r="D95" s="70">
        <v>256093.4</v>
      </c>
      <c r="E95" s="115">
        <f>+D95</f>
        <v>256093.4</v>
      </c>
      <c r="F95" s="124"/>
    </row>
    <row r="96" spans="1:6" x14ac:dyDescent="0.3">
      <c r="A96" s="354" t="s">
        <v>1034</v>
      </c>
      <c r="B96" s="355" t="s">
        <v>1052</v>
      </c>
      <c r="C96" s="356" t="s">
        <v>1053</v>
      </c>
      <c r="D96" s="70">
        <v>145635.54999999999</v>
      </c>
      <c r="E96" s="115">
        <f>+D96</f>
        <v>145635.54999999999</v>
      </c>
      <c r="F96" s="124"/>
    </row>
    <row r="97" spans="1:7" x14ac:dyDescent="0.3">
      <c r="A97" s="354" t="s">
        <v>1034</v>
      </c>
      <c r="B97" s="355" t="s">
        <v>1170</v>
      </c>
      <c r="C97" s="356" t="s">
        <v>1171</v>
      </c>
      <c r="D97" s="70">
        <v>16172.54</v>
      </c>
      <c r="E97" s="115">
        <f>+D97</f>
        <v>16172.54</v>
      </c>
      <c r="F97" s="124"/>
    </row>
    <row r="98" spans="1:7" ht="39.6" x14ac:dyDescent="0.3">
      <c r="A98" s="357" t="s">
        <v>1004</v>
      </c>
      <c r="B98" s="358" t="s">
        <v>1054</v>
      </c>
      <c r="C98" s="359" t="s">
        <v>1055</v>
      </c>
      <c r="D98" s="360">
        <v>67366.95</v>
      </c>
      <c r="E98" s="179">
        <f>+D19+D98</f>
        <v>67366.95</v>
      </c>
      <c r="F98" s="124"/>
    </row>
    <row r="99" spans="1:7" ht="26.4" x14ac:dyDescent="0.3">
      <c r="A99" s="84" t="s">
        <v>1004</v>
      </c>
      <c r="B99" s="315" t="s">
        <v>1056</v>
      </c>
      <c r="C99" s="91" t="s">
        <v>1057</v>
      </c>
      <c r="D99" s="156">
        <v>66000</v>
      </c>
      <c r="E99" s="179">
        <f>+D99</f>
        <v>66000</v>
      </c>
      <c r="F99" s="124"/>
    </row>
    <row r="100" spans="1:7" x14ac:dyDescent="0.3">
      <c r="A100" s="84" t="s">
        <v>1034</v>
      </c>
      <c r="B100" s="325" t="s">
        <v>1172</v>
      </c>
      <c r="C100" s="91" t="s">
        <v>1173</v>
      </c>
      <c r="D100" s="466">
        <v>10500</v>
      </c>
      <c r="E100" s="179">
        <f>+D100</f>
        <v>10500</v>
      </c>
      <c r="F100" s="124"/>
    </row>
    <row r="101" spans="1:7" x14ac:dyDescent="0.3">
      <c r="A101" s="84" t="s">
        <v>708</v>
      </c>
      <c r="B101" s="365" t="s">
        <v>1058</v>
      </c>
      <c r="C101" s="155" t="s">
        <v>1059</v>
      </c>
      <c r="D101" s="366">
        <v>10377.6</v>
      </c>
      <c r="E101" s="115">
        <f>+D101</f>
        <v>10377.6</v>
      </c>
      <c r="F101" s="124"/>
    </row>
    <row r="102" spans="1:7" x14ac:dyDescent="0.3">
      <c r="A102" s="367" t="s">
        <v>1060</v>
      </c>
      <c r="B102" s="368" t="s">
        <v>1061</v>
      </c>
      <c r="C102" s="369" t="s">
        <v>1062</v>
      </c>
      <c r="D102" s="370">
        <v>65201</v>
      </c>
      <c r="E102" s="115">
        <f>+D20+D102</f>
        <v>65201</v>
      </c>
      <c r="F102" s="124"/>
    </row>
    <row r="103" spans="1:7" x14ac:dyDescent="0.3">
      <c r="A103" s="84" t="s">
        <v>1174</v>
      </c>
      <c r="B103" s="365" t="s">
        <v>1175</v>
      </c>
      <c r="C103" s="155" t="s">
        <v>1176</v>
      </c>
      <c r="D103" s="366">
        <v>19959.05</v>
      </c>
      <c r="E103" s="115">
        <f>+D103</f>
        <v>19959.05</v>
      </c>
      <c r="F103" s="124"/>
    </row>
    <row r="104" spans="1:7" x14ac:dyDescent="0.3">
      <c r="A104" s="371" t="s">
        <v>1009</v>
      </c>
      <c r="B104" s="372" t="s">
        <v>1063</v>
      </c>
      <c r="C104" s="373" t="s">
        <v>1064</v>
      </c>
      <c r="D104" s="374">
        <v>20000</v>
      </c>
      <c r="E104" s="115">
        <f>+D31+D104</f>
        <v>30000</v>
      </c>
      <c r="F104" s="124"/>
    </row>
    <row r="105" spans="1:7" x14ac:dyDescent="0.3">
      <c r="A105" s="375" t="s">
        <v>1009</v>
      </c>
      <c r="B105" s="376" t="s">
        <v>1023</v>
      </c>
      <c r="C105" s="141" t="s">
        <v>1065</v>
      </c>
      <c r="D105" s="6">
        <v>14000</v>
      </c>
      <c r="E105" s="115">
        <f>+D105</f>
        <v>14000</v>
      </c>
      <c r="F105" s="124"/>
    </row>
    <row r="106" spans="1:7" x14ac:dyDescent="0.3">
      <c r="A106" s="375" t="s">
        <v>1070</v>
      </c>
      <c r="B106" s="376" t="s">
        <v>1071</v>
      </c>
      <c r="C106" s="141" t="s">
        <v>1072</v>
      </c>
      <c r="D106" s="320">
        <v>55772.9</v>
      </c>
      <c r="E106" s="115">
        <f>+D106</f>
        <v>55772.9</v>
      </c>
      <c r="F106" s="124"/>
    </row>
    <row r="107" spans="1:7" x14ac:dyDescent="0.3">
      <c r="A107" s="382" t="s">
        <v>1012</v>
      </c>
      <c r="B107" s="383" t="s">
        <v>1073</v>
      </c>
      <c r="C107" s="384" t="s">
        <v>1074</v>
      </c>
      <c r="D107" s="385">
        <v>2500</v>
      </c>
      <c r="E107" s="115">
        <f>+D30+SUM(D107:D110)</f>
        <v>51995.76</v>
      </c>
      <c r="F107" s="115"/>
    </row>
    <row r="108" spans="1:7" x14ac:dyDescent="0.3">
      <c r="A108" s="382" t="s">
        <v>1009</v>
      </c>
      <c r="B108" s="383" t="s">
        <v>1074</v>
      </c>
      <c r="C108" s="384" t="s">
        <v>1074</v>
      </c>
      <c r="D108" s="385">
        <v>47000</v>
      </c>
      <c r="E108" s="115"/>
      <c r="F108" s="124"/>
    </row>
    <row r="109" spans="1:7" ht="27" x14ac:dyDescent="0.3">
      <c r="A109" s="382" t="s">
        <v>1075</v>
      </c>
      <c r="B109" s="383" t="s">
        <v>1076</v>
      </c>
      <c r="C109" s="384" t="s">
        <v>1074</v>
      </c>
      <c r="D109" s="385">
        <v>1500</v>
      </c>
      <c r="E109" s="115"/>
      <c r="F109" s="124"/>
    </row>
    <row r="110" spans="1:7" x14ac:dyDescent="0.3">
      <c r="A110" s="382" t="s">
        <v>1077</v>
      </c>
      <c r="B110" s="383" t="s">
        <v>1073</v>
      </c>
      <c r="C110" s="384" t="s">
        <v>1074</v>
      </c>
      <c r="D110" s="385">
        <v>63.36</v>
      </c>
      <c r="E110" s="115"/>
      <c r="F110" s="124"/>
      <c r="G110" s="6"/>
    </row>
    <row r="111" spans="1:7" x14ac:dyDescent="0.3">
      <c r="A111" s="467" t="s">
        <v>1081</v>
      </c>
      <c r="B111" s="468" t="s">
        <v>1082</v>
      </c>
      <c r="C111" s="469" t="s">
        <v>1083</v>
      </c>
      <c r="D111" s="470">
        <v>17700</v>
      </c>
      <c r="E111" s="115">
        <f>+D32+D111</f>
        <v>21013.78</v>
      </c>
      <c r="F111" s="124"/>
    </row>
    <row r="112" spans="1:7" x14ac:dyDescent="0.3">
      <c r="A112" s="471" t="s">
        <v>1084</v>
      </c>
      <c r="B112" s="472" t="s">
        <v>1085</v>
      </c>
      <c r="C112" s="473" t="s">
        <v>1086</v>
      </c>
      <c r="D112" s="474">
        <v>26672</v>
      </c>
      <c r="E112" s="115">
        <f>+D112+D34</f>
        <v>26727.7</v>
      </c>
      <c r="F112" s="124"/>
    </row>
    <row r="113" spans="1:7" ht="26.4" x14ac:dyDescent="0.3">
      <c r="A113" s="386" t="s">
        <v>1087</v>
      </c>
      <c r="B113" s="387" t="s">
        <v>1088</v>
      </c>
      <c r="C113" s="388" t="s">
        <v>1089</v>
      </c>
      <c r="D113" s="389">
        <v>28400</v>
      </c>
      <c r="E113" s="115">
        <f>+D33+D113</f>
        <v>28400</v>
      </c>
      <c r="F113" s="124"/>
    </row>
    <row r="114" spans="1:7" x14ac:dyDescent="0.3">
      <c r="A114" s="301" t="s">
        <v>1087</v>
      </c>
      <c r="B114" s="107" t="s">
        <v>1090</v>
      </c>
      <c r="C114" s="141" t="s">
        <v>1091</v>
      </c>
      <c r="D114" s="320">
        <v>14310.17</v>
      </c>
      <c r="E114" s="115">
        <f>+D114</f>
        <v>14310.17</v>
      </c>
      <c r="F114" s="124"/>
    </row>
    <row r="115" spans="1:7" x14ac:dyDescent="0.3">
      <c r="A115" s="301" t="s">
        <v>1087</v>
      </c>
      <c r="B115" s="107" t="s">
        <v>1039</v>
      </c>
      <c r="C115" s="141" t="s">
        <v>1039</v>
      </c>
      <c r="D115" s="320">
        <v>5000</v>
      </c>
      <c r="E115" s="115">
        <f>+D115</f>
        <v>5000</v>
      </c>
      <c r="F115" s="124"/>
    </row>
    <row r="116" spans="1:7" x14ac:dyDescent="0.3">
      <c r="A116" s="390" t="s">
        <v>1092</v>
      </c>
      <c r="B116" s="391" t="s">
        <v>1093</v>
      </c>
      <c r="C116" s="392" t="s">
        <v>1094</v>
      </c>
      <c r="D116" s="393">
        <v>30000</v>
      </c>
      <c r="E116" s="115">
        <f>+D35+D116</f>
        <v>40000</v>
      </c>
      <c r="F116" s="124"/>
    </row>
    <row r="117" spans="1:7" x14ac:dyDescent="0.3">
      <c r="A117" s="375" t="s">
        <v>1095</v>
      </c>
      <c r="B117" s="376" t="s">
        <v>1096</v>
      </c>
      <c r="C117" s="141" t="s">
        <v>1097</v>
      </c>
      <c r="D117" s="320">
        <v>23987.94</v>
      </c>
      <c r="E117" s="115">
        <f>+D117</f>
        <v>23987.94</v>
      </c>
      <c r="F117" s="124"/>
    </row>
    <row r="118" spans="1:7" x14ac:dyDescent="0.3">
      <c r="A118" s="394" t="s">
        <v>1098</v>
      </c>
      <c r="B118" s="395" t="s">
        <v>1099</v>
      </c>
      <c r="C118" s="396" t="s">
        <v>1098</v>
      </c>
      <c r="D118" s="397">
        <v>332928</v>
      </c>
      <c r="E118" s="115">
        <f>+D21+D118</f>
        <v>332928</v>
      </c>
      <c r="F118" s="124"/>
    </row>
    <row r="119" spans="1:7" ht="27" x14ac:dyDescent="0.3">
      <c r="A119" s="375" t="s">
        <v>1100</v>
      </c>
      <c r="B119" s="376" t="s">
        <v>1021</v>
      </c>
      <c r="C119" s="398" t="s">
        <v>1101</v>
      </c>
      <c r="D119" s="320">
        <v>25000</v>
      </c>
      <c r="E119" s="115">
        <f t="shared" ref="E119:E124" si="0">+D119</f>
        <v>25000</v>
      </c>
      <c r="F119" s="124"/>
      <c r="G119" s="6"/>
    </row>
    <row r="120" spans="1:7" x14ac:dyDescent="0.3">
      <c r="A120" s="375" t="s">
        <v>1100</v>
      </c>
      <c r="B120" s="376" t="s">
        <v>1177</v>
      </c>
      <c r="C120" s="398" t="s">
        <v>1178</v>
      </c>
      <c r="D120" s="320">
        <v>10000</v>
      </c>
      <c r="E120" s="115">
        <f t="shared" si="0"/>
        <v>10000</v>
      </c>
      <c r="F120" s="124"/>
      <c r="G120" s="6"/>
    </row>
    <row r="121" spans="1:7" ht="26.25" customHeight="1" x14ac:dyDescent="0.3">
      <c r="A121" s="301" t="s">
        <v>1102</v>
      </c>
      <c r="B121" s="107" t="s">
        <v>1103</v>
      </c>
      <c r="C121" s="399" t="s">
        <v>1104</v>
      </c>
      <c r="D121" s="320">
        <v>20231.45</v>
      </c>
      <c r="E121" s="115">
        <f t="shared" si="0"/>
        <v>20231.45</v>
      </c>
      <c r="F121" s="124"/>
    </row>
    <row r="122" spans="1:7" x14ac:dyDescent="0.3">
      <c r="A122" s="400" t="s">
        <v>1105</v>
      </c>
      <c r="B122" s="401" t="s">
        <v>1106</v>
      </c>
      <c r="C122" s="402" t="s">
        <v>1107</v>
      </c>
      <c r="D122" s="403">
        <v>77471.28</v>
      </c>
      <c r="E122" s="115">
        <f t="shared" si="0"/>
        <v>77471.28</v>
      </c>
      <c r="F122" s="124"/>
    </row>
    <row r="123" spans="1:7" x14ac:dyDescent="0.3">
      <c r="A123" s="400" t="s">
        <v>1179</v>
      </c>
      <c r="B123" s="401" t="s">
        <v>1177</v>
      </c>
      <c r="C123" s="402" t="s">
        <v>1180</v>
      </c>
      <c r="D123" s="403">
        <v>5866</v>
      </c>
      <c r="E123" s="115">
        <f t="shared" si="0"/>
        <v>5866</v>
      </c>
      <c r="F123" s="124"/>
    </row>
    <row r="124" spans="1:7" x14ac:dyDescent="0.3">
      <c r="A124" s="375" t="s">
        <v>1110</v>
      </c>
      <c r="B124" s="376" t="s">
        <v>1111</v>
      </c>
      <c r="C124" s="141" t="s">
        <v>1112</v>
      </c>
      <c r="D124" s="169">
        <v>30000</v>
      </c>
      <c r="E124" s="115">
        <f t="shared" si="0"/>
        <v>30000</v>
      </c>
      <c r="F124" s="124"/>
    </row>
    <row r="125" spans="1:7" x14ac:dyDescent="0.3">
      <c r="A125" s="408" t="s">
        <v>1113</v>
      </c>
      <c r="B125" s="409" t="s">
        <v>1114</v>
      </c>
      <c r="C125" s="410" t="s">
        <v>1115</v>
      </c>
      <c r="D125" s="411">
        <v>40000</v>
      </c>
      <c r="E125" s="115">
        <f>+D22+D125</f>
        <v>53828.62</v>
      </c>
      <c r="F125" s="124"/>
    </row>
    <row r="126" spans="1:7" ht="27" x14ac:dyDescent="0.3">
      <c r="A126" s="412" t="s">
        <v>1113</v>
      </c>
      <c r="B126" s="413" t="s">
        <v>1021</v>
      </c>
      <c r="C126" s="414" t="s">
        <v>1116</v>
      </c>
      <c r="D126" s="415">
        <v>12500</v>
      </c>
      <c r="E126" s="115">
        <f>+D23+D126</f>
        <v>12500</v>
      </c>
      <c r="F126" s="124"/>
    </row>
    <row r="127" spans="1:7" ht="27" x14ac:dyDescent="0.3">
      <c r="A127" s="416" t="s">
        <v>1117</v>
      </c>
      <c r="B127" s="417" t="s">
        <v>1021</v>
      </c>
      <c r="C127" s="418" t="s">
        <v>1118</v>
      </c>
      <c r="D127" s="419">
        <v>25750</v>
      </c>
      <c r="E127" s="115">
        <f>+D24+D127</f>
        <v>25750</v>
      </c>
      <c r="F127" s="124"/>
    </row>
    <row r="128" spans="1:7" x14ac:dyDescent="0.3">
      <c r="A128" s="301" t="s">
        <v>1122</v>
      </c>
      <c r="B128" s="107" t="s">
        <v>1123</v>
      </c>
      <c r="C128" s="107" t="s">
        <v>1123</v>
      </c>
      <c r="D128" s="320">
        <f>804.91+15000</f>
        <v>15804.91</v>
      </c>
      <c r="E128" s="179">
        <f>+D128</f>
        <v>15804.91</v>
      </c>
      <c r="F128" s="115"/>
    </row>
    <row r="129" spans="1:6" x14ac:dyDescent="0.3">
      <c r="A129" s="424" t="s">
        <v>1124</v>
      </c>
      <c r="B129" s="425" t="s">
        <v>1021</v>
      </c>
      <c r="C129" s="426" t="s">
        <v>1125</v>
      </c>
      <c r="D129" s="427">
        <v>15000</v>
      </c>
      <c r="E129" s="115">
        <f>+D27+D129</f>
        <v>15000</v>
      </c>
      <c r="F129" s="124"/>
    </row>
    <row r="130" spans="1:6" x14ac:dyDescent="0.3">
      <c r="A130" s="428" t="s">
        <v>1124</v>
      </c>
      <c r="B130" s="429" t="s">
        <v>1126</v>
      </c>
      <c r="C130" s="430" t="s">
        <v>1127</v>
      </c>
      <c r="D130" s="431">
        <v>50000</v>
      </c>
      <c r="E130" s="115">
        <f>+D28+D130</f>
        <v>50000</v>
      </c>
      <c r="F130" s="124"/>
    </row>
    <row r="131" spans="1:6" ht="15" thickBot="1" x14ac:dyDescent="0.35">
      <c r="A131" s="189" t="s">
        <v>1128</v>
      </c>
      <c r="B131" s="376" t="s">
        <v>1177</v>
      </c>
      <c r="C131" s="376" t="s">
        <v>1177</v>
      </c>
      <c r="D131" s="320">
        <v>15000</v>
      </c>
      <c r="E131" s="115">
        <f>+D131</f>
        <v>15000</v>
      </c>
      <c r="F131" s="124"/>
    </row>
    <row r="132" spans="1:6" ht="15" thickBot="1" x14ac:dyDescent="0.35">
      <c r="A132" s="189" t="s">
        <v>1128</v>
      </c>
      <c r="B132" s="376" t="s">
        <v>1129</v>
      </c>
      <c r="C132" s="141" t="s">
        <v>1130</v>
      </c>
      <c r="D132" s="320">
        <v>60000</v>
      </c>
      <c r="E132" s="115">
        <f>+D132</f>
        <v>60000</v>
      </c>
      <c r="F132" s="124"/>
    </row>
    <row r="133" spans="1:6" x14ac:dyDescent="0.3">
      <c r="A133" s="432" t="s">
        <v>1128</v>
      </c>
      <c r="B133" s="433" t="s">
        <v>1131</v>
      </c>
      <c r="C133" s="434" t="s">
        <v>1132</v>
      </c>
      <c r="D133" s="435">
        <v>15000</v>
      </c>
      <c r="E133" s="115">
        <f>+D29+D133</f>
        <v>15000</v>
      </c>
      <c r="F133" s="124"/>
    </row>
    <row r="134" spans="1:6" ht="15" thickBot="1" x14ac:dyDescent="0.35">
      <c r="A134" s="189" t="s">
        <v>1128</v>
      </c>
      <c r="B134" s="436" t="s">
        <v>1133</v>
      </c>
      <c r="C134" s="437" t="s">
        <v>1134</v>
      </c>
      <c r="D134" s="438">
        <v>16921.990000000002</v>
      </c>
      <c r="E134" s="475">
        <f>+D134</f>
        <v>16921.990000000002</v>
      </c>
      <c r="F134" s="124"/>
    </row>
    <row r="135" spans="1:6" x14ac:dyDescent="0.3">
      <c r="E135" s="6">
        <f>+SUM(E8:E134)</f>
        <v>26433183.309999995</v>
      </c>
    </row>
    <row r="136" spans="1:6" x14ac:dyDescent="0.3">
      <c r="E136">
        <v>26433183.309999999</v>
      </c>
    </row>
    <row r="137" spans="1:6" x14ac:dyDescent="0.3">
      <c r="E137" s="6">
        <f>+E135-E136</f>
        <v>0</v>
      </c>
    </row>
  </sheetData>
  <mergeCells count="6">
    <mergeCell ref="B37:C37"/>
    <mergeCell ref="A3:B3"/>
    <mergeCell ref="B5:C5"/>
    <mergeCell ref="B6:C6"/>
    <mergeCell ref="B7:C7"/>
    <mergeCell ref="B36:C36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0"/>
  <sheetViews>
    <sheetView workbookViewId="0"/>
  </sheetViews>
  <sheetFormatPr defaultRowHeight="14.4" x14ac:dyDescent="0.3"/>
  <cols>
    <col min="1" max="1" width="44.88671875" bestFit="1" customWidth="1"/>
    <col min="2" max="2" width="9" customWidth="1"/>
    <col min="3" max="3" width="2.6640625" bestFit="1" customWidth="1"/>
    <col min="4" max="4" width="41.33203125" bestFit="1" customWidth="1"/>
    <col min="5" max="5" width="31.88671875" bestFit="1" customWidth="1"/>
    <col min="6" max="6" width="14.5546875" bestFit="1" customWidth="1"/>
    <col min="7" max="7" width="15" bestFit="1" customWidth="1"/>
    <col min="8" max="8" width="15" customWidth="1"/>
    <col min="9" max="9" width="19.109375" bestFit="1" customWidth="1"/>
    <col min="10" max="10" width="8.88671875" customWidth="1"/>
  </cols>
  <sheetData>
    <row r="1" spans="1:9" ht="17.399999999999999" x14ac:dyDescent="0.3">
      <c r="A1" s="1" t="s">
        <v>0</v>
      </c>
      <c r="B1" s="1"/>
      <c r="C1" s="1"/>
      <c r="D1" s="2"/>
      <c r="E1" s="2"/>
    </row>
    <row r="2" spans="1:9" x14ac:dyDescent="0.3">
      <c r="A2" t="s">
        <v>300</v>
      </c>
      <c r="D2" t="s">
        <v>2</v>
      </c>
      <c r="F2">
        <f>SUM([1]R18!G:G)</f>
        <v>-31178840.579999987</v>
      </c>
      <c r="G2">
        <f>SUM([1]B19!K:K)</f>
        <v>-32230011.76942936</v>
      </c>
    </row>
    <row r="3" spans="1:9" ht="15" thickBot="1" x14ac:dyDescent="0.35">
      <c r="F3" s="3" t="s">
        <v>301</v>
      </c>
      <c r="G3" s="3" t="s">
        <v>302</v>
      </c>
    </row>
    <row r="4" spans="1:9" ht="15" thickBot="1" x14ac:dyDescent="0.35">
      <c r="A4" s="4" t="s">
        <v>5</v>
      </c>
      <c r="B4" s="4"/>
      <c r="C4" s="4"/>
      <c r="D4" s="4" t="s">
        <v>6</v>
      </c>
      <c r="E4" s="4" t="s">
        <v>7</v>
      </c>
      <c r="F4" s="5" t="e">
        <f>F6+F5</f>
        <v>#VALUE!</v>
      </c>
      <c r="G4" s="5" t="e">
        <f>G6+G5</f>
        <v>#VALUE!</v>
      </c>
      <c r="H4" s="6"/>
      <c r="I4" s="6"/>
    </row>
    <row r="5" spans="1:9" ht="15" thickBot="1" x14ac:dyDescent="0.35">
      <c r="A5" s="7" t="s">
        <v>8</v>
      </c>
      <c r="B5" s="8"/>
      <c r="C5" s="8"/>
      <c r="D5" s="9" t="s">
        <v>9</v>
      </c>
      <c r="E5" s="10"/>
      <c r="F5" s="5" t="e">
        <f>-SUMIFS([1]R18!G:G,[1]R18!D:D,"&gt;="&amp;A5*100000,[1]R18!D:D,"&lt;="&amp;(A5*100000+99999))</f>
        <v>#VALUE!</v>
      </c>
      <c r="G5" s="5" t="e">
        <f>-SUMIFS([1]B19!K:K,[1]B19!B:B,"&gt;="&amp;(A5*100000),[1]B19!B:B,"&lt;="&amp;(A5*100000+99999))</f>
        <v>#VALUE!</v>
      </c>
    </row>
    <row r="6" spans="1:9" ht="43.2" x14ac:dyDescent="0.3">
      <c r="A6" s="11" t="s">
        <v>10</v>
      </c>
      <c r="B6" s="12"/>
      <c r="C6" s="12"/>
      <c r="D6" s="13" t="s">
        <v>11</v>
      </c>
      <c r="E6" s="14"/>
      <c r="F6" s="5" t="e">
        <f>F49+F53+F97+F102+F109+F121+F130+F140</f>
        <v>#VALUE!</v>
      </c>
      <c r="G6" s="5" t="e">
        <f>G49+G53+G97+G102+G109+G121+G130+G140</f>
        <v>#VALUE!</v>
      </c>
    </row>
    <row r="7" spans="1:9" x14ac:dyDescent="0.3">
      <c r="A7" s="15"/>
      <c r="B7" s="16"/>
      <c r="C7" s="16"/>
      <c r="E7" s="17"/>
    </row>
    <row r="8" spans="1:9" x14ac:dyDescent="0.3">
      <c r="A8" s="18" t="s">
        <v>12</v>
      </c>
      <c r="B8" s="19" t="s">
        <v>13</v>
      </c>
      <c r="C8" s="20" t="s">
        <v>14</v>
      </c>
      <c r="D8" s="21" t="s">
        <v>15</v>
      </c>
      <c r="E8" s="22" t="s">
        <v>16</v>
      </c>
      <c r="F8" s="23" t="e">
        <f>-SUMIFS([1]R18!G:G,[1]R18!A:A,C8&amp;"*",[1]R18!D:D,B8)</f>
        <v>#VALUE!</v>
      </c>
      <c r="G8" s="23" t="e">
        <f>-SUMIFS([1]B19!K:K,[1]B19!F:F,C8&amp;"*",[1]B19!B:B,B8)</f>
        <v>#VALUE!</v>
      </c>
    </row>
    <row r="9" spans="1:9" x14ac:dyDescent="0.3">
      <c r="A9" s="19" t="s">
        <v>12</v>
      </c>
      <c r="B9" s="19" t="s">
        <v>17</v>
      </c>
      <c r="C9" s="19" t="s">
        <v>14</v>
      </c>
      <c r="D9" s="21" t="s">
        <v>18</v>
      </c>
      <c r="E9" s="24" t="s">
        <v>19</v>
      </c>
      <c r="F9" s="23" t="e">
        <f>-SUMIFS([1]R18!G:G,[1]R18!A:A,C9&amp;"*",[1]R18!D:D,B9)</f>
        <v>#VALUE!</v>
      </c>
      <c r="G9" s="23" t="e">
        <f>-SUMIFS([1]B19!K:K,[1]B19!F:F,C9&amp;"*",[1]B19!B:B,B9)</f>
        <v>#VALUE!</v>
      </c>
    </row>
    <row r="10" spans="1:9" x14ac:dyDescent="0.3">
      <c r="A10" s="18" t="s">
        <v>12</v>
      </c>
      <c r="B10" s="18" t="s">
        <v>20</v>
      </c>
      <c r="C10" s="19" t="s">
        <v>14</v>
      </c>
      <c r="D10" s="25" t="s">
        <v>21</v>
      </c>
      <c r="E10" s="24" t="s">
        <v>22</v>
      </c>
      <c r="F10" s="23" t="e">
        <f>-SUMIFS([1]R18!G:G,[1]R18!A:A,C10&amp;"*",[1]R18!D:D,B10)</f>
        <v>#VALUE!</v>
      </c>
      <c r="G10" s="23" t="e">
        <f>-SUMIFS([1]B19!K:K,[1]B19!F:F,C10&amp;"*",[1]B19!B:B,B10)</f>
        <v>#VALUE!</v>
      </c>
    </row>
    <row r="11" spans="1:9" x14ac:dyDescent="0.3">
      <c r="A11" s="26" t="s">
        <v>12</v>
      </c>
      <c r="B11" s="26" t="s">
        <v>23</v>
      </c>
      <c r="C11" s="19" t="s">
        <v>14</v>
      </c>
      <c r="D11" s="25" t="s">
        <v>24</v>
      </c>
      <c r="E11" s="24" t="s">
        <v>25</v>
      </c>
      <c r="F11" s="23" t="e">
        <f>-SUMIFS([1]R18!G:G,[1]R18!A:A,C11&amp;"*",[1]R18!D:D,B11)</f>
        <v>#VALUE!</v>
      </c>
      <c r="G11" s="23" t="e">
        <f>-SUMIFS([1]B19!K:K,[1]B19!F:F,C11&amp;"*",[1]B19!B:B,B11)</f>
        <v>#VALUE!</v>
      </c>
    </row>
    <row r="12" spans="1:9" x14ac:dyDescent="0.3">
      <c r="A12" s="26" t="s">
        <v>12</v>
      </c>
      <c r="B12" s="26" t="s">
        <v>26</v>
      </c>
      <c r="C12" s="19" t="s">
        <v>14</v>
      </c>
      <c r="D12" s="25" t="s">
        <v>27</v>
      </c>
      <c r="E12" s="24" t="s">
        <v>28</v>
      </c>
      <c r="F12" s="23" t="e">
        <f>-SUMIFS([1]R18!G:G,[1]R18!A:A,C12&amp;"*",[1]R18!D:D,B12)</f>
        <v>#VALUE!</v>
      </c>
      <c r="G12" s="23" t="e">
        <f>-SUMIFS([1]B19!K:K,[1]B19!F:F,C12&amp;"*",[1]B19!B:B,B12)</f>
        <v>#VALUE!</v>
      </c>
    </row>
    <row r="13" spans="1:9" x14ac:dyDescent="0.3">
      <c r="A13" s="18" t="s">
        <v>12</v>
      </c>
      <c r="B13" s="18" t="s">
        <v>29</v>
      </c>
      <c r="C13" s="19" t="s">
        <v>14</v>
      </c>
      <c r="D13" s="27" t="s">
        <v>30</v>
      </c>
      <c r="E13" s="28" t="s">
        <v>31</v>
      </c>
      <c r="F13" s="23" t="e">
        <f>-SUMIFS([1]R18!G:G,[1]R18!A:A,C13&amp;"*",[1]R18!D:D,B13)</f>
        <v>#VALUE!</v>
      </c>
      <c r="G13" s="23" t="e">
        <f>-SUMIFS([1]B19!K:K,[1]B19!F:F,C13&amp;"*",[1]B19!B:B,B13)</f>
        <v>#VALUE!</v>
      </c>
    </row>
    <row r="14" spans="1:9" x14ac:dyDescent="0.3">
      <c r="A14" s="18" t="s">
        <v>32</v>
      </c>
      <c r="B14" s="18" t="s">
        <v>33</v>
      </c>
      <c r="C14" s="19" t="s">
        <v>14</v>
      </c>
      <c r="D14" s="25" t="s">
        <v>34</v>
      </c>
      <c r="E14" s="24" t="s">
        <v>35</v>
      </c>
      <c r="F14" s="23" t="e">
        <f>-SUMIFS([1]R18!G:G,[1]R18!A:A,C14&amp;"*",[1]R18!D:D,B14)</f>
        <v>#VALUE!</v>
      </c>
      <c r="G14" s="23" t="e">
        <f>-SUMIFS([1]B19!K:K,[1]B19!F:F,C14&amp;"*",[1]B19!B:B,B14)</f>
        <v>#VALUE!</v>
      </c>
    </row>
    <row r="15" spans="1:9" x14ac:dyDescent="0.3">
      <c r="A15" s="19" t="s">
        <v>32</v>
      </c>
      <c r="B15" s="19" t="s">
        <v>36</v>
      </c>
      <c r="C15" s="19" t="s">
        <v>14</v>
      </c>
      <c r="D15" s="21" t="s">
        <v>37</v>
      </c>
      <c r="E15" s="24" t="s">
        <v>19</v>
      </c>
      <c r="F15" s="23" t="e">
        <f>-SUMIFS([1]R18!G:G,[1]R18!A:A,C15&amp;"*",[1]R18!D:D,B15)</f>
        <v>#VALUE!</v>
      </c>
      <c r="G15" s="23" t="e">
        <f>-SUMIFS([1]B19!K:K,[1]B19!F:F,C15&amp;"*",[1]B19!B:B,B15)</f>
        <v>#VALUE!</v>
      </c>
    </row>
    <row r="16" spans="1:9" x14ac:dyDescent="0.3">
      <c r="A16" s="19" t="s">
        <v>32</v>
      </c>
      <c r="B16" s="19">
        <v>73610300</v>
      </c>
      <c r="C16" s="19" t="s">
        <v>14</v>
      </c>
      <c r="D16" s="21" t="s">
        <v>303</v>
      </c>
      <c r="E16" s="24" t="s">
        <v>304</v>
      </c>
      <c r="F16" s="23" t="e">
        <f>-SUMIFS([1]R18!G:G,[1]R18!A:A,C16&amp;"*",[1]R18!D:D,B16)</f>
        <v>#VALUE!</v>
      </c>
      <c r="G16" s="23" t="e">
        <f>-SUMIFS([1]B19!K:K,[1]B19!F:F,C16&amp;"*",[1]B19!B:B,B16)</f>
        <v>#VALUE!</v>
      </c>
    </row>
    <row r="17" spans="1:7" x14ac:dyDescent="0.3">
      <c r="A17" s="19" t="s">
        <v>32</v>
      </c>
      <c r="B17" s="19" t="s">
        <v>38</v>
      </c>
      <c r="C17" s="19" t="s">
        <v>14</v>
      </c>
      <c r="D17" s="21" t="s">
        <v>39</v>
      </c>
      <c r="E17" s="24" t="s">
        <v>40</v>
      </c>
      <c r="F17" s="23" t="e">
        <f>-SUMIFS([1]R18!G:G,[1]R18!A:A,C17&amp;"*",[1]R18!D:D,B17)</f>
        <v>#VALUE!</v>
      </c>
      <c r="G17" s="23" t="e">
        <f>-SUMIFS([1]B19!K:K,[1]B19!F:F,C17&amp;"*",[1]B19!B:B,B17)</f>
        <v>#VALUE!</v>
      </c>
    </row>
    <row r="18" spans="1:7" x14ac:dyDescent="0.3">
      <c r="A18" s="20" t="s">
        <v>41</v>
      </c>
      <c r="B18" s="20" t="s">
        <v>42</v>
      </c>
      <c r="C18" s="19" t="s">
        <v>14</v>
      </c>
      <c r="D18" s="21" t="s">
        <v>27</v>
      </c>
      <c r="E18" s="24" t="s">
        <v>28</v>
      </c>
      <c r="F18" s="23" t="e">
        <f>-SUMIFS([1]R18!G:G,[1]R18!A:A,C18&amp;"*",[1]R18!D:D,B18)</f>
        <v>#VALUE!</v>
      </c>
      <c r="G18" s="23" t="e">
        <f>-SUMIFS([1]B19!K:K,[1]B19!F:F,C18&amp;"*",[1]B19!B:B,B18)</f>
        <v>#VALUE!</v>
      </c>
    </row>
    <row r="19" spans="1:7" x14ac:dyDescent="0.3">
      <c r="A19" s="20" t="s">
        <v>41</v>
      </c>
      <c r="B19" s="26" t="s">
        <v>43</v>
      </c>
      <c r="C19" s="19" t="s">
        <v>14</v>
      </c>
      <c r="D19" s="25" t="s">
        <v>24</v>
      </c>
      <c r="E19" s="24" t="s">
        <v>25</v>
      </c>
      <c r="F19" s="23" t="e">
        <f>-SUMIFS([1]R18!G:G,[1]R18!A:A,C19&amp;"*",[1]R18!D:D,B19)</f>
        <v>#VALUE!</v>
      </c>
      <c r="G19" s="23" t="e">
        <f>-SUMIFS([1]B19!K:K,[1]B19!F:F,C19&amp;"*",[1]B19!B:B,B19)</f>
        <v>#VALUE!</v>
      </c>
    </row>
    <row r="20" spans="1:7" x14ac:dyDescent="0.3">
      <c r="A20" s="20" t="s">
        <v>44</v>
      </c>
      <c r="B20" s="26" t="s">
        <v>45</v>
      </c>
      <c r="C20" s="19" t="s">
        <v>14</v>
      </c>
      <c r="D20" s="25" t="s">
        <v>46</v>
      </c>
      <c r="E20" s="24" t="s">
        <v>47</v>
      </c>
      <c r="F20" s="23" t="e">
        <f>-SUMIFS([1]R18!G:G,[1]R18!A:A,C20&amp;"*",[1]R18!D:D,B20)</f>
        <v>#VALUE!</v>
      </c>
      <c r="G20" s="23" t="e">
        <f>-SUMIFS([1]B19!K:K,[1]B19!F:F,C20&amp;"*",[1]B19!B:B,B20)</f>
        <v>#VALUE!</v>
      </c>
    </row>
    <row r="21" spans="1:7" x14ac:dyDescent="0.3">
      <c r="A21" s="19" t="s">
        <v>32</v>
      </c>
      <c r="B21" s="26">
        <v>73620000</v>
      </c>
      <c r="C21" s="19" t="s">
        <v>14</v>
      </c>
      <c r="D21" s="25" t="s">
        <v>305</v>
      </c>
      <c r="E21" s="24" t="s">
        <v>306</v>
      </c>
      <c r="F21" s="23" t="e">
        <f>-SUMIFS([1]R18!G:G,[1]R18!A:A,C21&amp;"*",[1]R18!D:D,B21)</f>
        <v>#VALUE!</v>
      </c>
      <c r="G21" s="23" t="e">
        <f>-SUMIFS([1]B19!K:K,[1]B19!F:F,C21&amp;"*",[1]B19!B:B,B21)</f>
        <v>#VALUE!</v>
      </c>
    </row>
    <row r="22" spans="1:7" x14ac:dyDescent="0.3">
      <c r="A22" s="19" t="s">
        <v>48</v>
      </c>
      <c r="B22" s="18" t="s">
        <v>49</v>
      </c>
      <c r="C22" s="19" t="s">
        <v>14</v>
      </c>
      <c r="D22" s="27" t="s">
        <v>50</v>
      </c>
      <c r="E22" s="24" t="s">
        <v>16</v>
      </c>
      <c r="F22" s="23" t="e">
        <f>-SUMIFS([1]R18!G:G,[1]R18!A:A,C22&amp;"*",[1]R18!D:D,B22)</f>
        <v>#VALUE!</v>
      </c>
      <c r="G22" s="23" t="e">
        <f>-SUMIFS([1]B19!K:K,[1]B19!F:F,C22&amp;"*",[1]B19!B:B,B22)</f>
        <v>#VALUE!</v>
      </c>
    </row>
    <row r="23" spans="1:7" x14ac:dyDescent="0.3">
      <c r="A23" s="20" t="s">
        <v>51</v>
      </c>
      <c r="B23" s="20" t="s">
        <v>52</v>
      </c>
      <c r="C23" s="19" t="s">
        <v>14</v>
      </c>
      <c r="D23" s="29" t="s">
        <v>53</v>
      </c>
      <c r="E23" s="24" t="s">
        <v>16</v>
      </c>
      <c r="F23" s="23" t="e">
        <f>-SUMIFS([1]R18!G:G,[1]R18!A:A,C23&amp;"*",[1]R18!D:D,B23)</f>
        <v>#VALUE!</v>
      </c>
      <c r="G23" s="23" t="e">
        <f>-SUMIFS([1]B19!K:K,[1]B19!F:F,C23&amp;"*",[1]B19!B:B,B23)</f>
        <v>#VALUE!</v>
      </c>
    </row>
    <row r="24" spans="1:7" x14ac:dyDescent="0.3">
      <c r="A24" s="20" t="s">
        <v>51</v>
      </c>
      <c r="B24" s="20">
        <v>73700600</v>
      </c>
      <c r="C24" s="19" t="s">
        <v>14</v>
      </c>
      <c r="D24" s="29" t="s">
        <v>69</v>
      </c>
      <c r="E24" s="24" t="s">
        <v>307</v>
      </c>
      <c r="F24" s="23" t="e">
        <f>-SUMIFS([1]R18!G:G,[1]R18!A:A,C24&amp;"*",[1]R18!D:D,B24)</f>
        <v>#VALUE!</v>
      </c>
      <c r="G24" s="23" t="e">
        <f>-SUMIFS([1]B19!K:K,[1]B19!F:F,C24&amp;"*",[1]B19!B:B,B24)</f>
        <v>#VALUE!</v>
      </c>
    </row>
    <row r="25" spans="1:7" x14ac:dyDescent="0.3">
      <c r="A25" s="20" t="s">
        <v>54</v>
      </c>
      <c r="B25" s="20" t="s">
        <v>55</v>
      </c>
      <c r="C25" s="19" t="s">
        <v>14</v>
      </c>
      <c r="D25" s="21" t="s">
        <v>56</v>
      </c>
      <c r="E25" s="24" t="s">
        <v>57</v>
      </c>
      <c r="F25" s="23" t="e">
        <f>-SUMIFS([1]R18!G:G,[1]R18!A:A,C25&amp;"*",[1]R18!D:D,B25)</f>
        <v>#VALUE!</v>
      </c>
      <c r="G25" s="23" t="e">
        <f>-SUMIFS([1]B19!K:K,[1]B19!F:F,C25&amp;"*",[1]B19!B:B,B25)</f>
        <v>#VALUE!</v>
      </c>
    </row>
    <row r="26" spans="1:7" x14ac:dyDescent="0.3">
      <c r="A26" s="30" t="s">
        <v>58</v>
      </c>
      <c r="B26" s="30" t="s">
        <v>59</v>
      </c>
      <c r="C26" s="19" t="s">
        <v>14</v>
      </c>
      <c r="D26" s="30" t="s">
        <v>58</v>
      </c>
      <c r="E26" s="24"/>
      <c r="F26" s="23" t="e">
        <f>-SUMIFS([1]R18!G:G,[1]R18!A:A,C26&amp;"*",[1]R18!D:D,B26)</f>
        <v>#VALUE!</v>
      </c>
      <c r="G26" s="23" t="e">
        <f>-SUMIFS([1]B19!K:K,[1]B19!F:F,C26&amp;"*",[1]B19!B:B,B26)</f>
        <v>#VALUE!</v>
      </c>
    </row>
    <row r="27" spans="1:7" x14ac:dyDescent="0.3">
      <c r="A27" s="30" t="s">
        <v>60</v>
      </c>
      <c r="B27" s="30" t="s">
        <v>61</v>
      </c>
      <c r="C27" s="19" t="s">
        <v>14</v>
      </c>
      <c r="D27" s="30" t="s">
        <v>62</v>
      </c>
      <c r="E27" s="24" t="s">
        <v>16</v>
      </c>
      <c r="F27" s="23" t="e">
        <f>-SUMIFS([1]R18!G:G,[1]R18!A:A,C27&amp;"*",[1]R18!D:D,B27)</f>
        <v>#VALUE!</v>
      </c>
      <c r="G27" s="23" t="e">
        <f>-SUMIFS([1]B19!K:K,[1]B19!F:F,C27&amp;"*",[1]B19!B:B,B27)</f>
        <v>#VALUE!</v>
      </c>
    </row>
    <row r="28" spans="1:7" x14ac:dyDescent="0.3">
      <c r="A28" s="30" t="s">
        <v>63</v>
      </c>
      <c r="B28" s="30" t="s">
        <v>64</v>
      </c>
      <c r="C28" s="19" t="s">
        <v>14</v>
      </c>
      <c r="D28" s="30" t="s">
        <v>65</v>
      </c>
      <c r="E28" s="24" t="s">
        <v>66</v>
      </c>
      <c r="F28" s="23" t="e">
        <f>-SUMIFS([1]R18!G:G,[1]R18!A:A,C28&amp;"*",[1]R18!D:D,B28)</f>
        <v>#VALUE!</v>
      </c>
      <c r="G28" s="23" t="e">
        <f>-SUMIFS([1]B19!K:K,[1]B19!F:F,C28&amp;"*",[1]B19!B:B,B28)</f>
        <v>#VALUE!</v>
      </c>
    </row>
    <row r="29" spans="1:7" x14ac:dyDescent="0.3">
      <c r="A29" s="19" t="s">
        <v>93</v>
      </c>
      <c r="B29" s="19" t="s">
        <v>94</v>
      </c>
      <c r="C29" s="30" t="s">
        <v>14</v>
      </c>
      <c r="D29" s="21" t="s">
        <v>95</v>
      </c>
      <c r="E29" s="24" t="s">
        <v>308</v>
      </c>
      <c r="F29" s="23" t="e">
        <f>-SUMIFS([1]R18!G:G,[1]R18!A:A,C29&amp;"*",[1]R18!D:D,B29)</f>
        <v>#VALUE!</v>
      </c>
      <c r="G29" s="23" t="e">
        <f>-SUMIFS([1]B19!K:K,[1]B19!F:F,C29&amp;"*",[1]B19!B:B,B29)</f>
        <v>#VALUE!</v>
      </c>
    </row>
    <row r="30" spans="1:7" x14ac:dyDescent="0.3">
      <c r="A30" s="20" t="s">
        <v>67</v>
      </c>
      <c r="B30" s="20" t="s">
        <v>68</v>
      </c>
      <c r="C30" s="19" t="s">
        <v>14</v>
      </c>
      <c r="D30" s="21" t="s">
        <v>69</v>
      </c>
      <c r="E30" s="24"/>
      <c r="F30" s="23" t="e">
        <f>-SUMIFS([1]R18!G:G,[1]R18!A:A,C30&amp;"*",[1]R18!D:D,B30)</f>
        <v>#VALUE!</v>
      </c>
      <c r="G30" s="23" t="e">
        <f>-SUMIFS([1]B19!K:K,[1]B19!F:F,C30&amp;"*",[1]B19!B:B,B30)</f>
        <v>#VALUE!</v>
      </c>
    </row>
    <row r="31" spans="1:7" x14ac:dyDescent="0.3">
      <c r="A31" s="31" t="s">
        <v>70</v>
      </c>
      <c r="B31" s="31" t="s">
        <v>71</v>
      </c>
      <c r="C31" s="19" t="s">
        <v>14</v>
      </c>
      <c r="D31" s="30" t="s">
        <v>72</v>
      </c>
      <c r="E31" s="24" t="s">
        <v>16</v>
      </c>
      <c r="F31" s="23" t="e">
        <f>-SUMIFS([1]R18!G:G,[1]R18!A:A,C31&amp;"*",[1]R18!D:D,B31)</f>
        <v>#VALUE!</v>
      </c>
      <c r="G31" s="23" t="e">
        <f>-SUMIFS([1]B19!K:K,[1]B19!F:F,C31&amp;"*",[1]B19!B:B,B31)</f>
        <v>#VALUE!</v>
      </c>
    </row>
    <row r="32" spans="1:7" x14ac:dyDescent="0.3">
      <c r="A32" s="20" t="s">
        <v>73</v>
      </c>
      <c r="B32" s="20" t="s">
        <v>74</v>
      </c>
      <c r="C32" s="19" t="s">
        <v>14</v>
      </c>
      <c r="D32" s="21" t="s">
        <v>75</v>
      </c>
      <c r="E32" s="24" t="s">
        <v>76</v>
      </c>
      <c r="F32" s="23" t="e">
        <f>-SUMIFS([1]R18!G:G,[1]R18!A:A,C32&amp;"*",[1]R18!D:D,B32)</f>
        <v>#VALUE!</v>
      </c>
      <c r="G32" s="23" t="e">
        <f>-SUMIFS([1]B19!K:K,[1]B19!F:F,C32&amp;"*",[1]B19!B:B,B32)</f>
        <v>#VALUE!</v>
      </c>
    </row>
    <row r="33" spans="1:7" x14ac:dyDescent="0.3">
      <c r="A33" s="20"/>
      <c r="B33" s="20">
        <v>73840600</v>
      </c>
      <c r="C33" s="19" t="s">
        <v>14</v>
      </c>
      <c r="D33" s="21" t="s">
        <v>16</v>
      </c>
      <c r="E33" s="23" t="str">
        <f>D33</f>
        <v>AWW</v>
      </c>
      <c r="F33" s="23" t="e">
        <f>-SUMIFS([1]R18!G:G,[1]R18!A:A,C33&amp;"*",[1]R18!D:D,B33)</f>
        <v>#VALUE!</v>
      </c>
      <c r="G33" s="23" t="e">
        <f>-SUMIFS([1]B19!K:K,[1]B19!F:F,C33&amp;"*",[1]B19!B:B,B33)</f>
        <v>#VALUE!</v>
      </c>
    </row>
    <row r="34" spans="1:7" x14ac:dyDescent="0.3">
      <c r="A34" s="19" t="s">
        <v>12</v>
      </c>
      <c r="B34" s="19" t="s">
        <v>13</v>
      </c>
      <c r="C34" s="30" t="s">
        <v>78</v>
      </c>
      <c r="D34" s="21" t="s">
        <v>15</v>
      </c>
      <c r="E34" s="24" t="s">
        <v>79</v>
      </c>
      <c r="F34" s="23" t="e">
        <f>-SUMIFS([1]R18!G:G,[1]R18!A:A,C34&amp;"*",[1]R18!D:D,B34)</f>
        <v>#VALUE!</v>
      </c>
      <c r="G34" s="23" t="e">
        <f>-SUMIFS([1]B19!K:K,[1]B19!F:F,C34&amp;"*",[1]B19!B:B,B34)</f>
        <v>#VALUE!</v>
      </c>
    </row>
    <row r="35" spans="1:7" x14ac:dyDescent="0.3">
      <c r="A35" s="19" t="s">
        <v>12</v>
      </c>
      <c r="B35" s="19" t="s">
        <v>80</v>
      </c>
      <c r="C35" s="30" t="s">
        <v>78</v>
      </c>
      <c r="D35" s="21" t="s">
        <v>81</v>
      </c>
      <c r="E35" s="24" t="s">
        <v>82</v>
      </c>
      <c r="F35" s="23" t="e">
        <f>-SUMIFS([1]R18!G:G,[1]R18!A:A,C35&amp;"*",[1]R18!D:D,B35)</f>
        <v>#VALUE!</v>
      </c>
      <c r="G35" s="23" t="e">
        <f>-SUMIFS([1]B19!K:K,[1]B19!F:F,C35&amp;"*",[1]B19!B:B,B35)</f>
        <v>#VALUE!</v>
      </c>
    </row>
    <row r="36" spans="1:7" x14ac:dyDescent="0.3">
      <c r="A36" s="26" t="s">
        <v>12</v>
      </c>
      <c r="B36" s="26" t="s">
        <v>23</v>
      </c>
      <c r="C36" s="19" t="s">
        <v>78</v>
      </c>
      <c r="D36" s="25" t="s">
        <v>24</v>
      </c>
      <c r="E36" s="24" t="s">
        <v>83</v>
      </c>
      <c r="F36" s="23" t="e">
        <f>-SUMIFS([1]R18!G:G,[1]R18!A:A,C36&amp;"*",[1]R18!D:D,B36)</f>
        <v>#VALUE!</v>
      </c>
      <c r="G36" s="23" t="e">
        <f>-SUMIFS([1]B19!K:K,[1]B19!F:F,C36&amp;"*",[1]B19!B:B,B36)</f>
        <v>#VALUE!</v>
      </c>
    </row>
    <row r="37" spans="1:7" x14ac:dyDescent="0.3">
      <c r="A37" s="26" t="s">
        <v>12</v>
      </c>
      <c r="B37" s="26" t="s">
        <v>26</v>
      </c>
      <c r="C37" s="19" t="s">
        <v>78</v>
      </c>
      <c r="D37" s="25" t="s">
        <v>27</v>
      </c>
      <c r="E37" s="24" t="s">
        <v>84</v>
      </c>
      <c r="F37" s="23" t="e">
        <f>-SUMIFS([1]R18!G:G,[1]R18!A:A,C37&amp;"*",[1]R18!D:D,B37)</f>
        <v>#VALUE!</v>
      </c>
      <c r="G37" s="23" t="e">
        <f>-SUMIFS([1]B19!K:K,[1]B19!F:F,C37&amp;"*",[1]B19!B:B,B37)</f>
        <v>#VALUE!</v>
      </c>
    </row>
    <row r="38" spans="1:7" x14ac:dyDescent="0.3">
      <c r="A38" s="26" t="s">
        <v>12</v>
      </c>
      <c r="B38" s="19">
        <v>73600200</v>
      </c>
      <c r="C38" s="30" t="s">
        <v>78</v>
      </c>
      <c r="D38" s="21" t="s">
        <v>309</v>
      </c>
      <c r="E38" s="24" t="s">
        <v>309</v>
      </c>
      <c r="F38" s="23" t="e">
        <f>-SUMIFS([1]R18!G:G,[1]R18!A:A,C38&amp;"*",[1]R18!D:D,B38)</f>
        <v>#VALUE!</v>
      </c>
      <c r="G38" s="23" t="e">
        <f>-SUMIFS([1]B19!K:K,[1]B19!F:F,C38&amp;"*",[1]B19!B:B,B38)</f>
        <v>#VALUE!</v>
      </c>
    </row>
    <row r="39" spans="1:7" x14ac:dyDescent="0.3">
      <c r="A39" s="19" t="s">
        <v>32</v>
      </c>
      <c r="B39" s="26">
        <v>73610200</v>
      </c>
      <c r="C39" s="19" t="s">
        <v>78</v>
      </c>
      <c r="D39" s="25" t="s">
        <v>309</v>
      </c>
      <c r="E39" s="24" t="s">
        <v>309</v>
      </c>
      <c r="F39" s="23" t="e">
        <f>-SUMIFS([1]R18!G:G,[1]R18!A:A,C39&amp;"*",[1]R18!D:D,B39)</f>
        <v>#VALUE!</v>
      </c>
      <c r="G39" s="23" t="e">
        <f>-SUMIFS([1]B19!K:K,[1]B19!F:F,C39&amp;"*",[1]B19!B:B,B39)</f>
        <v>#VALUE!</v>
      </c>
    </row>
    <row r="40" spans="1:7" x14ac:dyDescent="0.3">
      <c r="A40" s="19" t="s">
        <v>32</v>
      </c>
      <c r="B40" s="19" t="s">
        <v>85</v>
      </c>
      <c r="C40" s="30" t="s">
        <v>78</v>
      </c>
      <c r="D40" s="21" t="s">
        <v>81</v>
      </c>
      <c r="E40" s="24" t="s">
        <v>82</v>
      </c>
      <c r="F40" s="23" t="e">
        <f>-SUMIFS([1]R18!G:G,[1]R18!A:A,C40&amp;"*",[1]R18!D:D,B40)</f>
        <v>#VALUE!</v>
      </c>
      <c r="G40" s="23" t="e">
        <f>-SUMIFS([1]B19!K:K,[1]B19!F:F,C40&amp;"*",[1]B19!B:B,B40)</f>
        <v>#VALUE!</v>
      </c>
    </row>
    <row r="41" spans="1:7" x14ac:dyDescent="0.3">
      <c r="A41" s="19" t="s">
        <v>32</v>
      </c>
      <c r="B41" s="19" t="s">
        <v>86</v>
      </c>
      <c r="C41" s="30" t="s">
        <v>78</v>
      </c>
      <c r="D41" s="21" t="s">
        <v>87</v>
      </c>
      <c r="E41" s="24" t="s">
        <v>87</v>
      </c>
      <c r="F41" s="23" t="e">
        <f>-SUMIFS([1]R18!G:G,[1]R18!A:A,C41&amp;"*",[1]R18!D:D,B41)</f>
        <v>#VALUE!</v>
      </c>
      <c r="G41" s="23" t="e">
        <f>-SUMIFS([1]B19!K:K,[1]B19!F:F,C41&amp;"*",[1]B19!B:B,B41)</f>
        <v>#VALUE!</v>
      </c>
    </row>
    <row r="42" spans="1:7" x14ac:dyDescent="0.3">
      <c r="A42" s="20" t="s">
        <v>41</v>
      </c>
      <c r="B42" s="20" t="s">
        <v>42</v>
      </c>
      <c r="C42" s="30" t="s">
        <v>78</v>
      </c>
      <c r="D42" s="21" t="s">
        <v>27</v>
      </c>
      <c r="E42" s="24" t="s">
        <v>84</v>
      </c>
      <c r="F42" s="23" t="e">
        <f>-SUMIFS([1]R18!G:G,[1]R18!A:A,C42&amp;"*",[1]R18!D:D,B42)</f>
        <v>#VALUE!</v>
      </c>
      <c r="G42" s="23" t="e">
        <f>-SUMIFS([1]B19!K:K,[1]B19!F:F,C42&amp;"*",[1]B19!B:B,B42)</f>
        <v>#VALUE!</v>
      </c>
    </row>
    <row r="43" spans="1:7" x14ac:dyDescent="0.3">
      <c r="A43" s="20" t="s">
        <v>41</v>
      </c>
      <c r="B43" s="26" t="s">
        <v>43</v>
      </c>
      <c r="C43" s="30" t="s">
        <v>78</v>
      </c>
      <c r="D43" s="25" t="s">
        <v>24</v>
      </c>
      <c r="E43" s="24" t="s">
        <v>83</v>
      </c>
      <c r="F43" s="23" t="e">
        <f>-SUMIFS([1]R18!G:G,[1]R18!A:A,C43&amp;"*",[1]R18!D:D,B43)</f>
        <v>#VALUE!</v>
      </c>
      <c r="G43" s="23" t="e">
        <f>-SUMIFS([1]B19!K:K,[1]B19!F:F,C43&amp;"*",[1]B19!B:B,B43)</f>
        <v>#VALUE!</v>
      </c>
    </row>
    <row r="44" spans="1:7" x14ac:dyDescent="0.3">
      <c r="A44" s="19" t="s">
        <v>32</v>
      </c>
      <c r="B44" s="19" t="s">
        <v>88</v>
      </c>
      <c r="C44" s="30" t="s">
        <v>78</v>
      </c>
      <c r="D44" s="21" t="s">
        <v>89</v>
      </c>
      <c r="E44" s="24" t="s">
        <v>90</v>
      </c>
      <c r="F44" s="23" t="e">
        <f>-SUMIFS([1]R18!G:G,[1]R18!A:A,C44&amp;"*",[1]R18!D:D,B44)</f>
        <v>#VALUE!</v>
      </c>
      <c r="G44" s="23" t="e">
        <f>-SUMIFS([1]B19!K:K,[1]B19!F:F,C44&amp;"*",[1]B19!B:B,B44)</f>
        <v>#VALUE!</v>
      </c>
    </row>
    <row r="45" spans="1:7" x14ac:dyDescent="0.3">
      <c r="A45" s="19" t="s">
        <v>32</v>
      </c>
      <c r="B45" s="19" t="s">
        <v>91</v>
      </c>
      <c r="C45" s="30" t="s">
        <v>78</v>
      </c>
      <c r="D45" s="21" t="s">
        <v>89</v>
      </c>
      <c r="E45" s="24" t="s">
        <v>90</v>
      </c>
      <c r="F45" s="23" t="e">
        <f>-SUMIFS([1]R18!G:G,[1]R18!A:A,C45&amp;"*",[1]R18!D:D,B45)</f>
        <v>#VALUE!</v>
      </c>
      <c r="G45" s="23" t="e">
        <f>-SUMIFS([1]B19!K:K,[1]B19!F:F,C45&amp;"*",[1]B19!B:B,B45)</f>
        <v>#VALUE!</v>
      </c>
    </row>
    <row r="46" spans="1:7" x14ac:dyDescent="0.3">
      <c r="A46" s="19"/>
      <c r="B46" s="19" t="s">
        <v>55</v>
      </c>
      <c r="C46" s="30" t="s">
        <v>78</v>
      </c>
      <c r="D46" s="21"/>
      <c r="E46" s="24" t="s">
        <v>92</v>
      </c>
      <c r="F46" s="23" t="e">
        <f>-SUMIFS([1]R18!G:G,[1]R18!A:A,C46&amp;"*",[1]R18!D:D,B46)</f>
        <v>#VALUE!</v>
      </c>
      <c r="G46" s="23" t="e">
        <f>-SUMIFS([1]B19!K:K,[1]B19!F:F,C46&amp;"*",[1]B19!B:B,B46)</f>
        <v>#VALUE!</v>
      </c>
    </row>
    <row r="47" spans="1:7" x14ac:dyDescent="0.3">
      <c r="A47" s="19" t="s">
        <v>93</v>
      </c>
      <c r="B47" s="19" t="s">
        <v>94</v>
      </c>
      <c r="C47" s="20" t="s">
        <v>78</v>
      </c>
      <c r="D47" s="21" t="s">
        <v>95</v>
      </c>
      <c r="E47" s="28" t="s">
        <v>90</v>
      </c>
      <c r="F47" s="23" t="e">
        <f>-SUMIFS([1]R18!G:G,[1]R18!A:A,C47&amp;"*",[1]R18!D:D,B47)</f>
        <v>#VALUE!</v>
      </c>
      <c r="G47" s="23" t="e">
        <f>-SUMIFS([1]B19!K:K,[1]B19!F:F,C47&amp;"*",[1]B19!B:B,B47)</f>
        <v>#VALUE!</v>
      </c>
    </row>
    <row r="48" spans="1:7" x14ac:dyDescent="0.3">
      <c r="A48" s="31" t="s">
        <v>70</v>
      </c>
      <c r="B48" s="31" t="s">
        <v>71</v>
      </c>
      <c r="C48" s="19" t="s">
        <v>78</v>
      </c>
      <c r="D48" s="30" t="s">
        <v>72</v>
      </c>
      <c r="E48" s="24" t="s">
        <v>96</v>
      </c>
      <c r="F48" s="23" t="e">
        <f>-SUMIFS([1]R18!G:G,[1]R18!A:A,C48&amp;"*",[1]R18!D:D,B48)</f>
        <v>#VALUE!</v>
      </c>
      <c r="G48" s="23" t="e">
        <f>-SUMIFS([1]B19!K:K,[1]B19!F:F,C48&amp;"*",[1]B19!B:B,B48)</f>
        <v>#VALUE!</v>
      </c>
    </row>
    <row r="49" spans="1:9" x14ac:dyDescent="0.3">
      <c r="A49" s="32" t="s">
        <v>98</v>
      </c>
      <c r="B49" s="33"/>
      <c r="C49" s="33"/>
      <c r="D49" s="34"/>
      <c r="E49" s="34"/>
      <c r="F49" s="35" t="e">
        <f>SUM(F8:F48)</f>
        <v>#VALUE!</v>
      </c>
      <c r="G49" s="35" t="e">
        <f>SUM(G8:G48)</f>
        <v>#VALUE!</v>
      </c>
    </row>
    <row r="50" spans="1:9" x14ac:dyDescent="0.3">
      <c r="A50" s="19" t="s">
        <v>32</v>
      </c>
      <c r="B50" s="19" t="s">
        <v>103</v>
      </c>
      <c r="C50" s="30" t="s">
        <v>100</v>
      </c>
      <c r="D50" s="21" t="s">
        <v>101</v>
      </c>
      <c r="E50" s="24" t="s">
        <v>102</v>
      </c>
      <c r="F50" s="23" t="e">
        <f>-SUMIFS([1]R18!G:G,[1]R18!A:A,C50&amp;"*",[1]R18!D:D,B50)</f>
        <v>#VALUE!</v>
      </c>
      <c r="G50" s="23" t="e">
        <f>-SUMIFS([1]B19!K:K,[1]B19!F:F,C50&amp;"*",[1]B19!B:B,B50)</f>
        <v>#VALUE!</v>
      </c>
    </row>
    <row r="51" spans="1:9" x14ac:dyDescent="0.3">
      <c r="A51" s="19" t="s">
        <v>32</v>
      </c>
      <c r="B51" s="19" t="s">
        <v>107</v>
      </c>
      <c r="C51" s="30" t="s">
        <v>100</v>
      </c>
      <c r="D51" s="21" t="s">
        <v>105</v>
      </c>
      <c r="E51" s="24" t="s">
        <v>106</v>
      </c>
      <c r="F51" s="23" t="e">
        <f>-SUMIFS([1]R18!G:G,[1]R18!A:A,C51&amp;"*",[1]R18!D:D,B51)</f>
        <v>#VALUE!</v>
      </c>
      <c r="G51" s="23" t="e">
        <f>-SUMIFS([1]B19!K:K,[1]B19!F:F,C51&amp;"*",[1]B19!B:B,B51)</f>
        <v>#VALUE!</v>
      </c>
    </row>
    <row r="52" spans="1:9" x14ac:dyDescent="0.3">
      <c r="A52" s="19" t="s">
        <v>310</v>
      </c>
      <c r="B52" s="19">
        <v>73840700</v>
      </c>
      <c r="C52" s="30" t="s">
        <v>100</v>
      </c>
      <c r="D52" s="21" t="s">
        <v>311</v>
      </c>
      <c r="E52" s="24" t="s">
        <v>311</v>
      </c>
      <c r="F52" s="23" t="e">
        <f>-SUMIFS([1]R18!G:G,[1]R18!A:A,C52&amp;"*",[1]R18!D:D,B52)</f>
        <v>#VALUE!</v>
      </c>
      <c r="G52" s="23" t="e">
        <f>-SUMIFS([1]B19!K:K,[1]B19!F:F,C52&amp;"*",[1]B19!B:B,B52)</f>
        <v>#VALUE!</v>
      </c>
    </row>
    <row r="53" spans="1:9" x14ac:dyDescent="0.3">
      <c r="A53" s="32" t="s">
        <v>108</v>
      </c>
      <c r="B53" s="33">
        <v>732</v>
      </c>
      <c r="C53" s="33" t="s">
        <v>100</v>
      </c>
      <c r="D53" s="36"/>
      <c r="E53" s="37"/>
      <c r="F53" s="38" t="e">
        <f>SUM(F50:F52)</f>
        <v>#VALUE!</v>
      </c>
      <c r="G53" s="38" t="e">
        <f>SUM(G50:G52)</f>
        <v>#VALUE!</v>
      </c>
      <c r="H53" s="35" t="e">
        <f>SUMIF([1]R18!A:A,C53&amp;"*",[1]R18!G:G)-SUMIFS([1]R18!G:G,[1]R18!A:A,C53&amp;"*",[1]R18!D:D,"&gt;="&amp;(B53*100000),[1]R18!D:D,"&lt;="&amp;(B53*100000+99999))+F53-SUMIFS([1]R18!G:G,[1]R18!A:A,C53&amp;"*",[1]R18!D:D,73300000)</f>
        <v>#VALUE!</v>
      </c>
      <c r="I53" s="35" t="e">
        <f>SUMIF([1]B19!F:F,C53&amp;"*",[1]B19!K:K)-SUMIFS([1]B19!K:K,[1]B19!F:F,C53&amp;"*",[1]B19!B:B,"&gt;="&amp;(B53*100000),[1]B19!B:B,"&lt;="&amp;(B53*100000+99999))+G53-SUMIFS([1]B19!K:K,[1]B19!F:F,C53&amp;"*",[1]B19!B:B,73300000)</f>
        <v>#VALUE!</v>
      </c>
    </row>
    <row r="54" spans="1:9" hidden="1" x14ac:dyDescent="0.3">
      <c r="A54" s="26" t="s">
        <v>12</v>
      </c>
      <c r="B54" s="26" t="s">
        <v>26</v>
      </c>
      <c r="C54" s="20" t="s">
        <v>109</v>
      </c>
      <c r="D54" s="25" t="s">
        <v>27</v>
      </c>
      <c r="E54" s="22" t="s">
        <v>110</v>
      </c>
      <c r="F54" s="23" t="e">
        <f>-SUMIFS([1]R18!G:G,[1]R18!A:A,C54&amp;"*",[1]R18!D:D,B54)</f>
        <v>#VALUE!</v>
      </c>
      <c r="G54" s="23" t="e">
        <f>-SUMIFS([1]B19!K:K,[1]B19!F:F,C54&amp;"*",[1]B19!B:B,B54)</f>
        <v>#VALUE!</v>
      </c>
    </row>
    <row r="55" spans="1:9" hidden="1" x14ac:dyDescent="0.3">
      <c r="A55" s="20" t="s">
        <v>41</v>
      </c>
      <c r="B55" s="20" t="s">
        <v>42</v>
      </c>
      <c r="C55" s="20" t="s">
        <v>109</v>
      </c>
      <c r="D55" s="25" t="s">
        <v>27</v>
      </c>
      <c r="E55" s="22" t="s">
        <v>110</v>
      </c>
      <c r="F55" s="23" t="e">
        <f>-SUMIFS([1]R18!G:G,[1]R18!A:A,C55&amp;"*",[1]R18!D:D,B55)</f>
        <v>#VALUE!</v>
      </c>
      <c r="G55" s="23" t="e">
        <f>-SUMIFS([1]B19!K:K,[1]B19!F:F,C55&amp;"*",[1]B19!B:B,B55)</f>
        <v>#VALUE!</v>
      </c>
    </row>
    <row r="56" spans="1:9" x14ac:dyDescent="0.3">
      <c r="A56" s="30" t="s">
        <v>32</v>
      </c>
      <c r="B56" s="30" t="s">
        <v>111</v>
      </c>
      <c r="C56" s="20" t="s">
        <v>109</v>
      </c>
      <c r="D56" s="30" t="s">
        <v>112</v>
      </c>
      <c r="E56" s="24" t="s">
        <v>113</v>
      </c>
      <c r="F56" s="23" t="e">
        <f>-SUMIFS([1]R18!G:G,[1]R18!A:A,C56&amp;"*",[1]R18!D:D,B56)</f>
        <v>#VALUE!</v>
      </c>
      <c r="G56" s="23" t="e">
        <f>-SUMIFS([1]B19!K:K,[1]B19!F:F,C56&amp;"*",[1]B19!B:B,B56)</f>
        <v>#VALUE!</v>
      </c>
    </row>
    <row r="57" spans="1:9" x14ac:dyDescent="0.3">
      <c r="A57" s="30" t="s">
        <v>12</v>
      </c>
      <c r="B57" s="30">
        <v>73600000</v>
      </c>
      <c r="C57" s="20" t="s">
        <v>109</v>
      </c>
      <c r="D57" s="30" t="s">
        <v>312</v>
      </c>
      <c r="E57" s="24" t="s">
        <v>313</v>
      </c>
      <c r="F57" s="23" t="e">
        <f>-SUMIFS([1]R18!G:G,[1]R18!A:A,C57&amp;"*",[1]R18!D:D,B57)</f>
        <v>#VALUE!</v>
      </c>
      <c r="G57" s="23" t="e">
        <f>-SUMIFS([1]B19!K:K,[1]B19!F:F,C57&amp;"*",[1]B19!B:B,B57)</f>
        <v>#VALUE!</v>
      </c>
    </row>
    <row r="58" spans="1:9" x14ac:dyDescent="0.3">
      <c r="A58" s="30" t="s">
        <v>67</v>
      </c>
      <c r="B58" s="30">
        <v>73812200</v>
      </c>
      <c r="C58" s="20" t="s">
        <v>109</v>
      </c>
      <c r="D58" s="30" t="s">
        <v>314</v>
      </c>
      <c r="E58" s="24" t="s">
        <v>315</v>
      </c>
      <c r="F58" s="23" t="e">
        <f>-SUMIFS([1]R18!G:G,[1]R18!A:A,C58&amp;"*",[1]R18!D:D,B58)</f>
        <v>#VALUE!</v>
      </c>
      <c r="G58" s="23" t="e">
        <f>-SUMIFS([1]B19!K:K,[1]B19!F:F,C58&amp;"*",[1]B19!B:B,B58)</f>
        <v>#VALUE!</v>
      </c>
    </row>
    <row r="59" spans="1:9" x14ac:dyDescent="0.3">
      <c r="A59" s="20" t="s">
        <v>58</v>
      </c>
      <c r="B59" s="20" t="s">
        <v>59</v>
      </c>
      <c r="C59" s="20" t="s">
        <v>109</v>
      </c>
      <c r="D59" s="21" t="s">
        <v>114</v>
      </c>
      <c r="E59" s="24" t="s">
        <v>115</v>
      </c>
      <c r="F59" s="23" t="e">
        <f>-SUMIFS([1]R18!G:G,[1]R18!A:A,C59&amp;"*",[1]R18!D:D,B59)</f>
        <v>#VALUE!</v>
      </c>
      <c r="G59" s="23" t="e">
        <f>-SUMIFS([1]B19!K:K,[1]B19!F:F,C59&amp;"*",[1]B19!B:B,B59)</f>
        <v>#VALUE!</v>
      </c>
    </row>
    <row r="60" spans="1:9" hidden="1" x14ac:dyDescent="0.3">
      <c r="A60" s="20"/>
      <c r="B60" s="20" t="s">
        <v>45</v>
      </c>
      <c r="C60" s="20" t="s">
        <v>109</v>
      </c>
      <c r="D60" s="21" t="s">
        <v>116</v>
      </c>
      <c r="E60" s="24" t="s">
        <v>117</v>
      </c>
      <c r="F60" s="23" t="e">
        <f>-SUMIFS([1]R18!G:G,[1]R18!A:A,C60&amp;"*",[1]R18!D:D,B60)</f>
        <v>#VALUE!</v>
      </c>
      <c r="G60" s="23" t="e">
        <f>-SUMIFS([1]B19!K:K,[1]B19!F:F,C60&amp;"*",[1]B19!B:B,B60)</f>
        <v>#VALUE!</v>
      </c>
    </row>
    <row r="61" spans="1:9" x14ac:dyDescent="0.3">
      <c r="A61" s="19" t="s">
        <v>67</v>
      </c>
      <c r="B61" s="19" t="s">
        <v>118</v>
      </c>
      <c r="C61" s="20" t="s">
        <v>109</v>
      </c>
      <c r="D61" s="29" t="s">
        <v>119</v>
      </c>
      <c r="E61" s="24" t="s">
        <v>120</v>
      </c>
      <c r="F61" s="23" t="e">
        <f>-SUMIFS([1]R18!G:G,[1]R18!A:A,C61&amp;"*",[1]R18!D:D,B61)</f>
        <v>#VALUE!</v>
      </c>
      <c r="G61" s="23" t="e">
        <f>-SUMIFS([1]B19!K:K,[1]B19!F:F,C61&amp;"*",[1]B19!B:B,B61)</f>
        <v>#VALUE!</v>
      </c>
    </row>
    <row r="62" spans="1:9" x14ac:dyDescent="0.3">
      <c r="A62" s="19" t="s">
        <v>67</v>
      </c>
      <c r="B62" s="19" t="s">
        <v>121</v>
      </c>
      <c r="C62" s="20" t="s">
        <v>109</v>
      </c>
      <c r="D62" s="29" t="s">
        <v>122</v>
      </c>
      <c r="E62" s="24" t="s">
        <v>123</v>
      </c>
      <c r="F62" s="23" t="e">
        <f>-SUMIFS([1]R18!G:G,[1]R18!A:A,C62&amp;"*",[1]R18!D:D,B62)</f>
        <v>#VALUE!</v>
      </c>
      <c r="G62" s="23" t="e">
        <f>-SUMIFS([1]B19!K:K,[1]B19!F:F,C62&amp;"*",[1]B19!B:B,B62)</f>
        <v>#VALUE!</v>
      </c>
    </row>
    <row r="63" spans="1:9" x14ac:dyDescent="0.3">
      <c r="A63" s="19" t="s">
        <v>67</v>
      </c>
      <c r="B63" s="19" t="s">
        <v>124</v>
      </c>
      <c r="C63" s="20" t="s">
        <v>109</v>
      </c>
      <c r="D63" s="21" t="s">
        <v>125</v>
      </c>
      <c r="E63" s="24" t="s">
        <v>126</v>
      </c>
      <c r="F63" s="23" t="e">
        <f>-SUMIFS([1]R18!G:G,[1]R18!A:A,C63&amp;"*",[1]R18!D:D,B63)</f>
        <v>#VALUE!</v>
      </c>
      <c r="G63" s="23" t="e">
        <f>-SUMIFS([1]B19!K:K,[1]B19!F:F,C63&amp;"*",[1]B19!B:B,B63)</f>
        <v>#VALUE!</v>
      </c>
    </row>
    <row r="64" spans="1:9" x14ac:dyDescent="0.3">
      <c r="A64" s="19" t="s">
        <v>67</v>
      </c>
      <c r="B64" s="19" t="s">
        <v>127</v>
      </c>
      <c r="C64" s="20" t="s">
        <v>109</v>
      </c>
      <c r="D64" s="21" t="s">
        <v>128</v>
      </c>
      <c r="E64" s="24" t="s">
        <v>129</v>
      </c>
      <c r="F64" s="23" t="e">
        <f>-SUMIFS([1]R18!G:G,[1]R18!A:A,C64&amp;"*",[1]R18!D:D,B64)</f>
        <v>#VALUE!</v>
      </c>
      <c r="G64" s="23" t="e">
        <f>-SUMIFS([1]B19!K:K,[1]B19!F:F,C64&amp;"*",[1]B19!B:B,B64)</f>
        <v>#VALUE!</v>
      </c>
    </row>
    <row r="65" spans="1:7" x14ac:dyDescent="0.3">
      <c r="A65" s="19" t="s">
        <v>67</v>
      </c>
      <c r="B65" s="19" t="s">
        <v>130</v>
      </c>
      <c r="C65" s="20" t="s">
        <v>109</v>
      </c>
      <c r="D65" s="21" t="s">
        <v>131</v>
      </c>
      <c r="E65" s="24" t="s">
        <v>132</v>
      </c>
      <c r="F65" s="23" t="e">
        <f>-SUMIFS([1]R18!G:G,[1]R18!A:A,C65&amp;"*",[1]R18!D:D,B65)</f>
        <v>#VALUE!</v>
      </c>
      <c r="G65" s="23" t="e">
        <f>-SUMIFS([1]B19!K:K,[1]B19!F:F,C65&amp;"*",[1]B19!B:B,B65)</f>
        <v>#VALUE!</v>
      </c>
    </row>
    <row r="66" spans="1:7" x14ac:dyDescent="0.3">
      <c r="A66" s="19" t="s">
        <v>67</v>
      </c>
      <c r="B66" s="19" t="s">
        <v>200</v>
      </c>
      <c r="C66" s="20" t="s">
        <v>109</v>
      </c>
      <c r="D66" s="29" t="s">
        <v>201</v>
      </c>
      <c r="E66" s="24" t="s">
        <v>202</v>
      </c>
      <c r="F66" s="23" t="e">
        <f>-SUMIFS([1]R18!G:G,[1]R18!A:A,C66&amp;"*",[1]R18!D:D,B66)</f>
        <v>#VALUE!</v>
      </c>
      <c r="G66" s="23" t="e">
        <f>-SUMIFS([1]B19!K:K,[1]B19!F:F,C66&amp;"*",[1]B19!B:B,B66)</f>
        <v>#VALUE!</v>
      </c>
    </row>
    <row r="67" spans="1:7" x14ac:dyDescent="0.3">
      <c r="A67" s="19" t="s">
        <v>67</v>
      </c>
      <c r="B67" s="19" t="s">
        <v>133</v>
      </c>
      <c r="C67" s="20" t="s">
        <v>109</v>
      </c>
      <c r="D67" s="29" t="s">
        <v>134</v>
      </c>
      <c r="E67" s="24" t="s">
        <v>135</v>
      </c>
      <c r="F67" s="23" t="e">
        <f>-SUMIFS([1]R18!G:G,[1]R18!A:A,C67&amp;"*",[1]R18!D:D,B67)</f>
        <v>#VALUE!</v>
      </c>
      <c r="G67" s="23" t="e">
        <f>-SUMIFS([1]B19!K:K,[1]B19!F:F,C67&amp;"*",[1]B19!B:B,B67)</f>
        <v>#VALUE!</v>
      </c>
    </row>
    <row r="68" spans="1:7" x14ac:dyDescent="0.3">
      <c r="A68" s="19" t="s">
        <v>67</v>
      </c>
      <c r="B68" s="19" t="s">
        <v>136</v>
      </c>
      <c r="C68" s="20" t="s">
        <v>109</v>
      </c>
      <c r="D68" s="29" t="s">
        <v>137</v>
      </c>
      <c r="E68" s="24" t="s">
        <v>138</v>
      </c>
      <c r="F68" s="23" t="e">
        <f>-SUMIFS([1]R18!G:G,[1]R18!A:A,C68&amp;"*",[1]R18!D:D,B68)</f>
        <v>#VALUE!</v>
      </c>
      <c r="G68" s="23" t="e">
        <f>-SUMIFS([1]B19!K:K,[1]B19!F:F,C68&amp;"*",[1]B19!B:B,B68)</f>
        <v>#VALUE!</v>
      </c>
    </row>
    <row r="69" spans="1:7" x14ac:dyDescent="0.3">
      <c r="A69" s="19" t="s">
        <v>67</v>
      </c>
      <c r="B69" s="19" t="s">
        <v>139</v>
      </c>
      <c r="C69" s="20" t="s">
        <v>109</v>
      </c>
      <c r="D69" s="21" t="s">
        <v>140</v>
      </c>
      <c r="E69" s="24" t="s">
        <v>141</v>
      </c>
      <c r="F69" s="23" t="e">
        <f>-SUMIFS([1]R18!G:G,[1]R18!A:A,C69&amp;"*",[1]R18!D:D,B69)</f>
        <v>#VALUE!</v>
      </c>
      <c r="G69" s="23" t="e">
        <f>-SUMIFS([1]B19!K:K,[1]B19!F:F,C69&amp;"*",[1]B19!B:B,B69)</f>
        <v>#VALUE!</v>
      </c>
    </row>
    <row r="70" spans="1:7" x14ac:dyDescent="0.3">
      <c r="A70" s="19" t="s">
        <v>67</v>
      </c>
      <c r="B70" s="19" t="s">
        <v>142</v>
      </c>
      <c r="C70" s="20" t="s">
        <v>109</v>
      </c>
      <c r="D70" s="21" t="s">
        <v>143</v>
      </c>
      <c r="E70" s="24" t="s">
        <v>144</v>
      </c>
      <c r="F70" s="23" t="e">
        <f>-SUMIFS([1]R18!G:G,[1]R18!A:A,C70&amp;"*",[1]R18!D:D,B70)</f>
        <v>#VALUE!</v>
      </c>
      <c r="G70" s="23" t="e">
        <f>-SUMIFS([1]B19!K:K,[1]B19!F:F,C70&amp;"*",[1]B19!B:B,B70)</f>
        <v>#VALUE!</v>
      </c>
    </row>
    <row r="71" spans="1:7" x14ac:dyDescent="0.3">
      <c r="A71" s="20" t="s">
        <v>67</v>
      </c>
      <c r="B71" s="20" t="s">
        <v>145</v>
      </c>
      <c r="C71" s="20" t="s">
        <v>109</v>
      </c>
      <c r="D71" s="21" t="s">
        <v>146</v>
      </c>
      <c r="E71" s="24" t="s">
        <v>147</v>
      </c>
      <c r="F71" s="23" t="e">
        <f>-SUMIFS([1]R18!G:G,[1]R18!A:A,C71&amp;"*",[1]R18!D:D,B71)</f>
        <v>#VALUE!</v>
      </c>
      <c r="G71" s="23" t="e">
        <f>-SUMIFS([1]B19!K:K,[1]B19!F:F,C71&amp;"*",[1]B19!B:B,B71)</f>
        <v>#VALUE!</v>
      </c>
    </row>
    <row r="72" spans="1:7" x14ac:dyDescent="0.3">
      <c r="A72" s="19" t="s">
        <v>67</v>
      </c>
      <c r="B72" s="19" t="s">
        <v>148</v>
      </c>
      <c r="C72" s="20" t="s">
        <v>109</v>
      </c>
      <c r="D72" s="21" t="s">
        <v>149</v>
      </c>
      <c r="E72" s="24" t="s">
        <v>150</v>
      </c>
      <c r="F72" s="23" t="e">
        <f>-SUMIFS([1]R18!G:G,[1]R18!A:A,C72&amp;"*",[1]R18!D:D,B72)</f>
        <v>#VALUE!</v>
      </c>
      <c r="G72" s="23" t="e">
        <f>-SUMIFS([1]B19!K:K,[1]B19!F:F,C72&amp;"*",[1]B19!B:B,B72)</f>
        <v>#VALUE!</v>
      </c>
    </row>
    <row r="73" spans="1:7" x14ac:dyDescent="0.3">
      <c r="A73" s="19" t="s">
        <v>67</v>
      </c>
      <c r="B73" s="19" t="s">
        <v>151</v>
      </c>
      <c r="C73" s="20" t="s">
        <v>109</v>
      </c>
      <c r="D73" s="21" t="s">
        <v>152</v>
      </c>
      <c r="E73" s="24" t="s">
        <v>153</v>
      </c>
      <c r="F73" s="23" t="e">
        <f>-SUMIFS([1]R18!G:G,[1]R18!A:A,C73&amp;"*",[1]R18!D:D,B73)</f>
        <v>#VALUE!</v>
      </c>
      <c r="G73" s="23" t="e">
        <f>-SUMIFS([1]B19!K:K,[1]B19!F:F,C73&amp;"*",[1]B19!B:B,B73)</f>
        <v>#VALUE!</v>
      </c>
    </row>
    <row r="74" spans="1:7" x14ac:dyDescent="0.3">
      <c r="A74" s="30" t="s">
        <v>67</v>
      </c>
      <c r="B74" s="30" t="s">
        <v>156</v>
      </c>
      <c r="C74" s="20" t="s">
        <v>109</v>
      </c>
      <c r="D74" s="30" t="s">
        <v>157</v>
      </c>
      <c r="E74" s="24" t="s">
        <v>157</v>
      </c>
      <c r="F74" s="23" t="e">
        <f>-SUMIFS([1]R18!G:G,[1]R18!A:A,C74&amp;"*",[1]R18!D:D,B74)</f>
        <v>#VALUE!</v>
      </c>
      <c r="G74" s="23" t="e">
        <f>-SUMIFS([1]B19!K:K,[1]B19!F:F,C74&amp;"*",[1]B19!B:B,B74)</f>
        <v>#VALUE!</v>
      </c>
    </row>
    <row r="75" spans="1:7" x14ac:dyDescent="0.3">
      <c r="A75" s="19" t="s">
        <v>67</v>
      </c>
      <c r="B75" s="19" t="s">
        <v>158</v>
      </c>
      <c r="C75" s="20" t="s">
        <v>109</v>
      </c>
      <c r="D75" s="21" t="s">
        <v>159</v>
      </c>
      <c r="E75" s="23" t="str">
        <f>D75</f>
        <v>Gezinscoach Kinderarmoede</v>
      </c>
      <c r="F75" s="23" t="e">
        <f>-SUMIFS([1]R18!G:G,[1]R18!A:A,C75&amp;"*",[1]R18!D:D,B75)</f>
        <v>#VALUE!</v>
      </c>
      <c r="G75" s="23" t="e">
        <f>-SUMIFS([1]B19!K:K,[1]B19!F:F,C75&amp;"*",[1]B19!B:B,B75)</f>
        <v>#VALUE!</v>
      </c>
    </row>
    <row r="76" spans="1:7" x14ac:dyDescent="0.3">
      <c r="A76" s="19" t="s">
        <v>67</v>
      </c>
      <c r="B76" s="19">
        <v>73814100</v>
      </c>
      <c r="C76" s="20" t="s">
        <v>109</v>
      </c>
      <c r="D76" s="21" t="s">
        <v>316</v>
      </c>
      <c r="E76" s="23" t="str">
        <f>D76</f>
        <v>Steenhouwer Alternatief Stad</v>
      </c>
      <c r="F76" s="23" t="e">
        <f>-SUMIFS([1]R18!G:G,[1]R18!A:A,C76&amp;"*",[1]R18!D:D,B76)</f>
        <v>#VALUE!</v>
      </c>
      <c r="G76" s="23" t="e">
        <f>-SUMIFS([1]B19!K:K,[1]B19!F:F,C76&amp;"*",[1]B19!B:B,B76)</f>
        <v>#VALUE!</v>
      </c>
    </row>
    <row r="77" spans="1:7" x14ac:dyDescent="0.3">
      <c r="A77" s="19" t="s">
        <v>67</v>
      </c>
      <c r="B77" s="19">
        <v>73814300</v>
      </c>
      <c r="C77" s="20" t="s">
        <v>109</v>
      </c>
      <c r="D77" s="21" t="s">
        <v>317</v>
      </c>
      <c r="E77" s="23" t="str">
        <f>D77</f>
        <v>BBB Stad</v>
      </c>
      <c r="F77" s="23" t="e">
        <f>-SUMIFS([1]R18!G:G,[1]R18!A:A,C77&amp;"*",[1]R18!D:D,B77)</f>
        <v>#VALUE!</v>
      </c>
      <c r="G77" s="23" t="e">
        <f>-SUMIFS([1]B19!K:K,[1]B19!F:F,C77&amp;"*",[1]B19!B:B,B77)</f>
        <v>#VALUE!</v>
      </c>
    </row>
    <row r="78" spans="1:7" x14ac:dyDescent="0.3">
      <c r="A78" s="19" t="s">
        <v>67</v>
      </c>
      <c r="B78" s="19">
        <v>73813200</v>
      </c>
      <c r="C78" s="20" t="s">
        <v>109</v>
      </c>
      <c r="D78" s="21" t="s">
        <v>318</v>
      </c>
      <c r="E78" s="23" t="str">
        <f>D78</f>
        <v>Gezondheid in de Wijk</v>
      </c>
      <c r="F78" s="23" t="e">
        <f>-SUMIFS([1]R18!G:G,[1]R18!A:A,C78&amp;"*",[1]R18!D:D,B78)</f>
        <v>#VALUE!</v>
      </c>
      <c r="G78" s="23" t="e">
        <f>-SUMIFS([1]B19!K:K,[1]B19!F:F,C78&amp;"*",[1]B19!B:B,B78)</f>
        <v>#VALUE!</v>
      </c>
    </row>
    <row r="79" spans="1:7" x14ac:dyDescent="0.3">
      <c r="A79" s="19" t="s">
        <v>67</v>
      </c>
      <c r="B79" s="19" t="s">
        <v>160</v>
      </c>
      <c r="C79" s="20" t="s">
        <v>109</v>
      </c>
      <c r="D79" s="21" t="s">
        <v>161</v>
      </c>
      <c r="E79" s="23" t="s">
        <v>113</v>
      </c>
      <c r="F79" s="23" t="e">
        <f>-SUMIFS([1]R18!G:G,[1]R18!A:A,C79&amp;"*",[1]R18!D:D,B79)</f>
        <v>#VALUE!</v>
      </c>
      <c r="G79" s="23" t="e">
        <f>-SUMIFS([1]B19!K:K,[1]B19!F:F,C79&amp;"*",[1]B19!B:B,B79)</f>
        <v>#VALUE!</v>
      </c>
    </row>
    <row r="80" spans="1:7" x14ac:dyDescent="0.3">
      <c r="A80" s="19" t="s">
        <v>67</v>
      </c>
      <c r="B80" s="20" t="s">
        <v>162</v>
      </c>
      <c r="C80" s="20" t="s">
        <v>109</v>
      </c>
      <c r="D80" s="21" t="s">
        <v>163</v>
      </c>
      <c r="E80" s="24" t="s">
        <v>113</v>
      </c>
      <c r="F80" s="23" t="e">
        <f>-SUMIFS([1]R18!G:G,[1]R18!A:A,C80&amp;"*",[1]R18!D:D,B80)</f>
        <v>#VALUE!</v>
      </c>
      <c r="G80" s="23" t="e">
        <f>-SUMIFS([1]B19!K:K,[1]B19!F:F,C80&amp;"*",[1]B19!B:B,B80)</f>
        <v>#VALUE!</v>
      </c>
    </row>
    <row r="81" spans="1:9" hidden="1" x14ac:dyDescent="0.3">
      <c r="A81" s="39" t="s">
        <v>168</v>
      </c>
      <c r="B81" s="39">
        <v>732</v>
      </c>
      <c r="C81" s="39" t="s">
        <v>109</v>
      </c>
      <c r="D81" s="40"/>
      <c r="E81" s="41"/>
      <c r="F81" s="38" t="e">
        <f>SUM(F54:F80)</f>
        <v>#VALUE!</v>
      </c>
      <c r="G81" s="38" t="e">
        <f>SUM(G54:G80)</f>
        <v>#VALUE!</v>
      </c>
      <c r="H81" s="35" t="e">
        <f>SUMIF([1]R18!A:A,C81&amp;"*",[1]R18!G:G)-SUMIFS([1]R18!G:G,[1]R18!A:A,C81&amp;"*",[1]R18!D:D,"&gt;="&amp;(B81*100000),[1]R18!D:D,"&lt;="&amp;(B81*100000+99999))+F81-SUMIFS([1]R18!G:G,[1]R18!A:A,C81&amp;"*",[1]R18!D:D,73300000)</f>
        <v>#VALUE!</v>
      </c>
      <c r="I81" s="35" t="e">
        <f>SUMIF([1]B19!F:F,C81&amp;"*",[1]B19!K:K)-SUMIFS([1]B19!K:K,[1]B19!F:F,C81&amp;"*",[1]B19!B:B,"&gt;="&amp;(B81*100000),[1]B19!B:B,"&lt;="&amp;(B81*100000+99999))+G81-SUMIFS([1]B19!K:K,[1]B19!F:F,C81&amp;"*",[1]B19!B:B,73300000)</f>
        <v>#VALUE!</v>
      </c>
    </row>
    <row r="82" spans="1:9" x14ac:dyDescent="0.3">
      <c r="A82" s="19" t="s">
        <v>93</v>
      </c>
      <c r="B82" s="19" t="s">
        <v>169</v>
      </c>
      <c r="C82" s="20" t="s">
        <v>170</v>
      </c>
      <c r="D82" s="29" t="s">
        <v>171</v>
      </c>
      <c r="E82" s="24" t="s">
        <v>172</v>
      </c>
      <c r="F82" s="23" t="e">
        <f>-SUMIFS([1]R18!G:G,[1]R18!A:A,C82&amp;"*",[1]R18!D:D,B82)</f>
        <v>#VALUE!</v>
      </c>
      <c r="G82" s="23" t="e">
        <f>-SUMIFS([1]B19!K:K,[1]B19!F:F,C82&amp;"*",[1]B19!B:B,B82)</f>
        <v>#VALUE!</v>
      </c>
    </row>
    <row r="83" spans="1:9" x14ac:dyDescent="0.3">
      <c r="A83" s="18" t="s">
        <v>12</v>
      </c>
      <c r="B83" s="18" t="s">
        <v>20</v>
      </c>
      <c r="C83" s="20" t="s">
        <v>170</v>
      </c>
      <c r="D83" s="25" t="s">
        <v>21</v>
      </c>
      <c r="E83" s="24" t="s">
        <v>22</v>
      </c>
      <c r="F83" s="23" t="e">
        <f>-SUMIFS([1]R18!G:G,[1]R18!A:A,C83&amp;"*",[1]R18!D:D,B83)</f>
        <v>#VALUE!</v>
      </c>
      <c r="G83" s="23" t="e">
        <f>-SUMIFS([1]B19!K:K,[1]B19!F:F,C83&amp;"*",[1]B19!B:B,B83)</f>
        <v>#VALUE!</v>
      </c>
    </row>
    <row r="84" spans="1:9" x14ac:dyDescent="0.3">
      <c r="A84" s="26" t="s">
        <v>12</v>
      </c>
      <c r="B84" s="19">
        <v>73600200</v>
      </c>
      <c r="C84" s="20" t="s">
        <v>170</v>
      </c>
      <c r="D84" s="21" t="s">
        <v>309</v>
      </c>
      <c r="E84" s="24" t="s">
        <v>309</v>
      </c>
      <c r="F84" s="23" t="e">
        <f>-SUMIFS([1]R18!G:G,[1]R18!A:A,C84&amp;"*",[1]R18!D:D,B84)</f>
        <v>#VALUE!</v>
      </c>
      <c r="G84" s="23" t="e">
        <f>-SUMIFS([1]B19!K:K,[1]B19!F:F,C84&amp;"*",[1]B19!B:B,B84)</f>
        <v>#VALUE!</v>
      </c>
    </row>
    <row r="85" spans="1:9" x14ac:dyDescent="0.3">
      <c r="A85" s="19" t="s">
        <v>32</v>
      </c>
      <c r="B85" s="26">
        <v>73610200</v>
      </c>
      <c r="C85" s="20" t="s">
        <v>170</v>
      </c>
      <c r="D85" s="25" t="s">
        <v>309</v>
      </c>
      <c r="E85" s="24" t="s">
        <v>309</v>
      </c>
      <c r="F85" s="23" t="e">
        <f>-SUMIFS([1]R18!G:G,[1]R18!A:A,C85&amp;"*",[1]R18!D:D,B85)</f>
        <v>#VALUE!</v>
      </c>
      <c r="G85" s="23" t="e">
        <f>-SUMIFS([1]B19!K:K,[1]B19!F:F,C85&amp;"*",[1]B19!B:B,B85)</f>
        <v>#VALUE!</v>
      </c>
    </row>
    <row r="86" spans="1:9" x14ac:dyDescent="0.3">
      <c r="A86" s="19" t="s">
        <v>93</v>
      </c>
      <c r="B86" s="19" t="s">
        <v>184</v>
      </c>
      <c r="C86" s="30" t="s">
        <v>170</v>
      </c>
      <c r="D86" s="29" t="s">
        <v>185</v>
      </c>
      <c r="E86" s="24" t="s">
        <v>186</v>
      </c>
      <c r="F86" s="23" t="e">
        <f>-SUMIFS([1]R18!G:G,[1]R18!A:A,C86&amp;"*",[1]R18!D:D,B86)</f>
        <v>#VALUE!</v>
      </c>
      <c r="G86" s="23" t="e">
        <f>-SUMIFS([1]B19!K:K,[1]B19!F:F,C86&amp;"*",[1]B19!B:B,B86)</f>
        <v>#VALUE!</v>
      </c>
    </row>
    <row r="87" spans="1:9" x14ac:dyDescent="0.3">
      <c r="A87" s="19" t="s">
        <v>93</v>
      </c>
      <c r="B87" s="19" t="s">
        <v>176</v>
      </c>
      <c r="C87" s="20" t="s">
        <v>170</v>
      </c>
      <c r="D87" s="21" t="s">
        <v>177</v>
      </c>
      <c r="E87" s="24" t="s">
        <v>178</v>
      </c>
      <c r="F87" s="23" t="e">
        <f>-SUMIFS([1]R18!G:G,[1]R18!A:A,C87&amp;"*",[1]R18!D:D,B87)</f>
        <v>#VALUE!</v>
      </c>
      <c r="G87" s="23" t="e">
        <f>-SUMIFS([1]B19!K:K,[1]B19!F:F,C87&amp;"*",[1]B19!B:B,B87)</f>
        <v>#VALUE!</v>
      </c>
    </row>
    <row r="88" spans="1:9" x14ac:dyDescent="0.3">
      <c r="A88" s="19" t="s">
        <v>93</v>
      </c>
      <c r="B88" s="19" t="s">
        <v>179</v>
      </c>
      <c r="C88" s="20" t="s">
        <v>170</v>
      </c>
      <c r="D88" s="21" t="s">
        <v>180</v>
      </c>
      <c r="E88" s="24" t="s">
        <v>181</v>
      </c>
      <c r="F88" s="23" t="e">
        <f>-SUMIFS([1]R18!G:G,[1]R18!A:A,C88&amp;"*",[1]R18!D:D,B88)</f>
        <v>#VALUE!</v>
      </c>
      <c r="G88" s="23" t="e">
        <f>-SUMIFS([1]B19!K:K,[1]B19!F:F,C88&amp;"*",[1]B19!B:B,B88)</f>
        <v>#VALUE!</v>
      </c>
    </row>
    <row r="89" spans="1:9" hidden="1" x14ac:dyDescent="0.3">
      <c r="A89" s="33" t="s">
        <v>182</v>
      </c>
      <c r="B89" s="33">
        <v>732</v>
      </c>
      <c r="C89" s="20" t="s">
        <v>170</v>
      </c>
      <c r="D89" s="42"/>
      <c r="E89" s="37"/>
      <c r="F89" s="38" t="e">
        <f>SUM(F82:F88)</f>
        <v>#VALUE!</v>
      </c>
      <c r="G89" s="38" t="e">
        <f>SUM(G82:G88)</f>
        <v>#VALUE!</v>
      </c>
      <c r="H89" s="35" t="e">
        <f>SUMIF([1]R18!A:A,C89&amp;"*",[1]R18!G:G)-SUMIFS([1]R18!G:G,[1]R18!A:A,C89&amp;"*",[1]R18!D:D,"&gt;="&amp;(B89*100000),[1]R18!D:D,"&lt;="&amp;(B89*100000+99999))+F89-SUMIFS([1]R18!G:G,[1]R18!A:A,C89&amp;"*",[1]R18!D:D,73300000)</f>
        <v>#VALUE!</v>
      </c>
      <c r="I89" s="35" t="e">
        <f>SUMIF([1]B19!F:F,C89&amp;"*",[1]B19!K:K)-SUMIFS([1]B19!K:K,[1]B19!F:F,C89&amp;"*",[1]B19!B:B,"&gt;="&amp;(B89*100000),[1]B19!B:B,"&lt;="&amp;(B89*100000+99999))+G89-SUMIFS([1]B19!K:K,[1]B19!F:F,C89&amp;"*",[1]B19!B:B,73300000)</f>
        <v>#VALUE!</v>
      </c>
    </row>
    <row r="90" spans="1:9" x14ac:dyDescent="0.3">
      <c r="A90" s="19" t="s">
        <v>93</v>
      </c>
      <c r="B90" s="19" t="s">
        <v>187</v>
      </c>
      <c r="C90" s="20" t="s">
        <v>170</v>
      </c>
      <c r="D90" s="29" t="s">
        <v>188</v>
      </c>
      <c r="E90" s="24" t="s">
        <v>189</v>
      </c>
      <c r="F90" s="23" t="e">
        <f>-SUMIFS([1]R18!G:G,[1]R18!A:A,C90&amp;"*",[1]R18!D:D,B90)</f>
        <v>#VALUE!</v>
      </c>
      <c r="G90" s="23" t="e">
        <f>-SUMIFS([1]B19!K:K,[1]B19!F:F,C90&amp;"*",[1]B19!B:B,B90)</f>
        <v>#VALUE!</v>
      </c>
    </row>
    <row r="91" spans="1:9" x14ac:dyDescent="0.3">
      <c r="A91" s="19" t="s">
        <v>93</v>
      </c>
      <c r="B91" s="19" t="s">
        <v>193</v>
      </c>
      <c r="C91" s="20" t="s">
        <v>170</v>
      </c>
      <c r="D91" s="21" t="s">
        <v>194</v>
      </c>
      <c r="E91" s="24" t="s">
        <v>195</v>
      </c>
      <c r="F91" s="23" t="e">
        <f>-SUMIFS([1]R18!G:G,[1]R18!A:A,C91&amp;"*",[1]R18!D:D,B91)</f>
        <v>#VALUE!</v>
      </c>
      <c r="G91" s="23" t="e">
        <f>-SUMIFS([1]B19!K:K,[1]B19!F:F,C91&amp;"*",[1]B19!B:B,B91)</f>
        <v>#VALUE!</v>
      </c>
    </row>
    <row r="92" spans="1:9" x14ac:dyDescent="0.3">
      <c r="A92" s="19" t="s">
        <v>93</v>
      </c>
      <c r="B92" s="19" t="s">
        <v>94</v>
      </c>
      <c r="C92" s="20" t="s">
        <v>170</v>
      </c>
      <c r="D92" s="21" t="s">
        <v>95</v>
      </c>
      <c r="E92" s="28"/>
      <c r="F92" s="23" t="e">
        <f>-SUMIFS([1]R18!G:G,[1]R18!A:A,C92&amp;"*",[1]R18!D:D,B92)</f>
        <v>#VALUE!</v>
      </c>
      <c r="G92" s="23" t="e">
        <f>-SUMIFS([1]B19!K:K,[1]B19!F:F,C92&amp;"*",[1]B19!B:B,B92)</f>
        <v>#VALUE!</v>
      </c>
    </row>
    <row r="93" spans="1:9" x14ac:dyDescent="0.3">
      <c r="A93" s="19" t="s">
        <v>93</v>
      </c>
      <c r="B93" s="19">
        <v>73800300</v>
      </c>
      <c r="C93" s="20" t="s">
        <v>170</v>
      </c>
      <c r="D93" s="21" t="s">
        <v>319</v>
      </c>
      <c r="E93" s="24" t="s">
        <v>319</v>
      </c>
      <c r="F93" s="23" t="e">
        <f>-SUMIFS([1]R18!G:G,[1]R18!A:A,C93&amp;"*",[1]R18!D:D,B93)</f>
        <v>#VALUE!</v>
      </c>
      <c r="G93" s="23" t="e">
        <f>-SUMIFS([1]B19!K:K,[1]B19!F:F,C93&amp;"*",[1]B19!B:B,B93)</f>
        <v>#VALUE!</v>
      </c>
    </row>
    <row r="94" spans="1:9" x14ac:dyDescent="0.3">
      <c r="A94" s="19" t="s">
        <v>93</v>
      </c>
      <c r="B94" s="19">
        <v>73810200</v>
      </c>
      <c r="C94" s="20" t="s">
        <v>170</v>
      </c>
      <c r="D94" s="21" t="s">
        <v>319</v>
      </c>
      <c r="E94" s="24" t="s">
        <v>319</v>
      </c>
      <c r="F94" s="23" t="e">
        <f>-SUMIFS([1]R18!G:G,[1]R18!A:A,C94&amp;"*",[1]R18!D:D,B94)</f>
        <v>#VALUE!</v>
      </c>
      <c r="G94" s="23" t="e">
        <f>-SUMIFS([1]B19!K:K,[1]B19!F:F,C94&amp;"*",[1]B19!B:B,B94)</f>
        <v>#VALUE!</v>
      </c>
    </row>
    <row r="95" spans="1:9" x14ac:dyDescent="0.3">
      <c r="A95" s="19" t="s">
        <v>93</v>
      </c>
      <c r="B95" s="19" t="s">
        <v>94</v>
      </c>
      <c r="C95" s="30" t="s">
        <v>183</v>
      </c>
      <c r="D95" s="21" t="s">
        <v>95</v>
      </c>
      <c r="E95" s="24" t="s">
        <v>199</v>
      </c>
      <c r="F95" s="23" t="e">
        <f>-SUMIFS([1]R18!G:G,[1]R18!A:A,C95&amp;"*",[1]R18!D:D,B95)</f>
        <v>#VALUE!</v>
      </c>
      <c r="G95" s="23" t="e">
        <f>-SUMIFS([1]B19!K:K,[1]B19!F:F,C95&amp;"*",[1]B19!B:B,B95)</f>
        <v>#VALUE!</v>
      </c>
    </row>
    <row r="96" spans="1:9" hidden="1" x14ac:dyDescent="0.3">
      <c r="A96" s="32" t="s">
        <v>203</v>
      </c>
      <c r="B96" s="33">
        <v>732</v>
      </c>
      <c r="C96" s="33" t="s">
        <v>183</v>
      </c>
      <c r="D96" s="42"/>
      <c r="E96" s="43"/>
      <c r="F96" s="38" t="e">
        <f>SUM(F90:F95)</f>
        <v>#VALUE!</v>
      </c>
      <c r="G96" s="38" t="e">
        <f>SUM(G90:G95)</f>
        <v>#VALUE!</v>
      </c>
      <c r="H96" s="35" t="e">
        <f>SUMIF([1]R18!A:A,C96&amp;"*",[1]R18!G:G)-SUMIFS([1]R18!G:G,[1]R18!A:A,C96&amp;"*",[1]R18!D:D,"&gt;="&amp;(B96*100000),[1]R18!D:D,"&lt;="&amp;(B96*100000+99999))+F96-SUMIFS([1]R18!G:G,[1]R18!A:A,C96&amp;"*",[1]R18!D:D,73300000)</f>
        <v>#VALUE!</v>
      </c>
      <c r="I96" s="35" t="e">
        <f>SUMIF([1]B19!F:F,C96&amp;"*",[1]B19!K:K)-SUMIFS([1]B19!K:K,[1]B19!F:F,C96&amp;"*",[1]B19!B:B,"&gt;="&amp;(B96*100000),[1]B19!B:B,"&lt;="&amp;(B96*100000+99999))+G96-SUMIFS([1]B19!K:K,[1]B19!F:F,C96&amp;"*",[1]B19!B:B,73300000)</f>
        <v>#VALUE!</v>
      </c>
    </row>
    <row r="97" spans="1:10" x14ac:dyDescent="0.3">
      <c r="A97" s="32" t="s">
        <v>204</v>
      </c>
      <c r="B97" s="33"/>
      <c r="C97" s="33"/>
      <c r="D97" s="42"/>
      <c r="E97" s="43"/>
      <c r="F97" s="38" t="e">
        <f>F96+F89+F81</f>
        <v>#VALUE!</v>
      </c>
      <c r="G97" s="38" t="e">
        <f>G96+G89+G81</f>
        <v>#VALUE!</v>
      </c>
      <c r="H97" s="38" t="e">
        <f>H96+H89+H81</f>
        <v>#VALUE!</v>
      </c>
      <c r="I97" s="38" t="e">
        <f>I96+I89+I81</f>
        <v>#VALUE!</v>
      </c>
      <c r="J97" s="47"/>
    </row>
    <row r="98" spans="1:10" x14ac:dyDescent="0.3">
      <c r="A98" s="19" t="s">
        <v>208</v>
      </c>
      <c r="B98" s="19" t="s">
        <v>209</v>
      </c>
      <c r="C98" s="20" t="s">
        <v>205</v>
      </c>
      <c r="D98" s="29" t="s">
        <v>210</v>
      </c>
      <c r="E98" s="28" t="s">
        <v>211</v>
      </c>
      <c r="F98" s="23" t="e">
        <f>-SUMIFS([1]R18!G:G,[1]R18!A:A,C98&amp;"*",[1]R18!D:D,B98)</f>
        <v>#VALUE!</v>
      </c>
      <c r="G98" s="23" t="e">
        <f>-SUMIFS([1]B19!K:K,[1]B19!F:F,C98&amp;"*",[1]B19!B:B,B98)</f>
        <v>#VALUE!</v>
      </c>
    </row>
    <row r="99" spans="1:10" x14ac:dyDescent="0.3">
      <c r="A99" s="19" t="s">
        <v>208</v>
      </c>
      <c r="B99" s="19">
        <v>73720100</v>
      </c>
      <c r="C99" s="20" t="s">
        <v>205</v>
      </c>
      <c r="D99" s="29" t="s">
        <v>211</v>
      </c>
      <c r="E99" s="28" t="s">
        <v>211</v>
      </c>
      <c r="F99" s="23" t="e">
        <f>-SUMIFS([1]R18!G:G,[1]R18!A:A,C99&amp;"*",[1]R18!D:D,B99)</f>
        <v>#VALUE!</v>
      </c>
      <c r="G99" s="23" t="e">
        <f>-SUMIFS([1]B19!K:K,[1]B19!F:F,C99&amp;"*",[1]B19!B:B,B99)</f>
        <v>#VALUE!</v>
      </c>
    </row>
    <row r="100" spans="1:10" x14ac:dyDescent="0.3">
      <c r="A100" s="19" t="s">
        <v>208</v>
      </c>
      <c r="B100" s="19">
        <v>73720300</v>
      </c>
      <c r="C100" s="20" t="s">
        <v>205</v>
      </c>
      <c r="D100" s="29" t="s">
        <v>320</v>
      </c>
      <c r="E100" s="28" t="s">
        <v>320</v>
      </c>
      <c r="F100" s="23" t="e">
        <f>-SUMIFS([1]R18!G:G,[1]R18!A:A,C100&amp;"*",[1]R18!D:D,B100)</f>
        <v>#VALUE!</v>
      </c>
      <c r="G100" s="23" t="e">
        <f>-SUMIFS([1]B19!K:K,[1]B19!F:F,C100&amp;"*",[1]B19!B:B,B100)</f>
        <v>#VALUE!</v>
      </c>
    </row>
    <row r="101" spans="1:10" x14ac:dyDescent="0.3">
      <c r="A101" s="19" t="s">
        <v>208</v>
      </c>
      <c r="B101" s="19" t="s">
        <v>212</v>
      </c>
      <c r="C101" s="20" t="s">
        <v>205</v>
      </c>
      <c r="D101" s="29" t="s">
        <v>213</v>
      </c>
      <c r="E101" s="28" t="s">
        <v>214</v>
      </c>
      <c r="F101" s="23" t="e">
        <f>-SUMIFS([1]R18!G:G,[1]R18!A:A,C101&amp;"*",[1]R18!D:D,B101)</f>
        <v>#VALUE!</v>
      </c>
      <c r="G101" s="23" t="e">
        <f>-SUMIFS([1]B19!K:K,[1]B19!F:F,C101&amp;"*",[1]B19!B:B,B101)</f>
        <v>#VALUE!</v>
      </c>
    </row>
    <row r="102" spans="1:10" x14ac:dyDescent="0.3">
      <c r="A102" s="32" t="s">
        <v>215</v>
      </c>
      <c r="B102" s="33">
        <v>732</v>
      </c>
      <c r="C102" s="33" t="s">
        <v>205</v>
      </c>
      <c r="D102" s="36"/>
      <c r="E102" s="37"/>
      <c r="F102" s="38" t="e">
        <f>SUM(F98:F101)</f>
        <v>#VALUE!</v>
      </c>
      <c r="G102" s="38" t="e">
        <f>SUM(G98:G101)</f>
        <v>#VALUE!</v>
      </c>
      <c r="H102" s="35" t="e">
        <f>SUMIF([1]R18!A:A,C102&amp;"*",[1]R18!G:G)-SUMIFS([1]R18!G:G,[1]R18!A:A,C102&amp;"*",[1]R18!D:D,"&gt;="&amp;(B102*100000),[1]R18!D:D,"&lt;="&amp;(B102*100000+99999))+F102-SUMIFS([1]R18!G:G,[1]R18!A:A,C102&amp;"*",[1]R18!D:D,73300000)</f>
        <v>#VALUE!</v>
      </c>
      <c r="I102" s="35" t="e">
        <f>SUMIF([1]B19!F:F,C102&amp;"*",[1]B19!K:K)-SUMIFS([1]B19!K:K,[1]B19!F:F,C102&amp;"*",[1]B19!B:B,"&gt;="&amp;(B102*100000),[1]B19!B:B,"&lt;="&amp;(B102*100000+99999))+G102-SUMIFS([1]B19!K:K,[1]B19!F:F,C102&amp;"*",[1]B19!B:B,73300000)</f>
        <v>#VALUE!</v>
      </c>
    </row>
    <row r="103" spans="1:10" x14ac:dyDescent="0.3">
      <c r="A103" s="19" t="s">
        <v>216</v>
      </c>
      <c r="B103" s="19" t="s">
        <v>217</v>
      </c>
      <c r="C103" s="20" t="s">
        <v>218</v>
      </c>
      <c r="D103" s="29" t="s">
        <v>219</v>
      </c>
      <c r="E103" s="24" t="s">
        <v>220</v>
      </c>
      <c r="F103" s="23" t="e">
        <f>-SUMIFS([1]R18!G:G,[1]R18!A:A,C103&amp;"*",[1]R18!D:D,B103)</f>
        <v>#VALUE!</v>
      </c>
      <c r="G103" s="23" t="e">
        <f>-SUMIFS([1]B19!K:K,[1]B19!F:F,C103&amp;"*",[1]B19!B:B,B103)</f>
        <v>#VALUE!</v>
      </c>
    </row>
    <row r="104" spans="1:10" x14ac:dyDescent="0.3">
      <c r="A104" s="19" t="s">
        <v>216</v>
      </c>
      <c r="B104" s="19" t="s">
        <v>221</v>
      </c>
      <c r="C104" s="20" t="s">
        <v>218</v>
      </c>
      <c r="D104" s="29" t="s">
        <v>222</v>
      </c>
      <c r="E104" s="24" t="s">
        <v>220</v>
      </c>
      <c r="F104" s="23" t="e">
        <f>-SUMIFS([1]R18!G:G,[1]R18!A:A,C104&amp;"*",[1]R18!D:D,B104)</f>
        <v>#VALUE!</v>
      </c>
      <c r="G104" s="23" t="e">
        <f>-SUMIFS([1]B19!K:K,[1]B19!F:F,C104&amp;"*",[1]B19!B:B,B104)</f>
        <v>#VALUE!</v>
      </c>
    </row>
    <row r="105" spans="1:10" x14ac:dyDescent="0.3">
      <c r="A105" s="19" t="s">
        <v>216</v>
      </c>
      <c r="B105" s="19" t="s">
        <v>223</v>
      </c>
      <c r="C105" s="20" t="s">
        <v>218</v>
      </c>
      <c r="D105" s="29" t="s">
        <v>224</v>
      </c>
      <c r="E105" s="24" t="s">
        <v>220</v>
      </c>
      <c r="F105" s="23" t="e">
        <f>-SUMIFS([1]R18!G:G,[1]R18!A:A,C105&amp;"*",[1]R18!D:D,B105)</f>
        <v>#VALUE!</v>
      </c>
      <c r="G105" s="23" t="e">
        <f>-SUMIFS([1]B19!K:K,[1]B19!F:F,C105&amp;"*",[1]B19!B:B,B105)</f>
        <v>#VALUE!</v>
      </c>
    </row>
    <row r="106" spans="1:10" x14ac:dyDescent="0.3">
      <c r="A106" s="20" t="s">
        <v>216</v>
      </c>
      <c r="B106" s="20" t="s">
        <v>225</v>
      </c>
      <c r="C106" s="20" t="s">
        <v>218</v>
      </c>
      <c r="D106" s="21" t="s">
        <v>226</v>
      </c>
      <c r="E106" s="24" t="s">
        <v>227</v>
      </c>
      <c r="F106" s="23" t="e">
        <f>-SUMIFS([1]R18!G:G,[1]R18!A:A,C106&amp;"*",[1]R18!D:D,B106)</f>
        <v>#VALUE!</v>
      </c>
      <c r="G106" s="23" t="e">
        <f>-SUMIFS([1]B19!K:K,[1]B19!F:F,C106&amp;"*",[1]B19!B:B,B106)</f>
        <v>#VALUE!</v>
      </c>
    </row>
    <row r="107" spans="1:10" x14ac:dyDescent="0.3">
      <c r="A107" s="20" t="s">
        <v>216</v>
      </c>
      <c r="B107" s="20" t="s">
        <v>228</v>
      </c>
      <c r="C107" s="20" t="s">
        <v>218</v>
      </c>
      <c r="D107" s="21" t="s">
        <v>229</v>
      </c>
      <c r="E107" s="24" t="s">
        <v>230</v>
      </c>
      <c r="F107" s="23" t="e">
        <f>-SUMIFS([1]R18!G:G,[1]R18!A:A,C107&amp;"*",[1]R18!D:D,B107)</f>
        <v>#VALUE!</v>
      </c>
      <c r="G107" s="23" t="e">
        <f>-SUMIFS([1]B19!K:K,[1]B19!F:F,C107&amp;"*",[1]B19!B:B,B107)</f>
        <v>#VALUE!</v>
      </c>
    </row>
    <row r="108" spans="1:10" x14ac:dyDescent="0.3">
      <c r="A108" s="20" t="s">
        <v>58</v>
      </c>
      <c r="B108" s="20" t="s">
        <v>59</v>
      </c>
      <c r="C108" s="26" t="s">
        <v>218</v>
      </c>
      <c r="D108" s="30" t="s">
        <v>58</v>
      </c>
      <c r="E108" s="24" t="s">
        <v>227</v>
      </c>
      <c r="F108" s="23" t="e">
        <f>-SUMIFS([1]R18!G:G,[1]R18!A:A,C108&amp;"*",[1]R18!D:D,B108)</f>
        <v>#VALUE!</v>
      </c>
      <c r="G108" s="23" t="e">
        <f>-SUMIFS([1]B19!K:K,[1]B19!F:F,C108&amp;"*",[1]B19!B:B,B108)</f>
        <v>#VALUE!</v>
      </c>
    </row>
    <row r="109" spans="1:10" x14ac:dyDescent="0.3">
      <c r="A109" s="33" t="s">
        <v>231</v>
      </c>
      <c r="B109" s="33">
        <v>732</v>
      </c>
      <c r="C109" s="33" t="s">
        <v>218</v>
      </c>
      <c r="D109" s="44"/>
      <c r="E109" s="37"/>
      <c r="F109" s="38" t="e">
        <f>SUM(F103:F108)</f>
        <v>#VALUE!</v>
      </c>
      <c r="G109" s="38" t="e">
        <f>SUM(G103:G108)</f>
        <v>#VALUE!</v>
      </c>
      <c r="H109" s="35" t="e">
        <f>SUMIF([1]R18!A:A,C109&amp;"*",[1]R18!G:G)-SUMIFS([1]R18!G:G,[1]R18!A:A,C109&amp;"*",[1]R18!D:D,"&gt;="&amp;(B109*100000),[1]R18!D:D,"&lt;="&amp;(B109*100000+99999))+F109-SUMIFS([1]R18!G:G,[1]R18!A:A,C109&amp;"*",[1]R18!D:D,73300000)</f>
        <v>#VALUE!</v>
      </c>
      <c r="I109" s="35" t="e">
        <f>SUMIF([1]B19!F:F,C109&amp;"*",[1]B19!K:K)-SUMIFS([1]B19!K:K,[1]B19!F:F,C109&amp;"*",[1]B19!B:B,"&gt;="&amp;(B109*100000),[1]B19!B:B,"&lt;="&amp;(B109*100000+99999))+G109-SUMIFS([1]B19!K:K,[1]B19!F:F,C109&amp;"*",[1]B19!B:B,73300000)</f>
        <v>#VALUE!</v>
      </c>
    </row>
    <row r="110" spans="1:10" x14ac:dyDescent="0.3">
      <c r="A110" s="18" t="s">
        <v>12</v>
      </c>
      <c r="B110" s="19" t="s">
        <v>13</v>
      </c>
      <c r="C110" s="20" t="s">
        <v>232</v>
      </c>
      <c r="D110" s="21" t="s">
        <v>15</v>
      </c>
      <c r="E110" s="24" t="s">
        <v>233</v>
      </c>
      <c r="F110" s="23" t="e">
        <f>-SUMIFS([1]R18!G:G,[1]R18!A:A,C110&amp;"*",[1]R18!D:D,B110)</f>
        <v>#VALUE!</v>
      </c>
      <c r="G110" s="23" t="e">
        <f>-SUMIFS([1]B19!K:K,[1]B19!F:F,C110&amp;"*",[1]B19!B:B,B110)</f>
        <v>#VALUE!</v>
      </c>
    </row>
    <row r="111" spans="1:10" x14ac:dyDescent="0.3">
      <c r="A111" s="30" t="s">
        <v>48</v>
      </c>
      <c r="B111" s="30" t="s">
        <v>234</v>
      </c>
      <c r="C111" s="30" t="s">
        <v>232</v>
      </c>
      <c r="D111" s="30" t="s">
        <v>235</v>
      </c>
      <c r="E111" s="24" t="s">
        <v>233</v>
      </c>
      <c r="F111" s="23" t="e">
        <f>-SUMIFS([1]R18!G:G,[1]R18!A:A,C111&amp;"*",[1]R18!D:D,B111)</f>
        <v>#VALUE!</v>
      </c>
      <c r="G111" s="23" t="e">
        <f>-SUMIFS([1]B19!K:K,[1]B19!F:F,C111&amp;"*",[1]B19!B:B,B111)</f>
        <v>#VALUE!</v>
      </c>
    </row>
    <row r="112" spans="1:10" ht="26.4" x14ac:dyDescent="0.3">
      <c r="A112" s="30" t="s">
        <v>48</v>
      </c>
      <c r="B112" s="30">
        <v>73700600</v>
      </c>
      <c r="C112" s="30" t="s">
        <v>232</v>
      </c>
      <c r="D112" s="30" t="s">
        <v>321</v>
      </c>
      <c r="E112" s="24" t="s">
        <v>321</v>
      </c>
      <c r="F112" s="23" t="e">
        <f>-SUMIFS([1]R18!G:G,[1]R18!A:A,C112&amp;"*",[1]R18!D:D,B112)</f>
        <v>#VALUE!</v>
      </c>
      <c r="G112" s="23" t="e">
        <f>-SUMIFS([1]B19!K:K,[1]B19!F:F,C112&amp;"*",[1]B19!B:B,B112)</f>
        <v>#VALUE!</v>
      </c>
    </row>
    <row r="113" spans="1:9" x14ac:dyDescent="0.3">
      <c r="A113" s="30" t="s">
        <v>48</v>
      </c>
      <c r="B113" s="30">
        <v>73731000</v>
      </c>
      <c r="C113" s="30" t="s">
        <v>232</v>
      </c>
      <c r="D113" s="30" t="s">
        <v>322</v>
      </c>
      <c r="E113" s="24" t="s">
        <v>322</v>
      </c>
      <c r="F113" s="23" t="e">
        <f>-SUMIFS([1]R18!G:G,[1]R18!A:A,C113&amp;"*",[1]R18!D:D,B113)</f>
        <v>#VALUE!</v>
      </c>
      <c r="G113" s="23" t="e">
        <f>-SUMIFS([1]B19!K:K,[1]B19!F:F,C113&amp;"*",[1]B19!B:B,B113)</f>
        <v>#VALUE!</v>
      </c>
    </row>
    <row r="114" spans="1:9" x14ac:dyDescent="0.3">
      <c r="A114" s="30" t="s">
        <v>48</v>
      </c>
      <c r="B114" s="30">
        <v>73701200</v>
      </c>
      <c r="C114" s="30" t="s">
        <v>232</v>
      </c>
      <c r="D114" s="30" t="s">
        <v>323</v>
      </c>
      <c r="E114" s="24" t="s">
        <v>323</v>
      </c>
      <c r="F114" s="23" t="e">
        <f>-SUMIFS([1]R18!G:G,[1]R18!A:A,C114&amp;"*",[1]R18!D:D,B114)</f>
        <v>#VALUE!</v>
      </c>
      <c r="G114" s="23" t="e">
        <f>-SUMIFS([1]B19!K:K,[1]B19!F:F,C114&amp;"*",[1]B19!B:B,B114)</f>
        <v>#VALUE!</v>
      </c>
    </row>
    <row r="115" spans="1:9" x14ac:dyDescent="0.3">
      <c r="A115" s="30" t="s">
        <v>48</v>
      </c>
      <c r="B115" s="30">
        <v>73701300</v>
      </c>
      <c r="C115" s="30" t="s">
        <v>232</v>
      </c>
      <c r="D115" s="30" t="s">
        <v>324</v>
      </c>
      <c r="E115" s="24" t="s">
        <v>324</v>
      </c>
      <c r="F115" s="23" t="e">
        <f>-SUMIFS([1]R18!G:G,[1]R18!A:A,C115&amp;"*",[1]R18!D:D,B115)</f>
        <v>#VALUE!</v>
      </c>
      <c r="G115" s="23" t="e">
        <f>-SUMIFS([1]B19!K:K,[1]B19!F:F,C115&amp;"*",[1]B19!B:B,B115)</f>
        <v>#VALUE!</v>
      </c>
    </row>
    <row r="116" spans="1:9" ht="26.4" x14ac:dyDescent="0.3">
      <c r="A116" s="30" t="s">
        <v>48</v>
      </c>
      <c r="B116" s="30">
        <v>73701500</v>
      </c>
      <c r="C116" s="30" t="s">
        <v>232</v>
      </c>
      <c r="D116" s="30" t="s">
        <v>325</v>
      </c>
      <c r="E116" s="24" t="s">
        <v>325</v>
      </c>
      <c r="F116" s="23" t="e">
        <f>-SUMIFS([1]R18!G:G,[1]R18!A:A,C116&amp;"*",[1]R18!D:D,B116)</f>
        <v>#VALUE!</v>
      </c>
      <c r="G116" s="23" t="e">
        <f>-SUMIFS([1]B19!K:K,[1]B19!F:F,C116&amp;"*",[1]B19!B:B,B116)</f>
        <v>#VALUE!</v>
      </c>
    </row>
    <row r="117" spans="1:9" x14ac:dyDescent="0.3">
      <c r="A117" s="30" t="s">
        <v>48</v>
      </c>
      <c r="B117" s="30">
        <v>73701400</v>
      </c>
      <c r="C117" s="30" t="s">
        <v>232</v>
      </c>
      <c r="D117" s="30" t="s">
        <v>326</v>
      </c>
      <c r="E117" s="24" t="s">
        <v>326</v>
      </c>
      <c r="F117" s="23" t="e">
        <f>-SUMIFS([1]R18!G:G,[1]R18!A:A,C117&amp;"*",[1]R18!D:D,B117)</f>
        <v>#VALUE!</v>
      </c>
      <c r="G117" s="23" t="e">
        <f>-SUMIFS([1]B19!K:K,[1]B19!F:F,C117&amp;"*",[1]B19!B:B,B117)</f>
        <v>#VALUE!</v>
      </c>
    </row>
    <row r="118" spans="1:9" x14ac:dyDescent="0.3">
      <c r="A118" s="30" t="s">
        <v>48</v>
      </c>
      <c r="B118" s="30" t="s">
        <v>236</v>
      </c>
      <c r="C118" s="30" t="s">
        <v>232</v>
      </c>
      <c r="D118" s="30" t="s">
        <v>237</v>
      </c>
      <c r="E118" s="24" t="s">
        <v>238</v>
      </c>
      <c r="F118" s="23" t="e">
        <f>-SUMIFS([1]R18!G:G,[1]R18!A:A,C118&amp;"*",[1]R18!D:D,B118)</f>
        <v>#VALUE!</v>
      </c>
      <c r="G118" s="23" t="e">
        <f>-SUMIFS([1]B19!K:K,[1]B19!F:F,C118&amp;"*",[1]B19!B:B,B118)</f>
        <v>#VALUE!</v>
      </c>
    </row>
    <row r="119" spans="1:9" x14ac:dyDescent="0.3">
      <c r="A119" s="30" t="s">
        <v>48</v>
      </c>
      <c r="B119" s="30" t="s">
        <v>242</v>
      </c>
      <c r="C119" s="30" t="s">
        <v>232</v>
      </c>
      <c r="D119" s="30" t="s">
        <v>243</v>
      </c>
      <c r="E119" s="24" t="s">
        <v>244</v>
      </c>
      <c r="F119" s="23" t="e">
        <f>-SUMIFS([1]R18!G:G,[1]R18!A:A,C119&amp;"*",[1]R18!D:D,B119)</f>
        <v>#VALUE!</v>
      </c>
      <c r="G119" s="23" t="e">
        <f>-SUMIFS([1]B19!K:K,[1]B19!F:F,C119&amp;"*",[1]B19!B:B,B119)</f>
        <v>#VALUE!</v>
      </c>
    </row>
    <row r="120" spans="1:9" x14ac:dyDescent="0.3">
      <c r="A120" s="30" t="s">
        <v>48</v>
      </c>
      <c r="B120" s="30" t="s">
        <v>245</v>
      </c>
      <c r="C120" s="30" t="s">
        <v>232</v>
      </c>
      <c r="D120" s="30" t="s">
        <v>246</v>
      </c>
      <c r="E120" s="24" t="s">
        <v>247</v>
      </c>
      <c r="F120" s="23" t="e">
        <f>-SUMIFS([1]R18!G:G,[1]R18!A:A,C120&amp;"*",[1]R18!D:D,B120)</f>
        <v>#VALUE!</v>
      </c>
      <c r="G120" s="23" t="e">
        <f>-SUMIFS([1]B19!K:K,[1]B19!F:F,C120&amp;"*",[1]B19!B:B,B120)</f>
        <v>#VALUE!</v>
      </c>
    </row>
    <row r="121" spans="1:9" x14ac:dyDescent="0.3">
      <c r="A121" s="32" t="s">
        <v>251</v>
      </c>
      <c r="B121" s="33">
        <v>732</v>
      </c>
      <c r="C121" s="33" t="s">
        <v>232</v>
      </c>
      <c r="D121" s="42"/>
      <c r="E121" s="43"/>
      <c r="F121" s="38" t="e">
        <f>SUM(F110:F120)</f>
        <v>#VALUE!</v>
      </c>
      <c r="G121" s="38" t="e">
        <f>SUM(G110:G120)</f>
        <v>#VALUE!</v>
      </c>
      <c r="H121" s="35" t="e">
        <f>SUMIF([1]R18!A:A,C121&amp;"*",[1]R18!G:G)-SUMIFS([1]R18!G:G,[1]R18!A:A,C121&amp;"*",[1]R18!D:D,"&gt;="&amp;(B121*100000),[1]R18!D:D,"&lt;="&amp;(B121*100000+99999))+F121-SUMIFS([1]R18!G:G,[1]R18!A:A,C121&amp;"*",[1]R18!D:D,73300000)</f>
        <v>#VALUE!</v>
      </c>
      <c r="I121" s="35" t="e">
        <f>SUMIF([1]B19!F:F,C121&amp;"*",[1]B19!K:K)-SUMIFS([1]B19!K:K,[1]B19!F:F,C121&amp;"*",[1]B19!B:B,"&gt;="&amp;(B121*100000),[1]B19!B:B,"&lt;="&amp;(B121*100000+99999))+G121-SUMIFS([1]B19!K:K,[1]B19!F:F,C121&amp;"*",[1]B19!B:B,73300000)</f>
        <v>#VALUE!</v>
      </c>
    </row>
    <row r="122" spans="1:9" x14ac:dyDescent="0.3">
      <c r="A122" s="30" t="s">
        <v>48</v>
      </c>
      <c r="B122" s="30" t="s">
        <v>253</v>
      </c>
      <c r="C122" s="30" t="s">
        <v>252</v>
      </c>
      <c r="D122" s="30" t="s">
        <v>254</v>
      </c>
      <c r="E122" s="24" t="s">
        <v>255</v>
      </c>
      <c r="F122" s="23" t="e">
        <f>-SUMIFS([1]R18!G:G,[1]R18!A:A,C122&amp;"*",[1]R18!D:D,B122)</f>
        <v>#VALUE!</v>
      </c>
      <c r="G122" s="23" t="e">
        <f>-SUMIFS([1]B19!K:K,[1]B19!F:F,C122&amp;"*",[1]B19!B:B,B122)</f>
        <v>#VALUE!</v>
      </c>
    </row>
    <row r="123" spans="1:9" x14ac:dyDescent="0.3">
      <c r="A123" s="20" t="s">
        <v>256</v>
      </c>
      <c r="B123" s="20" t="s">
        <v>55</v>
      </c>
      <c r="C123" s="30" t="s">
        <v>252</v>
      </c>
      <c r="D123" s="21" t="s">
        <v>257</v>
      </c>
      <c r="E123" s="24"/>
      <c r="F123" s="23" t="e">
        <f>-SUMIFS([1]R18!G:G,[1]R18!A:A,C123&amp;"*",[1]R18!D:D,B123)</f>
        <v>#VALUE!</v>
      </c>
      <c r="G123" s="23" t="e">
        <f>-SUMIFS([1]B19!K:K,[1]B19!F:F,C123&amp;"*",[1]B19!B:B,B123)</f>
        <v>#VALUE!</v>
      </c>
    </row>
    <row r="124" spans="1:9" x14ac:dyDescent="0.3">
      <c r="A124" s="20" t="s">
        <v>258</v>
      </c>
      <c r="B124" s="20" t="s">
        <v>271</v>
      </c>
      <c r="C124" s="30" t="s">
        <v>252</v>
      </c>
      <c r="D124" s="21" t="s">
        <v>272</v>
      </c>
      <c r="E124" s="21" t="s">
        <v>272</v>
      </c>
      <c r="F124" s="23" t="e">
        <f>-SUMIFS([1]R18!G:G,[1]R18!A:A,C124&amp;"*",[1]R18!D:D,B124)</f>
        <v>#VALUE!</v>
      </c>
      <c r="G124" s="23" t="e">
        <f>-SUMIFS([1]B19!K:K,[1]B19!F:F,C124&amp;"*",[1]B19!B:B,B124)</f>
        <v>#VALUE!</v>
      </c>
    </row>
    <row r="125" spans="1:9" x14ac:dyDescent="0.3">
      <c r="A125" s="21" t="s">
        <v>278</v>
      </c>
      <c r="B125" s="20" t="s">
        <v>279</v>
      </c>
      <c r="C125" s="30" t="s">
        <v>252</v>
      </c>
      <c r="D125" s="21" t="s">
        <v>280</v>
      </c>
      <c r="E125" s="24" t="s">
        <v>281</v>
      </c>
      <c r="F125" s="23" t="e">
        <f>-SUMIFS([1]R18!G:G,[1]R18!A:A,C125&amp;"*",[1]R18!D:D,B125)</f>
        <v>#VALUE!</v>
      </c>
      <c r="G125" s="23" t="e">
        <f>-SUMIFS([1]B19!K:K,[1]B19!F:F,C125&amp;"*",[1]B19!B:B,B125)</f>
        <v>#VALUE!</v>
      </c>
    </row>
    <row r="126" spans="1:9" x14ac:dyDescent="0.3">
      <c r="A126" s="30" t="s">
        <v>282</v>
      </c>
      <c r="B126" s="30" t="s">
        <v>283</v>
      </c>
      <c r="C126" s="30" t="s">
        <v>252</v>
      </c>
      <c r="D126" s="30" t="s">
        <v>284</v>
      </c>
      <c r="E126" s="24" t="s">
        <v>284</v>
      </c>
      <c r="F126" s="23" t="e">
        <f>-SUMIFS([1]R18!G:G,[1]R18!A:A,C126&amp;"*",[1]R18!D:D,B126)</f>
        <v>#VALUE!</v>
      </c>
      <c r="G126" s="23" t="e">
        <f>-SUMIFS([1]B19!K:K,[1]B19!F:F,C126&amp;"*",[1]B19!B:B,B126)</f>
        <v>#VALUE!</v>
      </c>
    </row>
    <row r="127" spans="1:9" x14ac:dyDescent="0.3">
      <c r="A127" s="30" t="s">
        <v>285</v>
      </c>
      <c r="B127" s="30" t="s">
        <v>286</v>
      </c>
      <c r="C127" s="30" t="s">
        <v>252</v>
      </c>
      <c r="D127" s="30" t="s">
        <v>287</v>
      </c>
      <c r="E127" s="24" t="s">
        <v>287</v>
      </c>
      <c r="F127" s="23" t="e">
        <f>-SUMIFS([1]R18!G:G,[1]R18!A:A,C127&amp;"*",[1]R18!D:D,B127)</f>
        <v>#VALUE!</v>
      </c>
      <c r="G127" s="23" t="e">
        <f>-SUMIFS([1]B19!K:K,[1]B19!F:F,C127&amp;"*",[1]B19!B:B,B127)</f>
        <v>#VALUE!</v>
      </c>
    </row>
    <row r="128" spans="1:9" x14ac:dyDescent="0.3">
      <c r="A128" s="19" t="s">
        <v>67</v>
      </c>
      <c r="B128" s="20">
        <v>73814000</v>
      </c>
      <c r="C128" s="30" t="s">
        <v>252</v>
      </c>
      <c r="D128" s="21" t="s">
        <v>327</v>
      </c>
      <c r="E128" s="24" t="s">
        <v>327</v>
      </c>
      <c r="F128" s="23" t="e">
        <f>-SUMIFS([1]R18!G:G,[1]R18!A:A,C128&amp;"*",[1]R18!D:D,B128)</f>
        <v>#VALUE!</v>
      </c>
      <c r="G128" s="23" t="e">
        <f>-SUMIFS([1]B19!K:K,[1]B19!F:F,C128&amp;"*",[1]B19!B:B,B128)</f>
        <v>#VALUE!</v>
      </c>
    </row>
    <row r="129" spans="1:9" x14ac:dyDescent="0.3">
      <c r="A129" s="30" t="s">
        <v>328</v>
      </c>
      <c r="B129" s="30">
        <v>73840800</v>
      </c>
      <c r="C129" s="30" t="s">
        <v>252</v>
      </c>
      <c r="D129" s="30" t="s">
        <v>327</v>
      </c>
      <c r="E129" s="24" t="str">
        <f>D129</f>
        <v>Jongerenproject Schoten</v>
      </c>
      <c r="F129" s="23" t="e">
        <f>-SUMIFS([1]R18!G:G,[1]R18!A:A,C129&amp;"*",[1]R18!D:D,B129)</f>
        <v>#VALUE!</v>
      </c>
      <c r="G129" s="23" t="e">
        <f>-SUMIFS([1]B19!K:K,[1]B19!F:F,C129&amp;"*",[1]B19!B:B,B129)</f>
        <v>#VALUE!</v>
      </c>
    </row>
    <row r="130" spans="1:9" x14ac:dyDescent="0.3">
      <c r="A130" s="33" t="s">
        <v>290</v>
      </c>
      <c r="B130" s="33">
        <v>732</v>
      </c>
      <c r="C130" s="33" t="s">
        <v>252</v>
      </c>
      <c r="D130" s="42"/>
      <c r="E130" s="43"/>
      <c r="F130" s="38" t="e">
        <f>SUM(F122:F129)</f>
        <v>#VALUE!</v>
      </c>
      <c r="G130" s="38" t="e">
        <f>SUM(G122:G129)</f>
        <v>#VALUE!</v>
      </c>
      <c r="H130" s="35" t="e">
        <f>SUMIF([1]R18!A:A,C130&amp;"*",[1]R18!G:G)-SUMIFS([1]R18!G:G,[1]R18!A:A,C130&amp;"*",[1]R18!D:D,"&gt;="&amp;(B130*100000),[1]R18!D:D,"&lt;="&amp;(B130*100000+99999))+F130-SUMIFS([1]R18!G:G,[1]R18!A:A,C130&amp;"*",[1]R18!D:D,73300000)</f>
        <v>#VALUE!</v>
      </c>
      <c r="I130" s="35" t="e">
        <f>SUMIF([1]B19!F:F,C130&amp;"*",[1]B19!K:K)-SUMIFS([1]B19!K:K,[1]B19!F:F,C130&amp;"*",[1]B19!B:B,"&gt;="&amp;(B130*100000),[1]B19!B:B,"&lt;="&amp;(B130*100000+99999))+G130-SUMIFS([1]B19!K:K,[1]B19!F:F,C130&amp;"*",[1]B19!B:B,73300000)</f>
        <v>#VALUE!</v>
      </c>
    </row>
    <row r="131" spans="1:9" x14ac:dyDescent="0.3">
      <c r="A131" s="18" t="s">
        <v>12</v>
      </c>
      <c r="B131" s="18" t="s">
        <v>13</v>
      </c>
      <c r="C131" s="26" t="s">
        <v>291</v>
      </c>
      <c r="D131" s="25" t="s">
        <v>15</v>
      </c>
      <c r="E131" s="22" t="s">
        <v>292</v>
      </c>
      <c r="F131" s="23" t="e">
        <f>-SUMIFS([1]R18!G:G,[1]R18!A:A,C131&amp;"*",[1]R18!D:D,B131)</f>
        <v>#VALUE!</v>
      </c>
      <c r="G131" s="23" t="e">
        <f>-SUMIFS([1]B19!K:K,[1]B19!F:F,C131&amp;"*",[1]B19!B:B,B131)</f>
        <v>#VALUE!</v>
      </c>
    </row>
    <row r="132" spans="1:9" x14ac:dyDescent="0.3">
      <c r="A132" s="26" t="s">
        <v>12</v>
      </c>
      <c r="B132" s="26" t="s">
        <v>26</v>
      </c>
      <c r="C132" s="26" t="s">
        <v>291</v>
      </c>
      <c r="D132" s="25" t="s">
        <v>27</v>
      </c>
      <c r="E132" s="24" t="s">
        <v>28</v>
      </c>
      <c r="F132" s="23" t="e">
        <f>-SUMIFS([1]R18!G:G,[1]R18!A:A,C132&amp;"*",[1]R18!D:D,B132)</f>
        <v>#VALUE!</v>
      </c>
      <c r="G132" s="23" t="e">
        <f>-SUMIFS([1]B19!K:K,[1]B19!F:F,C132&amp;"*",[1]B19!B:B,B132)</f>
        <v>#VALUE!</v>
      </c>
    </row>
    <row r="133" spans="1:9" x14ac:dyDescent="0.3">
      <c r="A133" s="20" t="s">
        <v>41</v>
      </c>
      <c r="B133" s="26" t="s">
        <v>42</v>
      </c>
      <c r="C133" s="26" t="s">
        <v>291</v>
      </c>
      <c r="D133" s="25" t="s">
        <v>27</v>
      </c>
      <c r="E133" s="24" t="s">
        <v>28</v>
      </c>
      <c r="F133" s="23" t="e">
        <f>-SUMIFS([1]R18!G:G,[1]R18!A:A,C133&amp;"*",[1]R18!D:D,B133)</f>
        <v>#VALUE!</v>
      </c>
      <c r="G133" s="23" t="e">
        <f>-SUMIFS([1]B19!K:K,[1]B19!F:F,C133&amp;"*",[1]B19!B:B,B133)</f>
        <v>#VALUE!</v>
      </c>
    </row>
    <row r="134" spans="1:9" x14ac:dyDescent="0.3">
      <c r="A134" s="31" t="s">
        <v>293</v>
      </c>
      <c r="B134" s="31" t="s">
        <v>294</v>
      </c>
      <c r="C134" s="26" t="s">
        <v>291</v>
      </c>
      <c r="D134" s="31" t="s">
        <v>69</v>
      </c>
      <c r="E134" s="24" t="s">
        <v>292</v>
      </c>
      <c r="F134" s="23" t="e">
        <f>-SUMIFS([1]R18!G:G,[1]R18!A:A,C134&amp;"*",[1]R18!D:D,B134)</f>
        <v>#VALUE!</v>
      </c>
      <c r="G134" s="23" t="e">
        <f>-SUMIFS([1]B19!K:K,[1]B19!F:F,C134&amp;"*",[1]B19!B:B,B134)</f>
        <v>#VALUE!</v>
      </c>
    </row>
    <row r="135" spans="1:9" x14ac:dyDescent="0.3">
      <c r="A135" s="31"/>
      <c r="B135" s="30" t="s">
        <v>295</v>
      </c>
      <c r="C135" s="26" t="s">
        <v>291</v>
      </c>
      <c r="D135" s="30" t="s">
        <v>296</v>
      </c>
      <c r="E135" s="24" t="s">
        <v>292</v>
      </c>
      <c r="F135" s="23" t="e">
        <f>-SUMIFS([1]R18!G:G,[1]R18!A:A,C135&amp;"*",[1]R18!D:D,B135)</f>
        <v>#VALUE!</v>
      </c>
      <c r="G135" s="23" t="e">
        <f>-SUMIFS([1]B19!K:K,[1]B19!F:F,C135&amp;"*",[1]B19!B:B,B135)</f>
        <v>#VALUE!</v>
      </c>
    </row>
    <row r="136" spans="1:9" x14ac:dyDescent="0.3">
      <c r="A136" s="31"/>
      <c r="B136" s="30" t="s">
        <v>297</v>
      </c>
      <c r="C136" s="26" t="s">
        <v>291</v>
      </c>
      <c r="D136" s="30" t="s">
        <v>298</v>
      </c>
      <c r="E136" s="24" t="s">
        <v>292</v>
      </c>
      <c r="F136" s="23" t="e">
        <f>-SUMIFS([1]R18!G:G,[1]R18!A:A,C136&amp;"*",[1]R18!D:D,B136)</f>
        <v>#VALUE!</v>
      </c>
      <c r="G136" s="23" t="e">
        <f>-SUMIFS([1]B19!K:K,[1]B19!F:F,C136&amp;"*",[1]B19!B:B,B136)</f>
        <v>#VALUE!</v>
      </c>
    </row>
    <row r="137" spans="1:9" x14ac:dyDescent="0.3">
      <c r="A137" s="31"/>
      <c r="B137" s="31" t="s">
        <v>61</v>
      </c>
      <c r="C137" s="26" t="s">
        <v>291</v>
      </c>
      <c r="D137" s="30" t="s">
        <v>62</v>
      </c>
      <c r="E137" s="24" t="s">
        <v>292</v>
      </c>
      <c r="F137" s="23" t="e">
        <f>-SUMIFS([1]R18!G:G,[1]R18!A:A,C137&amp;"*",[1]R18!D:D,B137)</f>
        <v>#VALUE!</v>
      </c>
      <c r="G137" s="23" t="e">
        <f>-SUMIFS([1]B19!K:K,[1]B19!F:F,C137&amp;"*",[1]B19!B:B,B137)</f>
        <v>#VALUE!</v>
      </c>
    </row>
    <row r="138" spans="1:9" x14ac:dyDescent="0.3">
      <c r="A138" s="20" t="s">
        <v>58</v>
      </c>
      <c r="B138" s="20" t="s">
        <v>59</v>
      </c>
      <c r="C138" s="26" t="s">
        <v>291</v>
      </c>
      <c r="D138" s="30" t="s">
        <v>58</v>
      </c>
      <c r="E138" s="24" t="s">
        <v>292</v>
      </c>
      <c r="F138" s="23" t="e">
        <f>-SUMIFS([1]R18!G:G,[1]R18!A:A,C138&amp;"*",[1]R18!D:D,B138)</f>
        <v>#VALUE!</v>
      </c>
      <c r="G138" s="23" t="e">
        <f>-SUMIFS([1]B19!K:K,[1]B19!F:F,C138&amp;"*",[1]B19!B:B,B138)</f>
        <v>#VALUE!</v>
      </c>
    </row>
    <row r="139" spans="1:9" x14ac:dyDescent="0.3">
      <c r="A139" s="31" t="s">
        <v>70</v>
      </c>
      <c r="B139" s="31" t="s">
        <v>71</v>
      </c>
      <c r="C139" s="26" t="s">
        <v>291</v>
      </c>
      <c r="D139" s="31" t="s">
        <v>72</v>
      </c>
      <c r="E139" s="24" t="s">
        <v>292</v>
      </c>
      <c r="F139" s="23" t="e">
        <f>-SUMIFS([1]R18!G:G,[1]R18!A:A,C139&amp;"*",[1]R18!D:D,B139)</f>
        <v>#VALUE!</v>
      </c>
      <c r="G139" s="23" t="e">
        <f>-SUMIFS([1]B19!K:K,[1]B19!F:F,C139&amp;"*",[1]B19!B:B,B139)</f>
        <v>#VALUE!</v>
      </c>
    </row>
    <row r="140" spans="1:9" x14ac:dyDescent="0.3">
      <c r="A140" s="45" t="s">
        <v>299</v>
      </c>
      <c r="B140" s="33">
        <v>732</v>
      </c>
      <c r="C140" s="33" t="s">
        <v>291</v>
      </c>
      <c r="D140" s="46"/>
      <c r="E140" s="43"/>
      <c r="F140" s="38" t="e">
        <f>SUM(F131:F139)</f>
        <v>#VALUE!</v>
      </c>
      <c r="G140" s="38" t="e">
        <f>SUM(G131:G139)</f>
        <v>#VALUE!</v>
      </c>
      <c r="H140" s="35" t="e">
        <f>SUMIF([1]R18!A:A,C140&amp;"*",[1]R18!G:G)-SUMIFS([1]R18!G:G,[1]R18!A:A,C140&amp;"*",[1]R18!D:D,"&gt;="&amp;(B140*100000),[1]R18!D:D,"&lt;="&amp;(B140*100000+99999))+F140-SUMIFS([1]R18!G:G,[1]R18!A:A,C140&amp;"*",[1]R18!D:D,73300000)</f>
        <v>#VALUE!</v>
      </c>
      <c r="I140" s="35" t="e">
        <f>SUMIF([1]B19!F:F,C140&amp;"*",[1]B19!K:K)-SUMIFS([1]B19!K:K,[1]B19!F:F,C140&amp;"*",[1]B19!B:B,"&gt;="&amp;(B140*100000),[1]B19!B:B,"&lt;="&amp;(B140*100000+99999))+G140-SUMIFS([1]B19!K:K,[1]B19!F:F,C140&amp;"*",[1]B19!B:B,73300000)</f>
        <v>#VALUE!</v>
      </c>
    </row>
  </sheetData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8"/>
  <sheetViews>
    <sheetView workbookViewId="0"/>
  </sheetViews>
  <sheetFormatPr defaultRowHeight="14.4" x14ac:dyDescent="0.3"/>
  <cols>
    <col min="1" max="1" width="27.44140625" customWidth="1"/>
    <col min="2" max="2" width="45.5546875" customWidth="1"/>
    <col min="3" max="3" width="32.6640625" customWidth="1"/>
    <col min="4" max="4" width="22.6640625" customWidth="1"/>
    <col min="5" max="5" width="8.88671875" customWidth="1"/>
  </cols>
  <sheetData>
    <row r="1" spans="1:4" ht="17.399999999999999" x14ac:dyDescent="0.3">
      <c r="A1" s="80" t="s">
        <v>392</v>
      </c>
    </row>
    <row r="2" spans="1:4" ht="17.399999999999999" x14ac:dyDescent="0.3">
      <c r="A2" s="80"/>
    </row>
    <row r="3" spans="1:4" ht="23.25" customHeight="1" x14ac:dyDescent="0.3">
      <c r="A3" s="1017" t="s">
        <v>1181</v>
      </c>
      <c r="B3" s="1017"/>
    </row>
    <row r="4" spans="1:4" ht="15" thickBot="1" x14ac:dyDescent="0.35"/>
    <row r="5" spans="1:4" ht="15" thickBot="1" x14ac:dyDescent="0.35">
      <c r="A5" s="50">
        <v>73</v>
      </c>
      <c r="B5" s="1012" t="s">
        <v>331</v>
      </c>
      <c r="C5" s="1012"/>
      <c r="D5" s="82">
        <f>SUM(D6:D8)+D9</f>
        <v>7046137.0399999982</v>
      </c>
    </row>
    <row r="6" spans="1:4" x14ac:dyDescent="0.3">
      <c r="A6" s="52" t="s">
        <v>332</v>
      </c>
      <c r="B6" s="1013" t="s">
        <v>333</v>
      </c>
      <c r="C6" s="1013"/>
      <c r="D6" s="53">
        <v>0</v>
      </c>
    </row>
    <row r="7" spans="1:4" x14ac:dyDescent="0.3">
      <c r="A7" s="52" t="s">
        <v>334</v>
      </c>
      <c r="B7" s="1014" t="s">
        <v>335</v>
      </c>
      <c r="C7" s="1014"/>
      <c r="D7" s="53">
        <f>5785.52+6070</f>
        <v>11855.52</v>
      </c>
    </row>
    <row r="8" spans="1:4" ht="15" thickBot="1" x14ac:dyDescent="0.35">
      <c r="A8" s="54" t="s">
        <v>336</v>
      </c>
      <c r="B8" s="1015" t="s">
        <v>337</v>
      </c>
      <c r="C8" s="1015"/>
      <c r="D8" s="55">
        <v>0</v>
      </c>
    </row>
    <row r="9" spans="1:4" ht="39.75" customHeight="1" thickBot="1" x14ac:dyDescent="0.35">
      <c r="A9" s="7" t="s">
        <v>10</v>
      </c>
      <c r="B9" s="1016" t="s">
        <v>11</v>
      </c>
      <c r="C9" s="1016"/>
      <c r="D9" s="83">
        <f>SUM(D11:D48)</f>
        <v>7034281.5199999986</v>
      </c>
    </row>
    <row r="10" spans="1:4" ht="15" thickBot="1" x14ac:dyDescent="0.35">
      <c r="A10" s="62" t="s">
        <v>5</v>
      </c>
      <c r="B10" s="63" t="s">
        <v>6</v>
      </c>
      <c r="C10" s="62" t="s">
        <v>344</v>
      </c>
      <c r="D10" s="64" t="s">
        <v>345</v>
      </c>
    </row>
    <row r="11" spans="1:4" x14ac:dyDescent="0.3">
      <c r="A11" s="66" t="s">
        <v>1182</v>
      </c>
      <c r="B11" s="27" t="s">
        <v>1183</v>
      </c>
      <c r="C11" s="65" t="s">
        <v>1184</v>
      </c>
      <c r="D11" s="70">
        <v>205574.92</v>
      </c>
    </row>
    <row r="12" spans="1:4" x14ac:dyDescent="0.3">
      <c r="A12" s="66" t="s">
        <v>1185</v>
      </c>
      <c r="B12" s="27" t="s">
        <v>1183</v>
      </c>
      <c r="C12" s="65" t="s">
        <v>1184</v>
      </c>
      <c r="D12" s="70">
        <v>16606.68</v>
      </c>
    </row>
    <row r="13" spans="1:4" x14ac:dyDescent="0.3">
      <c r="A13" s="66" t="s">
        <v>1186</v>
      </c>
      <c r="B13" s="27" t="s">
        <v>1187</v>
      </c>
      <c r="C13" s="65" t="s">
        <v>1184</v>
      </c>
      <c r="D13" s="70">
        <f>55632.63-191.96-191.96-191.96-191.96</f>
        <v>54864.79</v>
      </c>
    </row>
    <row r="14" spans="1:4" x14ac:dyDescent="0.3">
      <c r="A14" s="131" t="s">
        <v>1186</v>
      </c>
      <c r="B14" s="25" t="s">
        <v>1188</v>
      </c>
      <c r="C14" s="91" t="s">
        <v>1189</v>
      </c>
      <c r="D14" s="70">
        <f>191.96*4</f>
        <v>767.84</v>
      </c>
    </row>
    <row r="15" spans="1:4" x14ac:dyDescent="0.3">
      <c r="A15" s="66" t="s">
        <v>1190</v>
      </c>
      <c r="B15" s="27" t="s">
        <v>1191</v>
      </c>
      <c r="C15" s="65" t="s">
        <v>1184</v>
      </c>
      <c r="D15" s="70">
        <v>2197.84</v>
      </c>
    </row>
    <row r="16" spans="1:4" x14ac:dyDescent="0.3">
      <c r="A16" s="66" t="s">
        <v>1192</v>
      </c>
      <c r="B16" s="27" t="s">
        <v>1193</v>
      </c>
      <c r="C16" s="65" t="s">
        <v>1184</v>
      </c>
      <c r="D16" s="70">
        <v>5253542.25</v>
      </c>
    </row>
    <row r="17" spans="1:4" x14ac:dyDescent="0.3">
      <c r="A17" s="131" t="s">
        <v>1192</v>
      </c>
      <c r="B17" s="25" t="s">
        <v>1194</v>
      </c>
      <c r="C17" s="91" t="s">
        <v>1195</v>
      </c>
      <c r="D17" s="70">
        <v>58804.26</v>
      </c>
    </row>
    <row r="18" spans="1:4" x14ac:dyDescent="0.3">
      <c r="A18" s="476" t="s">
        <v>1192</v>
      </c>
      <c r="B18" s="30" t="s">
        <v>1196</v>
      </c>
      <c r="C18" s="65" t="s">
        <v>1184</v>
      </c>
      <c r="D18" s="403">
        <v>10725.47</v>
      </c>
    </row>
    <row r="19" spans="1:4" x14ac:dyDescent="0.3">
      <c r="A19" s="476" t="s">
        <v>1192</v>
      </c>
      <c r="B19" s="30" t="s">
        <v>1197</v>
      </c>
      <c r="C19" s="399" t="s">
        <v>1189</v>
      </c>
      <c r="D19" s="403">
        <v>2308.7199999999998</v>
      </c>
    </row>
    <row r="20" spans="1:4" x14ac:dyDescent="0.3">
      <c r="A20" s="66" t="s">
        <v>1192</v>
      </c>
      <c r="B20" s="27" t="s">
        <v>1198</v>
      </c>
      <c r="C20" s="65" t="s">
        <v>1189</v>
      </c>
      <c r="D20" s="70">
        <v>318941.58</v>
      </c>
    </row>
    <row r="21" spans="1:4" x14ac:dyDescent="0.3">
      <c r="A21" s="131" t="s">
        <v>1192</v>
      </c>
      <c r="B21" s="25" t="s">
        <v>1199</v>
      </c>
      <c r="C21" s="65" t="s">
        <v>1200</v>
      </c>
      <c r="D21" s="70">
        <v>96829.25</v>
      </c>
    </row>
    <row r="22" spans="1:4" x14ac:dyDescent="0.3">
      <c r="A22" s="131" t="s">
        <v>1192</v>
      </c>
      <c r="B22" s="25" t="s">
        <v>1201</v>
      </c>
      <c r="C22" s="65" t="s">
        <v>1184</v>
      </c>
      <c r="D22" s="70">
        <v>15800</v>
      </c>
    </row>
    <row r="23" spans="1:4" x14ac:dyDescent="0.3">
      <c r="A23" s="131" t="s">
        <v>1192</v>
      </c>
      <c r="B23" s="25" t="s">
        <v>1202</v>
      </c>
      <c r="C23" s="91" t="s">
        <v>1203</v>
      </c>
      <c r="D23" s="70">
        <v>22222.84</v>
      </c>
    </row>
    <row r="24" spans="1:4" x14ac:dyDescent="0.3">
      <c r="A24" s="131" t="s">
        <v>1192</v>
      </c>
      <c r="B24" s="25" t="s">
        <v>1204</v>
      </c>
      <c r="C24" s="91" t="s">
        <v>1205</v>
      </c>
      <c r="D24" s="70">
        <v>22222.84</v>
      </c>
    </row>
    <row r="25" spans="1:4" x14ac:dyDescent="0.3">
      <c r="A25" s="131" t="s">
        <v>1192</v>
      </c>
      <c r="B25" s="25" t="s">
        <v>1206</v>
      </c>
      <c r="C25" s="91" t="s">
        <v>1207</v>
      </c>
      <c r="D25" s="70">
        <v>11111.42</v>
      </c>
    </row>
    <row r="26" spans="1:4" x14ac:dyDescent="0.3">
      <c r="A26" s="66" t="s">
        <v>1208</v>
      </c>
      <c r="B26" s="27" t="s">
        <v>1209</v>
      </c>
      <c r="C26" s="65" t="s">
        <v>1205</v>
      </c>
      <c r="D26" s="70">
        <f>23611.34+22222.16+15277.83+37500-37499.99</f>
        <v>61111.340000000004</v>
      </c>
    </row>
    <row r="27" spans="1:4" x14ac:dyDescent="0.3">
      <c r="A27" s="66" t="s">
        <v>1208</v>
      </c>
      <c r="B27" s="24" t="s">
        <v>1210</v>
      </c>
      <c r="C27" s="477" t="s">
        <v>1210</v>
      </c>
      <c r="D27" s="70">
        <f>24576+11100</f>
        <v>35676</v>
      </c>
    </row>
    <row r="28" spans="1:4" x14ac:dyDescent="0.3">
      <c r="A28" s="66" t="s">
        <v>1211</v>
      </c>
      <c r="B28" s="27" t="s">
        <v>1212</v>
      </c>
      <c r="C28" s="65" t="s">
        <v>1213</v>
      </c>
      <c r="D28" s="70">
        <f>15754-6301.5+4726.25+1575.25+9453</f>
        <v>25207</v>
      </c>
    </row>
    <row r="29" spans="1:4" x14ac:dyDescent="0.3">
      <c r="A29" s="131" t="s">
        <v>1214</v>
      </c>
      <c r="B29" s="25" t="s">
        <v>1215</v>
      </c>
      <c r="C29" s="91" t="s">
        <v>1184</v>
      </c>
      <c r="D29" s="70">
        <v>2000</v>
      </c>
    </row>
    <row r="30" spans="1:4" x14ac:dyDescent="0.3">
      <c r="A30" s="131" t="s">
        <v>1208</v>
      </c>
      <c r="B30" s="25" t="s">
        <v>1216</v>
      </c>
      <c r="C30" s="65" t="s">
        <v>1184</v>
      </c>
      <c r="D30" s="70">
        <v>2022.33</v>
      </c>
    </row>
    <row r="31" spans="1:4" x14ac:dyDescent="0.3">
      <c r="A31" s="131" t="s">
        <v>1192</v>
      </c>
      <c r="B31" s="25" t="s">
        <v>1217</v>
      </c>
      <c r="C31" s="91" t="s">
        <v>1184</v>
      </c>
      <c r="D31" s="70">
        <f>1500+750+1500</f>
        <v>3750</v>
      </c>
    </row>
    <row r="32" spans="1:4" x14ac:dyDescent="0.3">
      <c r="A32" s="131" t="s">
        <v>1218</v>
      </c>
      <c r="B32" s="25" t="s">
        <v>1219</v>
      </c>
      <c r="C32" s="65" t="s">
        <v>1219</v>
      </c>
      <c r="D32" s="70">
        <f>4465.66+5183.01+5655.26+6004.18+7889.54+5519.07+2840.16</f>
        <v>37556.880000000005</v>
      </c>
    </row>
    <row r="33" spans="1:4" x14ac:dyDescent="0.3">
      <c r="A33" s="131" t="s">
        <v>1220</v>
      </c>
      <c r="B33" s="25" t="s">
        <v>1221</v>
      </c>
      <c r="C33" s="91" t="s">
        <v>1221</v>
      </c>
      <c r="D33" s="70">
        <f>9800+12855+10595+1328.75+12855-1328.75</f>
        <v>46105</v>
      </c>
    </row>
    <row r="34" spans="1:4" x14ac:dyDescent="0.3">
      <c r="A34" s="66" t="s">
        <v>1220</v>
      </c>
      <c r="B34" s="27" t="s">
        <v>1222</v>
      </c>
      <c r="C34" s="65" t="s">
        <v>1222</v>
      </c>
      <c r="D34" s="70">
        <v>14000</v>
      </c>
    </row>
    <row r="35" spans="1:4" x14ac:dyDescent="0.3">
      <c r="A35" s="66" t="s">
        <v>1223</v>
      </c>
      <c r="B35" s="27" t="s">
        <v>1224</v>
      </c>
      <c r="C35" s="65" t="s">
        <v>1184</v>
      </c>
      <c r="D35" s="70">
        <v>2500</v>
      </c>
    </row>
    <row r="36" spans="1:4" x14ac:dyDescent="0.3">
      <c r="A36" s="66" t="s">
        <v>1225</v>
      </c>
      <c r="B36" s="27" t="s">
        <v>1226</v>
      </c>
      <c r="C36" s="91" t="s">
        <v>1184</v>
      </c>
      <c r="D36" s="70">
        <f>1953.25+1953.25+1953.25+1890.25</f>
        <v>7750</v>
      </c>
    </row>
    <row r="37" spans="1:4" x14ac:dyDescent="0.3">
      <c r="A37" s="66" t="s">
        <v>1225</v>
      </c>
      <c r="B37" s="27" t="s">
        <v>1213</v>
      </c>
      <c r="C37" s="65" t="s">
        <v>1213</v>
      </c>
      <c r="D37" s="70">
        <f>17859.25+17859.25+17859.25+17859.25</f>
        <v>71437</v>
      </c>
    </row>
    <row r="38" spans="1:4" x14ac:dyDescent="0.3">
      <c r="A38" s="66" t="s">
        <v>1227</v>
      </c>
      <c r="B38" s="27" t="s">
        <v>1224</v>
      </c>
      <c r="C38" s="65" t="s">
        <v>1184</v>
      </c>
      <c r="D38" s="70">
        <v>100</v>
      </c>
    </row>
    <row r="39" spans="1:4" x14ac:dyDescent="0.3">
      <c r="A39" s="66" t="s">
        <v>1228</v>
      </c>
      <c r="B39" s="27" t="s">
        <v>1224</v>
      </c>
      <c r="C39" s="65" t="s">
        <v>1184</v>
      </c>
      <c r="D39" s="70">
        <f>17850-1856+17650+17650+17650+17650+17650+17650+17650+17650-7211+17650+17650+17650-120000+145+145+290+290+145+145-15000-1500</f>
        <v>67593</v>
      </c>
    </row>
    <row r="40" spans="1:4" x14ac:dyDescent="0.3">
      <c r="A40" s="66" t="s">
        <v>1228</v>
      </c>
      <c r="B40" s="27" t="s">
        <v>1229</v>
      </c>
      <c r="C40" s="65" t="s">
        <v>1230</v>
      </c>
      <c r="D40" s="70">
        <v>15000</v>
      </c>
    </row>
    <row r="41" spans="1:4" x14ac:dyDescent="0.3">
      <c r="A41" s="66" t="s">
        <v>1228</v>
      </c>
      <c r="B41" s="24" t="s">
        <v>1210</v>
      </c>
      <c r="C41" s="477" t="s">
        <v>1210</v>
      </c>
      <c r="D41" s="70">
        <v>120000</v>
      </c>
    </row>
    <row r="42" spans="1:4" x14ac:dyDescent="0.3">
      <c r="A42" s="66" t="s">
        <v>1231</v>
      </c>
      <c r="B42" s="27" t="s">
        <v>1224</v>
      </c>
      <c r="C42" s="65" t="s">
        <v>1184</v>
      </c>
      <c r="D42" s="70">
        <v>356784.01</v>
      </c>
    </row>
    <row r="43" spans="1:4" x14ac:dyDescent="0.3">
      <c r="A43" s="131" t="s">
        <v>1232</v>
      </c>
      <c r="B43" s="27" t="s">
        <v>1233</v>
      </c>
      <c r="C43" s="65" t="s">
        <v>1234</v>
      </c>
      <c r="D43" s="70">
        <f>12195-6775+1355+6775+12195-6775+1355+6775</f>
        <v>27100</v>
      </c>
    </row>
    <row r="44" spans="1:4" x14ac:dyDescent="0.3">
      <c r="A44" s="476" t="s">
        <v>1235</v>
      </c>
      <c r="B44" s="31" t="s">
        <v>1224</v>
      </c>
      <c r="C44" s="72" t="s">
        <v>1184</v>
      </c>
      <c r="D44" s="403">
        <v>3809</v>
      </c>
    </row>
    <row r="45" spans="1:4" x14ac:dyDescent="0.3">
      <c r="A45" s="478" t="s">
        <v>1192</v>
      </c>
      <c r="B45" s="30" t="s">
        <v>1236</v>
      </c>
      <c r="C45" s="479" t="s">
        <v>1184</v>
      </c>
      <c r="D45" s="403">
        <v>965.26</v>
      </c>
    </row>
    <row r="46" spans="1:4" x14ac:dyDescent="0.3">
      <c r="A46" s="478" t="s">
        <v>1237</v>
      </c>
      <c r="B46" s="30" t="s">
        <v>1238</v>
      </c>
      <c r="C46" s="479" t="s">
        <v>1184</v>
      </c>
      <c r="D46" s="403">
        <v>375</v>
      </c>
    </row>
    <row r="47" spans="1:4" x14ac:dyDescent="0.3">
      <c r="A47" s="476" t="s">
        <v>1239</v>
      </c>
      <c r="B47" s="31" t="s">
        <v>1229</v>
      </c>
      <c r="C47" s="65" t="s">
        <v>1230</v>
      </c>
      <c r="D47" s="403">
        <f>2062+3549+4046+2646+2877+200+1778+200+1995+1638+14665+1806+200-614-1050+2804+2317+1376+4424-6000</f>
        <v>40919</v>
      </c>
    </row>
    <row r="48" spans="1:4" ht="15" thickBot="1" x14ac:dyDescent="0.35">
      <c r="A48" s="480"/>
      <c r="B48" s="75"/>
      <c r="C48" s="76"/>
      <c r="D48" s="481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9"/>
  <sheetViews>
    <sheetView workbookViewId="0"/>
  </sheetViews>
  <sheetFormatPr defaultRowHeight="14.4" x14ac:dyDescent="0.3"/>
  <cols>
    <col min="1" max="1" width="27.44140625" customWidth="1"/>
    <col min="2" max="2" width="45.5546875" customWidth="1"/>
    <col min="3" max="3" width="32.6640625" customWidth="1"/>
    <col min="4" max="4" width="22.6640625" customWidth="1"/>
    <col min="5" max="7" width="8.88671875" customWidth="1"/>
    <col min="8" max="8" width="11.6640625" bestFit="1" customWidth="1"/>
    <col min="9" max="9" width="8.88671875" customWidth="1"/>
  </cols>
  <sheetData>
    <row r="1" spans="1:6" ht="17.399999999999999" x14ac:dyDescent="0.3">
      <c r="A1" s="80" t="s">
        <v>392</v>
      </c>
    </row>
    <row r="2" spans="1:6" ht="17.399999999999999" x14ac:dyDescent="0.3">
      <c r="A2" s="80"/>
    </row>
    <row r="3" spans="1:6" ht="23.25" customHeight="1" x14ac:dyDescent="0.3">
      <c r="A3" s="1017" t="s">
        <v>1240</v>
      </c>
      <c r="B3" s="1017"/>
    </row>
    <row r="4" spans="1:6" ht="15" thickBot="1" x14ac:dyDescent="0.35"/>
    <row r="5" spans="1:6" ht="15" thickBot="1" x14ac:dyDescent="0.35">
      <c r="A5" s="50">
        <v>73</v>
      </c>
      <c r="B5" s="1012" t="s">
        <v>331</v>
      </c>
      <c r="C5" s="1012"/>
      <c r="D5" s="82">
        <f>SUM(D6:D8)+D9</f>
        <v>7207106.5500000017</v>
      </c>
    </row>
    <row r="6" spans="1:6" x14ac:dyDescent="0.3">
      <c r="A6" s="52" t="s">
        <v>332</v>
      </c>
      <c r="B6" s="1013" t="s">
        <v>333</v>
      </c>
      <c r="C6" s="1013"/>
      <c r="D6" s="53">
        <v>0</v>
      </c>
    </row>
    <row r="7" spans="1:6" x14ac:dyDescent="0.3">
      <c r="A7" s="52" t="s">
        <v>334</v>
      </c>
      <c r="B7" s="1014" t="s">
        <v>335</v>
      </c>
      <c r="C7" s="1014"/>
      <c r="D7" s="53">
        <f>8342.43+8750</f>
        <v>17092.43</v>
      </c>
    </row>
    <row r="8" spans="1:6" ht="15" thickBot="1" x14ac:dyDescent="0.35">
      <c r="A8" s="54" t="s">
        <v>336</v>
      </c>
      <c r="B8" s="1015" t="s">
        <v>337</v>
      </c>
      <c r="C8" s="1015"/>
      <c r="D8" s="55">
        <v>0</v>
      </c>
    </row>
    <row r="9" spans="1:6" ht="39.75" customHeight="1" thickBot="1" x14ac:dyDescent="0.35">
      <c r="A9" s="7" t="s">
        <v>10</v>
      </c>
      <c r="B9" s="1016" t="s">
        <v>11</v>
      </c>
      <c r="C9" s="1016"/>
      <c r="D9" s="83">
        <f>SUM(D11:D49)</f>
        <v>7190014.120000002</v>
      </c>
    </row>
    <row r="10" spans="1:6" ht="15" thickBot="1" x14ac:dyDescent="0.35">
      <c r="A10" s="62" t="s">
        <v>5</v>
      </c>
      <c r="B10" s="63" t="s">
        <v>6</v>
      </c>
      <c r="C10" s="62" t="s">
        <v>344</v>
      </c>
      <c r="D10" s="64" t="s">
        <v>345</v>
      </c>
    </row>
    <row r="11" spans="1:6" x14ac:dyDescent="0.3">
      <c r="A11" s="482" t="s">
        <v>1182</v>
      </c>
      <c r="B11" s="483" t="s">
        <v>1183</v>
      </c>
      <c r="C11" s="484" t="s">
        <v>1184</v>
      </c>
      <c r="D11" s="485">
        <v>205574.92</v>
      </c>
    </row>
    <row r="12" spans="1:6" x14ac:dyDescent="0.3">
      <c r="A12" s="66" t="s">
        <v>1185</v>
      </c>
      <c r="B12" s="27" t="s">
        <v>1183</v>
      </c>
      <c r="C12" s="181" t="s">
        <v>1184</v>
      </c>
      <c r="D12" s="486">
        <v>16356.68</v>
      </c>
    </row>
    <row r="13" spans="1:6" x14ac:dyDescent="0.3">
      <c r="A13" s="66" t="s">
        <v>1186</v>
      </c>
      <c r="B13" s="27" t="s">
        <v>1187</v>
      </c>
      <c r="C13" s="181" t="s">
        <v>1184</v>
      </c>
      <c r="D13" s="486">
        <f>61602.33-191.96-191.96-191.96-191.96</f>
        <v>60834.490000000005</v>
      </c>
      <c r="F13" s="6"/>
    </row>
    <row r="14" spans="1:6" x14ac:dyDescent="0.3">
      <c r="A14" s="131" t="s">
        <v>1186</v>
      </c>
      <c r="B14" s="25" t="s">
        <v>1188</v>
      </c>
      <c r="C14" s="132" t="s">
        <v>1189</v>
      </c>
      <c r="D14" s="486">
        <f>191.96*4</f>
        <v>767.84</v>
      </c>
    </row>
    <row r="15" spans="1:6" x14ac:dyDescent="0.3">
      <c r="A15" s="66" t="s">
        <v>1190</v>
      </c>
      <c r="B15" s="27" t="s">
        <v>1191</v>
      </c>
      <c r="C15" s="181" t="s">
        <v>1184</v>
      </c>
      <c r="D15" s="486">
        <v>2197.84</v>
      </c>
    </row>
    <row r="16" spans="1:6" x14ac:dyDescent="0.3">
      <c r="A16" s="66" t="s">
        <v>1192</v>
      </c>
      <c r="B16" s="27" t="s">
        <v>1193</v>
      </c>
      <c r="C16" s="181" t="s">
        <v>1184</v>
      </c>
      <c r="D16" s="486">
        <v>5352382.8</v>
      </c>
    </row>
    <row r="17" spans="1:8" x14ac:dyDescent="0.3">
      <c r="A17" s="131" t="s">
        <v>1192</v>
      </c>
      <c r="B17" s="25" t="s">
        <v>1194</v>
      </c>
      <c r="C17" s="132" t="s">
        <v>1195</v>
      </c>
      <c r="D17" s="486">
        <f>60626.01+529.24</f>
        <v>61155.25</v>
      </c>
      <c r="H17" s="6"/>
    </row>
    <row r="18" spans="1:8" x14ac:dyDescent="0.3">
      <c r="A18" s="476" t="s">
        <v>1192</v>
      </c>
      <c r="B18" s="30" t="s">
        <v>1241</v>
      </c>
      <c r="C18" s="181" t="s">
        <v>1184</v>
      </c>
      <c r="D18" s="487">
        <v>11928.18</v>
      </c>
      <c r="H18" s="6"/>
    </row>
    <row r="19" spans="1:8" x14ac:dyDescent="0.3">
      <c r="A19" s="476" t="s">
        <v>1192</v>
      </c>
      <c r="B19" s="30" t="s">
        <v>1242</v>
      </c>
      <c r="C19" s="488" t="s">
        <v>1189</v>
      </c>
      <c r="D19" s="487">
        <v>1029.3599999999999</v>
      </c>
    </row>
    <row r="20" spans="1:8" x14ac:dyDescent="0.3">
      <c r="A20" s="66" t="s">
        <v>1192</v>
      </c>
      <c r="B20" s="27" t="s">
        <v>1198</v>
      </c>
      <c r="C20" s="181" t="s">
        <v>1189</v>
      </c>
      <c r="D20" s="486">
        <v>321800.90999999997</v>
      </c>
    </row>
    <row r="21" spans="1:8" x14ac:dyDescent="0.3">
      <c r="A21" s="131" t="s">
        <v>1192</v>
      </c>
      <c r="B21" s="25" t="s">
        <v>1201</v>
      </c>
      <c r="C21" s="181" t="s">
        <v>1184</v>
      </c>
      <c r="D21" s="486">
        <v>15600</v>
      </c>
    </row>
    <row r="22" spans="1:8" x14ac:dyDescent="0.3">
      <c r="A22" s="131" t="s">
        <v>1192</v>
      </c>
      <c r="B22" s="25" t="s">
        <v>1243</v>
      </c>
      <c r="C22" s="132" t="s">
        <v>1203</v>
      </c>
      <c r="D22" s="486">
        <v>53333.82</v>
      </c>
    </row>
    <row r="23" spans="1:8" x14ac:dyDescent="0.3">
      <c r="A23" s="131" t="s">
        <v>1192</v>
      </c>
      <c r="B23" s="25" t="s">
        <v>1206</v>
      </c>
      <c r="C23" s="132" t="s">
        <v>1207</v>
      </c>
      <c r="D23" s="486">
        <v>13333.7</v>
      </c>
    </row>
    <row r="24" spans="1:8" x14ac:dyDescent="0.3">
      <c r="A24" s="131" t="s">
        <v>1192</v>
      </c>
      <c r="B24" s="25" t="s">
        <v>1244</v>
      </c>
      <c r="C24" s="132" t="s">
        <v>1244</v>
      </c>
      <c r="D24" s="486">
        <v>45764.88</v>
      </c>
    </row>
    <row r="25" spans="1:8" x14ac:dyDescent="0.3">
      <c r="A25" s="66" t="s">
        <v>1208</v>
      </c>
      <c r="B25" s="24" t="s">
        <v>1210</v>
      </c>
      <c r="C25" s="489" t="s">
        <v>1210</v>
      </c>
      <c r="D25" s="486">
        <v>38679</v>
      </c>
    </row>
    <row r="26" spans="1:8" x14ac:dyDescent="0.3">
      <c r="A26" s="131" t="s">
        <v>1218</v>
      </c>
      <c r="B26" s="25" t="s">
        <v>1245</v>
      </c>
      <c r="C26" s="181" t="s">
        <v>1246</v>
      </c>
      <c r="D26" s="486">
        <f>3000+9500+9000+21725.51+5204.39-21500</f>
        <v>26929.899999999994</v>
      </c>
    </row>
    <row r="27" spans="1:8" x14ac:dyDescent="0.3">
      <c r="A27" s="131" t="s">
        <v>1220</v>
      </c>
      <c r="B27" s="25" t="s">
        <v>1221</v>
      </c>
      <c r="C27" s="132" t="s">
        <v>1221</v>
      </c>
      <c r="D27" s="486">
        <f>26153-13076.5+13076.5+12199.75-12199.75+26153</f>
        <v>52306</v>
      </c>
    </row>
    <row r="28" spans="1:8" x14ac:dyDescent="0.3">
      <c r="A28" s="66" t="s">
        <v>1220</v>
      </c>
      <c r="B28" s="27" t="s">
        <v>1222</v>
      </c>
      <c r="C28" s="181" t="s">
        <v>1222</v>
      </c>
      <c r="D28" s="486">
        <f>3000+16825-16825+3700+3000+1300</f>
        <v>11000</v>
      </c>
    </row>
    <row r="29" spans="1:8" x14ac:dyDescent="0.3">
      <c r="A29" s="66" t="s">
        <v>1223</v>
      </c>
      <c r="B29" s="27" t="s">
        <v>1224</v>
      </c>
      <c r="C29" s="181" t="s">
        <v>1184</v>
      </c>
      <c r="D29" s="486">
        <v>2500</v>
      </c>
    </row>
    <row r="30" spans="1:8" x14ac:dyDescent="0.3">
      <c r="A30" s="66" t="s">
        <v>1225</v>
      </c>
      <c r="B30" s="27" t="s">
        <v>1226</v>
      </c>
      <c r="C30" s="132" t="s">
        <v>1184</v>
      </c>
      <c r="D30" s="486">
        <f>1937+1937+1937+1939+650</f>
        <v>8400</v>
      </c>
    </row>
    <row r="31" spans="1:8" x14ac:dyDescent="0.3">
      <c r="A31" s="66" t="s">
        <v>1225</v>
      </c>
      <c r="B31" s="27" t="s">
        <v>1213</v>
      </c>
      <c r="C31" s="181" t="s">
        <v>1213</v>
      </c>
      <c r="D31" s="486">
        <f>16000*4+1859*3+1860</f>
        <v>71437</v>
      </c>
    </row>
    <row r="32" spans="1:8" x14ac:dyDescent="0.3">
      <c r="A32" s="66" t="s">
        <v>1227</v>
      </c>
      <c r="B32" s="27" t="s">
        <v>1224</v>
      </c>
      <c r="C32" s="181" t="s">
        <v>1184</v>
      </c>
      <c r="D32" s="486">
        <v>100</v>
      </c>
    </row>
    <row r="33" spans="1:4" x14ac:dyDescent="0.3">
      <c r="A33" s="66" t="s">
        <v>1228</v>
      </c>
      <c r="B33" s="27" t="s">
        <v>1224</v>
      </c>
      <c r="C33" s="181" t="s">
        <v>1184</v>
      </c>
      <c r="D33" s="486">
        <f>17850+17650*11-120000-1837-20000-15000</f>
        <v>55163</v>
      </c>
    </row>
    <row r="34" spans="1:4" x14ac:dyDescent="0.3">
      <c r="A34" s="66" t="s">
        <v>1228</v>
      </c>
      <c r="B34" s="27" t="s">
        <v>1229</v>
      </c>
      <c r="C34" s="181" t="s">
        <v>1230</v>
      </c>
      <c r="D34" s="486">
        <v>15000</v>
      </c>
    </row>
    <row r="35" spans="1:4" x14ac:dyDescent="0.3">
      <c r="A35" s="66" t="s">
        <v>1228</v>
      </c>
      <c r="B35" s="24" t="s">
        <v>1210</v>
      </c>
      <c r="C35" s="489" t="s">
        <v>1210</v>
      </c>
      <c r="D35" s="486">
        <f>120000+12000</f>
        <v>132000</v>
      </c>
    </row>
    <row r="36" spans="1:4" x14ac:dyDescent="0.3">
      <c r="A36" s="66" t="s">
        <v>1228</v>
      </c>
      <c r="B36" s="22" t="s">
        <v>1200</v>
      </c>
      <c r="C36" s="489" t="s">
        <v>1199</v>
      </c>
      <c r="D36" s="486">
        <f>15000+13000+12000</f>
        <v>40000</v>
      </c>
    </row>
    <row r="37" spans="1:4" x14ac:dyDescent="0.3">
      <c r="A37" s="66" t="s">
        <v>1247</v>
      </c>
      <c r="B37" s="22" t="s">
        <v>1234</v>
      </c>
      <c r="C37" s="489" t="s">
        <v>1234</v>
      </c>
      <c r="D37" s="486">
        <v>22000</v>
      </c>
    </row>
    <row r="38" spans="1:4" x14ac:dyDescent="0.3">
      <c r="A38" s="66" t="s">
        <v>1231</v>
      </c>
      <c r="B38" s="27" t="s">
        <v>1224</v>
      </c>
      <c r="C38" s="181" t="s">
        <v>1184</v>
      </c>
      <c r="D38" s="486">
        <v>384359</v>
      </c>
    </row>
    <row r="39" spans="1:4" x14ac:dyDescent="0.3">
      <c r="A39" s="131" t="s">
        <v>1232</v>
      </c>
      <c r="B39" s="27" t="s">
        <v>1233</v>
      </c>
      <c r="C39" s="181" t="s">
        <v>1234</v>
      </c>
      <c r="D39" s="486">
        <f>9000+11700+13000+18950.64-33700+9124.36</f>
        <v>28075</v>
      </c>
    </row>
    <row r="40" spans="1:4" x14ac:dyDescent="0.3">
      <c r="A40" s="478" t="s">
        <v>1192</v>
      </c>
      <c r="B40" s="30" t="s">
        <v>1236</v>
      </c>
      <c r="C40" s="490" t="s">
        <v>1184</v>
      </c>
      <c r="D40" s="487">
        <f>947.12+860.23+1280.28+774.64+1875.11+1666.94+1703.53+1747.68</f>
        <v>10855.53</v>
      </c>
    </row>
    <row r="41" spans="1:4" x14ac:dyDescent="0.3">
      <c r="A41" s="476" t="s">
        <v>1239</v>
      </c>
      <c r="B41" s="31" t="s">
        <v>1229</v>
      </c>
      <c r="C41" s="181" t="s">
        <v>1230</v>
      </c>
      <c r="D41" s="487">
        <f>2366+2793+4298+4006.1-787.5+3073+3147+3318+984+2223+1297.8+2009+2835+2058-262.5-787.5-1050+2532.6+1848+4167.8-788+1050</f>
        <v>40330.799999999996</v>
      </c>
    </row>
    <row r="42" spans="1:4" x14ac:dyDescent="0.3">
      <c r="A42" s="491" t="s">
        <v>1192</v>
      </c>
      <c r="B42" s="492" t="s">
        <v>1248</v>
      </c>
      <c r="C42" s="493" t="s">
        <v>1189</v>
      </c>
      <c r="D42" s="494">
        <f>450+250</f>
        <v>700</v>
      </c>
    </row>
    <row r="43" spans="1:4" x14ac:dyDescent="0.3">
      <c r="A43" s="491" t="s">
        <v>1249</v>
      </c>
      <c r="B43" s="492" t="s">
        <v>1250</v>
      </c>
      <c r="C43" s="493" t="s">
        <v>1249</v>
      </c>
      <c r="D43" s="494">
        <f>22400+37600</f>
        <v>60000</v>
      </c>
    </row>
    <row r="44" spans="1:4" x14ac:dyDescent="0.3">
      <c r="A44" s="491" t="s">
        <v>1251</v>
      </c>
      <c r="B44" s="492" t="s">
        <v>1252</v>
      </c>
      <c r="C44" s="493" t="s">
        <v>1251</v>
      </c>
      <c r="D44" s="494">
        <v>11811.86</v>
      </c>
    </row>
    <row r="45" spans="1:4" x14ac:dyDescent="0.3">
      <c r="A45" s="491" t="s">
        <v>1253</v>
      </c>
      <c r="B45" s="492" t="s">
        <v>1254</v>
      </c>
      <c r="C45" s="493" t="s">
        <v>1184</v>
      </c>
      <c r="D45" s="494">
        <v>2000</v>
      </c>
    </row>
    <row r="46" spans="1:4" x14ac:dyDescent="0.3">
      <c r="A46" s="491" t="s">
        <v>1255</v>
      </c>
      <c r="B46" s="492" t="s">
        <v>1224</v>
      </c>
      <c r="C46" s="493" t="s">
        <v>1184</v>
      </c>
      <c r="D46" s="494">
        <v>2500</v>
      </c>
    </row>
    <row r="47" spans="1:4" x14ac:dyDescent="0.3">
      <c r="A47" s="491" t="s">
        <v>1256</v>
      </c>
      <c r="B47" s="492" t="s">
        <v>1224</v>
      </c>
      <c r="C47" s="493" t="s">
        <v>1184</v>
      </c>
      <c r="D47" s="494">
        <f>205.64+600.72</f>
        <v>806.36</v>
      </c>
    </row>
    <row r="48" spans="1:4" x14ac:dyDescent="0.3">
      <c r="A48" s="491" t="s">
        <v>1257</v>
      </c>
      <c r="B48" s="492" t="s">
        <v>1258</v>
      </c>
      <c r="C48" s="493" t="s">
        <v>1184</v>
      </c>
      <c r="D48" s="494">
        <v>1500</v>
      </c>
    </row>
    <row r="49" spans="1:4" ht="15" thickBot="1" x14ac:dyDescent="0.35">
      <c r="A49" s="480" t="s">
        <v>1259</v>
      </c>
      <c r="B49" s="75" t="s">
        <v>1260</v>
      </c>
      <c r="C49" s="495" t="s">
        <v>1261</v>
      </c>
      <c r="D49" s="496">
        <v>9500</v>
      </c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38"/>
  <sheetViews>
    <sheetView workbookViewId="0">
      <selection sqref="A1:J1"/>
    </sheetView>
  </sheetViews>
  <sheetFormatPr defaultColWidth="9.109375" defaultRowHeight="13.2" x14ac:dyDescent="0.25"/>
  <cols>
    <col min="1" max="1" width="2.6640625" style="498" bestFit="1" customWidth="1"/>
    <col min="2" max="2" width="4.6640625" style="498" bestFit="1" customWidth="1"/>
    <col min="3" max="3" width="3.6640625" style="498" customWidth="1"/>
    <col min="4" max="5" width="9.109375" style="498" customWidth="1"/>
    <col min="6" max="6" width="22.5546875" style="498" customWidth="1"/>
    <col min="7" max="7" width="4.44140625" style="498" bestFit="1" customWidth="1"/>
    <col min="8" max="8" width="6.33203125" style="498" bestFit="1" customWidth="1"/>
    <col min="9" max="9" width="14.6640625" style="498" customWidth="1"/>
    <col min="10" max="11" width="19.109375" style="498" customWidth="1"/>
    <col min="12" max="12" width="19" style="498" customWidth="1"/>
    <col min="13" max="13" width="16.88671875" style="498" bestFit="1" customWidth="1"/>
    <col min="14" max="14" width="16.88671875" style="498" customWidth="1"/>
    <col min="15" max="17" width="18.44140625" style="498" bestFit="1" customWidth="1"/>
    <col min="18" max="18" width="18.44140625" style="498" customWidth="1"/>
    <col min="19" max="19" width="18.44140625" style="498" bestFit="1" customWidth="1"/>
    <col min="20" max="29" width="16.88671875" style="498" customWidth="1"/>
    <col min="30" max="30" width="19.109375" style="498" customWidth="1"/>
    <col min="31" max="31" width="10.44140625" style="498" customWidth="1"/>
    <col min="32" max="32" width="9.109375" style="498" customWidth="1"/>
    <col min="33" max="16384" width="9.109375" style="498"/>
  </cols>
  <sheetData>
    <row r="1" spans="1:31" ht="17.399999999999999" x14ac:dyDescent="0.3">
      <c r="A1" s="1034" t="str">
        <f>[2]overhead!A1</f>
        <v>Bijlage 3: Resultaat 2018</v>
      </c>
      <c r="B1" s="1034"/>
      <c r="C1" s="1034"/>
      <c r="D1" s="1034"/>
      <c r="E1" s="1034"/>
      <c r="F1" s="1034"/>
      <c r="G1" s="1034"/>
      <c r="H1" s="1034"/>
      <c r="I1" s="1034"/>
      <c r="J1" s="1034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</row>
    <row r="2" spans="1:31" ht="15" x14ac:dyDescent="0.25">
      <c r="A2" s="1035" t="s">
        <v>1262</v>
      </c>
      <c r="B2" s="1035"/>
      <c r="C2" s="1035"/>
      <c r="D2" s="1035"/>
      <c r="E2" s="1035"/>
      <c r="F2" s="1035"/>
      <c r="G2" s="1035"/>
      <c r="H2" s="1035"/>
      <c r="I2" s="1035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</row>
    <row r="3" spans="1:31" ht="15" x14ac:dyDescent="0.25">
      <c r="A3" s="499"/>
      <c r="B3" s="499"/>
      <c r="C3" s="499"/>
      <c r="D3" s="500"/>
      <c r="E3" s="501"/>
      <c r="F3" s="501"/>
      <c r="G3" s="501"/>
      <c r="H3" s="501"/>
      <c r="I3" s="502">
        <f>[2]Berek!I5</f>
        <v>475.24377530364387</v>
      </c>
      <c r="J3" s="497" t="s">
        <v>14</v>
      </c>
      <c r="K3" s="497" t="s">
        <v>1263</v>
      </c>
      <c r="L3" s="497" t="s">
        <v>100</v>
      </c>
      <c r="M3" s="497" t="s">
        <v>1264</v>
      </c>
      <c r="N3" s="497" t="s">
        <v>211</v>
      </c>
      <c r="O3" s="497" t="s">
        <v>1265</v>
      </c>
      <c r="P3" s="497" t="s">
        <v>220</v>
      </c>
      <c r="Q3" s="497" t="s">
        <v>1266</v>
      </c>
      <c r="R3" s="497" t="s">
        <v>1267</v>
      </c>
      <c r="S3" s="497" t="s">
        <v>1268</v>
      </c>
      <c r="T3" s="497" t="s">
        <v>722</v>
      </c>
      <c r="U3" s="497" t="s">
        <v>1269</v>
      </c>
      <c r="V3" s="497" t="s">
        <v>486</v>
      </c>
      <c r="W3" s="497" t="s">
        <v>1270</v>
      </c>
      <c r="X3" s="497" t="s">
        <v>1271</v>
      </c>
      <c r="Y3" s="497" t="s">
        <v>508</v>
      </c>
      <c r="Z3" s="497" t="s">
        <v>1272</v>
      </c>
      <c r="AA3" s="497" t="s">
        <v>522</v>
      </c>
      <c r="AB3" s="497" t="s">
        <v>1273</v>
      </c>
      <c r="AC3" s="497" t="s">
        <v>1274</v>
      </c>
      <c r="AD3" s="497" t="s">
        <v>252</v>
      </c>
      <c r="AE3" s="497" t="s">
        <v>291</v>
      </c>
    </row>
    <row r="4" spans="1:31" ht="40.200000000000003" thickBot="1" x14ac:dyDescent="0.3">
      <c r="A4" s="503"/>
      <c r="B4" s="504"/>
      <c r="C4" s="504"/>
      <c r="D4" s="504"/>
      <c r="E4" s="504"/>
      <c r="F4" s="504"/>
      <c r="G4" s="505"/>
      <c r="H4" s="506" t="s">
        <v>1275</v>
      </c>
      <c r="I4" s="507" t="s">
        <v>1276</v>
      </c>
      <c r="J4" s="508" t="s">
        <v>1277</v>
      </c>
      <c r="K4" s="509" t="s">
        <v>1278</v>
      </c>
      <c r="L4" s="509" t="s">
        <v>1279</v>
      </c>
      <c r="M4" s="509" t="s">
        <v>1280</v>
      </c>
      <c r="N4" s="508" t="s">
        <v>1281</v>
      </c>
      <c r="O4" s="508" t="str">
        <f t="shared" ref="O4:U4" si="0">"Project "&amp;O3</f>
        <v>Project Kompas</v>
      </c>
      <c r="P4" s="508" t="str">
        <f t="shared" si="0"/>
        <v>Project Samik K&amp;G</v>
      </c>
      <c r="Q4" s="508" t="str">
        <f t="shared" si="0"/>
        <v>Project OW K&amp;G</v>
      </c>
      <c r="R4" s="508" t="str">
        <f t="shared" si="0"/>
        <v>Project Speelvijver K&amp;G</v>
      </c>
      <c r="S4" s="508" t="str">
        <f t="shared" si="0"/>
        <v>Project CB/PCB K&amp;G</v>
      </c>
      <c r="T4" s="508" t="str">
        <f t="shared" si="0"/>
        <v>Project Schuldhulpverlening</v>
      </c>
      <c r="U4" s="508" t="str">
        <f t="shared" si="0"/>
        <v>Project COSA</v>
      </c>
      <c r="V4" s="508" t="str">
        <f t="shared" ref="V4:AC4" si="1">V3</f>
        <v>Project Vluchtelingen</v>
      </c>
      <c r="W4" s="508" t="str">
        <f t="shared" si="1"/>
        <v>Project Alternatief</v>
      </c>
      <c r="X4" s="508" t="str">
        <f t="shared" si="1"/>
        <v>Project Team Stad</v>
      </c>
      <c r="Y4" s="508" t="str">
        <f t="shared" si="1"/>
        <v>Project Crisisteam</v>
      </c>
      <c r="Z4" s="508" t="str">
        <f t="shared" si="1"/>
        <v>Project Transitiecoach</v>
      </c>
      <c r="AA4" s="508" t="str">
        <f t="shared" si="1"/>
        <v>Project IFG</v>
      </c>
      <c r="AB4" s="508" t="str">
        <f t="shared" si="1"/>
        <v>Project 1 Gezin 1 Plan Voor en noorderkempen</v>
      </c>
      <c r="AC4" s="508" t="str">
        <f t="shared" si="1"/>
        <v>Project Verbinding Casuistiek IFG</v>
      </c>
      <c r="AD4" s="508" t="s">
        <v>1282</v>
      </c>
      <c r="AE4" s="510" t="s">
        <v>1283</v>
      </c>
    </row>
    <row r="5" spans="1:31" ht="13.8" thickBot="1" x14ac:dyDescent="0.3">
      <c r="A5" s="1036" t="s">
        <v>1284</v>
      </c>
      <c r="B5" s="1036"/>
      <c r="C5" s="1036"/>
      <c r="D5" s="1036"/>
      <c r="E5" s="1036"/>
      <c r="F5" s="1036"/>
      <c r="G5" s="1036"/>
      <c r="H5" s="1036"/>
      <c r="I5" s="511">
        <f>SUM([2]VTE!C:C)</f>
        <v>475.24377530364387</v>
      </c>
      <c r="J5" s="512">
        <f>[2]Berek!K5+[2]overhead!J7</f>
        <v>237.45198413286192</v>
      </c>
      <c r="K5" s="512">
        <f>[2]Berek!L5+[2]overhead!K7</f>
        <v>188.73466999857661</v>
      </c>
      <c r="L5" s="512">
        <f>[2]Berek!M5+[2]overhead!L7</f>
        <v>9.6324217035987427</v>
      </c>
      <c r="M5" s="512">
        <f>[2]Berek!N5+[2]overhead!M7</f>
        <v>14.918601849735968</v>
      </c>
      <c r="N5" s="512">
        <f>[2]Berek!O5+[2]overhead!N7</f>
        <v>1.8952705984543534</v>
      </c>
      <c r="O5" s="512">
        <f>[2]Berek!P5+[2]overhead!O7</f>
        <v>9.1843242754337112E-2</v>
      </c>
      <c r="P5" s="512">
        <f>[2]Berek!Q5+[2]overhead!P7</f>
        <v>2.9932253200593499</v>
      </c>
      <c r="Q5" s="512">
        <f>[2]Berek!R5+[2]overhead!Q7</f>
        <v>0.80088276884662724</v>
      </c>
      <c r="R5" s="512">
        <f>[2]Berek!S5+[2]overhead!R7</f>
        <v>0.66205009107612844</v>
      </c>
      <c r="S5" s="512">
        <f>[2]Berek!T5+[2]overhead!S7</f>
        <v>1.3833567954907813</v>
      </c>
      <c r="T5" s="512">
        <f>[2]Berek!U5+[2]overhead!T7</f>
        <v>2.5549822058355893</v>
      </c>
      <c r="U5" s="512">
        <f>[2]Berek!V5+[2]overhead!U7</f>
        <v>0.92479986507404144</v>
      </c>
      <c r="V5" s="512">
        <f>[2]Berek!W5+[2]overhead!V7</f>
        <v>0</v>
      </c>
      <c r="W5" s="512">
        <f>[2]Berek!X5+[2]overhead!W7</f>
        <v>1.3305690478913812</v>
      </c>
      <c r="X5" s="512">
        <f>[2]Berek!Y5+[2]overhead!X7</f>
        <v>1.117738857153832</v>
      </c>
      <c r="Y5" s="512">
        <f>[2]Berek!Z5+[2]overhead!Y7</f>
        <v>2.5252581058583434</v>
      </c>
      <c r="Z5" s="512">
        <f>[2]Berek!AA5+[2]overhead!Z7</f>
        <v>0</v>
      </c>
      <c r="AA5" s="512">
        <f>[2]Berek!AB5+[2]overhead!AA7</f>
        <v>0.89504759059444794</v>
      </c>
      <c r="AB5" s="512">
        <f>[2]Berek!AC5+[2]overhead!AB7</f>
        <v>8.9904836992787812E-2</v>
      </c>
      <c r="AC5" s="512">
        <f>[2]Berek!AD5+[2]overhead!AC7</f>
        <v>0.43253496004803466</v>
      </c>
      <c r="AD5" s="512">
        <f>[2]Berek!AE5+[2]overhead!AD7</f>
        <v>6.8086333327404907</v>
      </c>
      <c r="AE5" s="513">
        <f>I5-SUM(J5:AD5)</f>
        <v>0</v>
      </c>
    </row>
    <row r="6" spans="1:31" x14ac:dyDescent="0.25">
      <c r="A6" s="1037" t="s">
        <v>1285</v>
      </c>
      <c r="B6" s="1037"/>
      <c r="C6" s="1037"/>
      <c r="D6" s="1037"/>
      <c r="E6" s="1037"/>
      <c r="F6" s="1037"/>
      <c r="G6" s="514"/>
      <c r="H6" s="497"/>
      <c r="I6" s="515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7"/>
    </row>
    <row r="7" spans="1:31" x14ac:dyDescent="0.25">
      <c r="A7" s="518"/>
      <c r="B7" s="497"/>
      <c r="C7" s="497"/>
      <c r="D7" s="497"/>
      <c r="E7" s="497"/>
      <c r="F7" s="497"/>
      <c r="G7" s="519"/>
      <c r="H7" s="497"/>
      <c r="I7" s="520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2"/>
    </row>
    <row r="8" spans="1:31" x14ac:dyDescent="0.25">
      <c r="A8" s="1025" t="s">
        <v>1286</v>
      </c>
      <c r="B8" s="1025"/>
      <c r="C8" s="1025"/>
      <c r="D8" s="1025"/>
      <c r="E8" s="1025"/>
      <c r="F8" s="1025"/>
      <c r="G8" s="519"/>
      <c r="H8" s="497"/>
      <c r="I8" s="520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2"/>
    </row>
    <row r="9" spans="1:31" x14ac:dyDescent="0.25">
      <c r="A9" s="523"/>
      <c r="B9" s="524" t="s">
        <v>1287</v>
      </c>
      <c r="C9" s="525"/>
      <c r="D9" s="525"/>
      <c r="E9" s="525"/>
      <c r="F9" s="525"/>
      <c r="G9" s="526" t="s">
        <v>1288</v>
      </c>
      <c r="H9" s="524">
        <v>9900</v>
      </c>
      <c r="I9" s="527" t="e">
        <f t="shared" ref="I9:AD9" si="2">I10-I13</f>
        <v>#VALUE!</v>
      </c>
      <c r="J9" s="527">
        <f t="shared" si="2"/>
        <v>15946602.99245739</v>
      </c>
      <c r="K9" s="527">
        <f t="shared" si="2"/>
        <v>10234633.214292649</v>
      </c>
      <c r="L9" s="527">
        <f t="shared" si="2"/>
        <v>557215.03994929651</v>
      </c>
      <c r="M9" s="527">
        <f t="shared" si="2"/>
        <v>1164388.6221106732</v>
      </c>
      <c r="N9" s="527">
        <f t="shared" si="2"/>
        <v>317546.9699322707</v>
      </c>
      <c r="O9" s="527">
        <f t="shared" si="2"/>
        <v>5744.6289963165227</v>
      </c>
      <c r="P9" s="527">
        <f t="shared" si="2"/>
        <v>149074.0545591361</v>
      </c>
      <c r="Q9" s="527">
        <f t="shared" si="2"/>
        <v>45552.655450485996</v>
      </c>
      <c r="R9" s="527">
        <f t="shared" si="2"/>
        <v>36692.062773558166</v>
      </c>
      <c r="S9" s="527">
        <f t="shared" si="2"/>
        <v>92023.763107412335</v>
      </c>
      <c r="T9" s="527">
        <f t="shared" si="2"/>
        <v>182100.79684452017</v>
      </c>
      <c r="U9" s="527">
        <f t="shared" si="2"/>
        <v>52287.607489138463</v>
      </c>
      <c r="V9" s="527">
        <f t="shared" si="2"/>
        <v>0</v>
      </c>
      <c r="W9" s="527">
        <f t="shared" si="2"/>
        <v>60885.826821290917</v>
      </c>
      <c r="X9" s="527">
        <f t="shared" si="2"/>
        <v>50478.425178805177</v>
      </c>
      <c r="Y9" s="527">
        <f t="shared" si="2"/>
        <v>150868.36896884866</v>
      </c>
      <c r="Z9" s="527">
        <f t="shared" si="2"/>
        <v>0</v>
      </c>
      <c r="AA9" s="527">
        <f t="shared" si="2"/>
        <v>58771.141350077713</v>
      </c>
      <c r="AB9" s="527">
        <f t="shared" si="2"/>
        <v>7987.658475135293</v>
      </c>
      <c r="AC9" s="527">
        <f t="shared" si="2"/>
        <v>30891.579551951429</v>
      </c>
      <c r="AD9" s="527">
        <f t="shared" si="2"/>
        <v>254592.07169104024</v>
      </c>
      <c r="AE9" s="528" t="e">
        <f t="shared" ref="AE9:AE19" si="3">I9-SUM(J9:AD9)</f>
        <v>#VALUE!</v>
      </c>
    </row>
    <row r="10" spans="1:31" x14ac:dyDescent="0.25">
      <c r="A10" s="518"/>
      <c r="B10" s="497"/>
      <c r="C10" s="1033" t="s">
        <v>1289</v>
      </c>
      <c r="D10" s="1033"/>
      <c r="E10" s="1033"/>
      <c r="F10" s="1033"/>
      <c r="G10" s="519"/>
      <c r="H10" s="524" t="s">
        <v>1290</v>
      </c>
      <c r="I10" s="529" t="e">
        <f>SUMIFS([2]Balans!$F:$F,[2]Balans!$H:$H,$H10)</f>
        <v>#VALUE!</v>
      </c>
      <c r="J10" s="529">
        <f>[2]Berek!K10+[2]overhead!J12</f>
        <v>18276795.916124891</v>
      </c>
      <c r="K10" s="529">
        <f>[2]Berek!L10+[2]overhead!K12</f>
        <v>11698593.378633715</v>
      </c>
      <c r="L10" s="529">
        <f>[2]Berek!M10+[2]overhead!L12</f>
        <v>284449.53418459342</v>
      </c>
      <c r="M10" s="529">
        <f>[2]Berek!N10+[2]overhead!M12</f>
        <v>1265194.2628584835</v>
      </c>
      <c r="N10" s="529">
        <f>[2]Berek!O10+[2]overhead!N12</f>
        <v>326262.17645432451</v>
      </c>
      <c r="O10" s="529">
        <f>[2]Berek!P10+[2]overhead!O12</f>
        <v>5847.5235022641509</v>
      </c>
      <c r="P10" s="529">
        <f>[2]Berek!Q10+[2]overhead!P12</f>
        <v>169222.12594157332</v>
      </c>
      <c r="Q10" s="529">
        <f>[2]Berek!R10+[2]overhead!Q12</f>
        <v>56928.526869335641</v>
      </c>
      <c r="R10" s="529">
        <f>[2]Berek!S10+[2]overhead!R12</f>
        <v>40893.820768422433</v>
      </c>
      <c r="S10" s="529">
        <f>[2]Berek!T10+[2]overhead!S12</f>
        <v>130645.7594391585</v>
      </c>
      <c r="T10" s="529">
        <f>[2]Berek!U10+[2]overhead!T12</f>
        <v>194719.40444322434</v>
      </c>
      <c r="U10" s="529">
        <f>[2]Berek!V10+[2]overhead!U12</f>
        <v>57523.632952426065</v>
      </c>
      <c r="V10" s="529">
        <f>[2]Berek!W10+[2]overhead!V12</f>
        <v>0</v>
      </c>
      <c r="W10" s="529">
        <f>[2]Berek!X10+[2]overhead!W12</f>
        <v>67271.975008873793</v>
      </c>
      <c r="X10" s="529">
        <f>[2]Berek!Y10+[2]overhead!X12</f>
        <v>51984.055532800601</v>
      </c>
      <c r="Y10" s="529">
        <f>[2]Berek!Z10+[2]overhead!Y12</f>
        <v>154209.85525772563</v>
      </c>
      <c r="Z10" s="529">
        <f>[2]Berek!AA10+[2]overhead!Z12</f>
        <v>59577.16</v>
      </c>
      <c r="AA10" s="529">
        <f>[2]Berek!AB10+[2]overhead!AA12</f>
        <v>60627.897227415044</v>
      </c>
      <c r="AB10" s="529">
        <f>[2]Berek!AC10+[2]overhead!AB12</f>
        <v>8445.5375838164637</v>
      </c>
      <c r="AC10" s="529">
        <f>[2]Berek!AD10+[2]overhead!AC12</f>
        <v>31353.164593152724</v>
      </c>
      <c r="AD10" s="529">
        <f>[2]Berek!AE10+[2]overhead!AD12</f>
        <v>284136.0326237969</v>
      </c>
      <c r="AE10" s="530" t="e">
        <f t="shared" si="3"/>
        <v>#VALUE!</v>
      </c>
    </row>
    <row r="11" spans="1:31" ht="14.4" x14ac:dyDescent="0.3">
      <c r="A11" s="518"/>
      <c r="B11" s="1028"/>
      <c r="C11" s="1028"/>
      <c r="D11" s="1029" t="s">
        <v>1291</v>
      </c>
      <c r="E11" s="1029"/>
      <c r="F11" s="1029"/>
      <c r="G11" s="519"/>
      <c r="H11" s="524">
        <v>70</v>
      </c>
      <c r="I11" s="529" t="e">
        <f>SUMIFS([2]Balans!$F:$F,[2]Balans!$G:$G,$H11)</f>
        <v>#VALUE!</v>
      </c>
      <c r="J11" s="531">
        <f>[2]Berek!K11+[2]overhead!J13</f>
        <v>1427770.0435820229</v>
      </c>
      <c r="K11" s="531">
        <f>[2]Berek!L11+[2]overhead!K13</f>
        <v>272380.89735879155</v>
      </c>
      <c r="L11" s="531">
        <f>[2]Berek!M11+[2]overhead!L13</f>
        <v>120917.43793430524</v>
      </c>
      <c r="M11" s="531">
        <f>[2]Berek!N11+[2]overhead!M13</f>
        <v>6436.3218541302749</v>
      </c>
      <c r="N11" s="531">
        <f>[2]Berek!O11+[2]overhead!N13</f>
        <v>5.9279576660893349</v>
      </c>
      <c r="O11" s="531">
        <f>[2]Berek!P11+[2]overhead!O13</f>
        <v>0.28726391651307465</v>
      </c>
      <c r="P11" s="531">
        <f>[2]Berek!Q11+[2]overhead!P13</f>
        <v>9.3621000594052504</v>
      </c>
      <c r="Q11" s="531">
        <f>[2]Berek!R11+[2]overhead!Q13</f>
        <v>2.5049716663652237</v>
      </c>
      <c r="R11" s="531">
        <f>[2]Berek!S11+[2]overhead!R13</f>
        <v>1547.0707359233718</v>
      </c>
      <c r="S11" s="531">
        <f>[2]Berek!T11+[2]overhead!S13</f>
        <v>4.3268125023698865</v>
      </c>
      <c r="T11" s="531">
        <f>[2]Berek!U11+[2]overhead!T13</f>
        <v>2998.2913793661746</v>
      </c>
      <c r="U11" s="531">
        <f>[2]Berek!V11+[2]overhead!U13</f>
        <v>2.8925550020323825</v>
      </c>
      <c r="V11" s="531">
        <f>[2]Berek!W11+[2]overhead!V13</f>
        <v>0</v>
      </c>
      <c r="W11" s="531">
        <f>[2]Berek!X11+[2]overhead!W13</f>
        <v>4.1617049270649931</v>
      </c>
      <c r="X11" s="531">
        <f>[2]Berek!Y11+[2]overhead!X13</f>
        <v>3.4960224847863977</v>
      </c>
      <c r="Y11" s="531">
        <f>[2]Berek!Z11+[2]overhead!Y13</f>
        <v>7.8984094195759438</v>
      </c>
      <c r="Z11" s="531">
        <f>[2]Berek!AA11+[2]overhead!Z13</f>
        <v>0</v>
      </c>
      <c r="AA11" s="531">
        <f>[2]Berek!AB11+[2]overhead!AA13</f>
        <v>2.7994969322619045</v>
      </c>
      <c r="AB11" s="531">
        <f>[2]Berek!AC11+[2]overhead!AB13</f>
        <v>0.28120104227045256</v>
      </c>
      <c r="AC11" s="531">
        <f>[2]Berek!AD11+[2]overhead!AC13</f>
        <v>1.3528669385571883</v>
      </c>
      <c r="AD11" s="531">
        <f>[2]Berek!AE11+[2]overhead!AD13</f>
        <v>56949.635792903311</v>
      </c>
      <c r="AE11" s="530" t="e">
        <f t="shared" si="3"/>
        <v>#VALUE!</v>
      </c>
    </row>
    <row r="12" spans="1:31" ht="13.2" customHeight="1" x14ac:dyDescent="0.25">
      <c r="A12" s="518"/>
      <c r="B12" s="497"/>
      <c r="C12" s="497"/>
      <c r="D12" s="1030" t="s">
        <v>331</v>
      </c>
      <c r="E12" s="1030"/>
      <c r="F12" s="1030"/>
      <c r="G12" s="532"/>
      <c r="H12" s="524">
        <v>73</v>
      </c>
      <c r="I12" s="529" t="e">
        <f>SUMIFS([2]Balans!$F:$F,[2]Balans!$G:$G,$H12)</f>
        <v>#VALUE!</v>
      </c>
      <c r="J12" s="533">
        <f>[2]Berek!K12+[2]overhead!J14</f>
        <v>16765456.661398161</v>
      </c>
      <c r="K12" s="533">
        <f>[2]Berek!L12+[2]overhead!K14</f>
        <v>11383623.21307667</v>
      </c>
      <c r="L12" s="533">
        <f>[2]Berek!M12+[2]overhead!L14</f>
        <v>145564.19017823684</v>
      </c>
      <c r="M12" s="533">
        <f>[2]Berek!N12+[2]overhead!M14</f>
        <v>1255677.9744123658</v>
      </c>
      <c r="N12" s="533">
        <f>[2]Berek!O12+[2]overhead!N14</f>
        <v>325900.77063979005</v>
      </c>
      <c r="O12" s="533">
        <f>[2]Berek!P12+[2]overhead!O14</f>
        <v>5834.497204709266</v>
      </c>
      <c r="P12" s="533">
        <f>[2]Berek!Q12+[2]overhead!P14</f>
        <v>168808.32695860692</v>
      </c>
      <c r="Q12" s="533">
        <f>[2]Berek!R12+[2]overhead!Q14</f>
        <v>56806.766590473242</v>
      </c>
      <c r="R12" s="533">
        <f>[2]Berek!S12+[2]overhead!R14</f>
        <v>39232.12209451478</v>
      </c>
      <c r="S12" s="533">
        <f>[2]Berek!T12+[2]overhead!S14</f>
        <v>126819.90269781675</v>
      </c>
      <c r="T12" s="533">
        <f>[2]Berek!U12+[2]overhead!T14</f>
        <v>189024.83608052522</v>
      </c>
      <c r="U12" s="533">
        <f>[2]Berek!V12+[2]overhead!U14</f>
        <v>57235.959321239636</v>
      </c>
      <c r="V12" s="533">
        <f>[2]Berek!W12+[2]overhead!V14</f>
        <v>0</v>
      </c>
      <c r="W12" s="533">
        <f>[2]Berek!X12+[2]overhead!W14</f>
        <v>67089.481101171797</v>
      </c>
      <c r="X12" s="533">
        <f>[2]Berek!Y12+[2]overhead!X14</f>
        <v>51841.580707781461</v>
      </c>
      <c r="Y12" s="533">
        <f>[2]Berek!Z12+[2]overhead!Y14</f>
        <v>153880.36716802494</v>
      </c>
      <c r="Z12" s="533">
        <f>[2]Berek!AA12+[2]overhead!Z14</f>
        <v>59577.16</v>
      </c>
      <c r="AA12" s="533">
        <f>[2]Berek!AB12+[2]overhead!AA14</f>
        <v>60469.605509296263</v>
      </c>
      <c r="AB12" s="533">
        <f>[2]Berek!AC12+[2]overhead!AB14</f>
        <v>8428.2741230220472</v>
      </c>
      <c r="AC12" s="533">
        <f>[2]Berek!AD12+[2]overhead!AC14</f>
        <v>31295.356250903937</v>
      </c>
      <c r="AD12" s="533">
        <f>[2]Berek!AE12+[2]overhead!AD14</f>
        <v>226273.53448669193</v>
      </c>
      <c r="AE12" s="534" t="e">
        <f t="shared" si="3"/>
        <v>#VALUE!</v>
      </c>
    </row>
    <row r="13" spans="1:31" ht="13.2" customHeight="1" x14ac:dyDescent="0.25">
      <c r="A13" s="518"/>
      <c r="B13" s="535"/>
      <c r="C13" s="1031" t="s">
        <v>1292</v>
      </c>
      <c r="D13" s="1031"/>
      <c r="E13" s="1031"/>
      <c r="F13" s="1031"/>
      <c r="G13" s="519"/>
      <c r="H13" s="524" t="s">
        <v>1293</v>
      </c>
      <c r="I13" s="529" t="e">
        <f>SUMIFS([2]Balans!$F:$F,[2]Balans!$H:$H,$H13)</f>
        <v>#VALUE!</v>
      </c>
      <c r="J13" s="533">
        <f>[2]Berek!K13+[2]overhead!J15</f>
        <v>2330192.9236675012</v>
      </c>
      <c r="K13" s="533">
        <f>[2]Berek!L13+[2]overhead!K15</f>
        <v>1463960.1643410653</v>
      </c>
      <c r="L13" s="533">
        <f>[2]Berek!M13+[2]overhead!L15</f>
        <v>-272765.50576470303</v>
      </c>
      <c r="M13" s="533">
        <f>[2]Berek!N13+[2]overhead!M15</f>
        <v>100805.64074781022</v>
      </c>
      <c r="N13" s="533">
        <f>[2]Berek!O13+[2]overhead!N15</f>
        <v>8715.2065220538007</v>
      </c>
      <c r="O13" s="533">
        <f>[2]Berek!P13+[2]overhead!O15</f>
        <v>102.89450594762782</v>
      </c>
      <c r="P13" s="533">
        <f>[2]Berek!Q13+[2]overhead!P15</f>
        <v>20148.071382437218</v>
      </c>
      <c r="Q13" s="533">
        <f>[2]Berek!R13+[2]overhead!Q15</f>
        <v>11375.871418849649</v>
      </c>
      <c r="R13" s="533">
        <f>[2]Berek!S13+[2]overhead!R15</f>
        <v>4201.7579948642697</v>
      </c>
      <c r="S13" s="533">
        <f>[2]Berek!T13+[2]overhead!S15</f>
        <v>38621.996331746166</v>
      </c>
      <c r="T13" s="533">
        <f>[2]Berek!U13+[2]overhead!T15</f>
        <v>12618.607598704175</v>
      </c>
      <c r="U13" s="533">
        <f>[2]Berek!V13+[2]overhead!U15</f>
        <v>5236.025463287604</v>
      </c>
      <c r="V13" s="533">
        <f>[2]Berek!W13+[2]overhead!V15</f>
        <v>0</v>
      </c>
      <c r="W13" s="533">
        <f>[2]Berek!X13+[2]overhead!W15</f>
        <v>6386.1481875828795</v>
      </c>
      <c r="X13" s="533">
        <f>[2]Berek!Y13+[2]overhead!X15</f>
        <v>1505.6303539954265</v>
      </c>
      <c r="Y13" s="533">
        <f>[2]Berek!Z13+[2]overhead!Y15</f>
        <v>3341.4862888769621</v>
      </c>
      <c r="Z13" s="533">
        <f>[2]Berek!AA13+[2]overhead!Z15</f>
        <v>59577.16</v>
      </c>
      <c r="AA13" s="533">
        <f>[2]Berek!AB13+[2]overhead!AA15</f>
        <v>1856.7558773373339</v>
      </c>
      <c r="AB13" s="533">
        <f>[2]Berek!AC13+[2]overhead!AB15</f>
        <v>457.87910868117081</v>
      </c>
      <c r="AC13" s="533">
        <f>[2]Berek!AD13+[2]overhead!AC15</f>
        <v>461.58504120129533</v>
      </c>
      <c r="AD13" s="533">
        <f>[2]Berek!AE13+[2]overhead!AD15</f>
        <v>29543.960932756658</v>
      </c>
      <c r="AE13" s="534" t="e">
        <f t="shared" si="3"/>
        <v>#VALUE!</v>
      </c>
    </row>
    <row r="14" spans="1:31" ht="13.2" customHeight="1" x14ac:dyDescent="0.25">
      <c r="A14" s="518"/>
      <c r="B14" s="1031" t="s">
        <v>1294</v>
      </c>
      <c r="C14" s="1031"/>
      <c r="D14" s="1031"/>
      <c r="E14" s="1031"/>
      <c r="F14" s="1031"/>
      <c r="G14" s="519" t="s">
        <v>1288</v>
      </c>
      <c r="H14" s="524">
        <v>62</v>
      </c>
      <c r="I14" s="529" t="e">
        <f>SUMIFS([2]Balans!$F:$F,[2]Balans!$H:$H,$H14)</f>
        <v>#VALUE!</v>
      </c>
      <c r="J14" s="531">
        <f>[2]Berek!K14+[2]overhead!J16</f>
        <v>14488348.149829492</v>
      </c>
      <c r="K14" s="531">
        <f>[2]Berek!L14+[2]overhead!K16</f>
        <v>10700572.235311473</v>
      </c>
      <c r="L14" s="531">
        <f>[2]Berek!M14+[2]overhead!L16</f>
        <v>564928.63657203561</v>
      </c>
      <c r="M14" s="531">
        <f>[2]Berek!N14+[2]overhead!M16</f>
        <v>890493.45867730398</v>
      </c>
      <c r="N14" s="531">
        <f>[2]Berek!O14+[2]overhead!N16</f>
        <v>129491.68477334693</v>
      </c>
      <c r="O14" s="531">
        <f>[2]Berek!P14+[2]overhead!O16</f>
        <v>5452.846369028176</v>
      </c>
      <c r="P14" s="531">
        <f>[2]Berek!Q14+[2]overhead!P16</f>
        <v>149290.71388057875</v>
      </c>
      <c r="Q14" s="531">
        <f>[2]Berek!R14+[2]overhead!Q16</f>
        <v>40002.568297049227</v>
      </c>
      <c r="R14" s="531">
        <f>[2]Berek!S14+[2]overhead!R16</f>
        <v>28370.425688906646</v>
      </c>
      <c r="S14" s="531">
        <f>[2]Berek!T14+[2]overhead!S16</f>
        <v>99129.486112257131</v>
      </c>
      <c r="T14" s="531">
        <f>[2]Berek!U14+[2]overhead!T16</f>
        <v>152312.94823186236</v>
      </c>
      <c r="U14" s="531">
        <f>[2]Berek!V14+[2]overhead!U16</f>
        <v>48259.979160985589</v>
      </c>
      <c r="V14" s="531">
        <f>[2]Berek!W14+[2]overhead!V16</f>
        <v>0</v>
      </c>
      <c r="W14" s="531">
        <f>[2]Berek!X14+[2]overhead!W16</f>
        <v>60113.469909112391</v>
      </c>
      <c r="X14" s="531">
        <f>[2]Berek!Y14+[2]overhead!X16</f>
        <v>49996.707760011588</v>
      </c>
      <c r="Y14" s="531">
        <f>[2]Berek!Z14+[2]overhead!Y16</f>
        <v>149780.0596407449</v>
      </c>
      <c r="Z14" s="531">
        <f>[2]Berek!AA14+[2]overhead!Z16</f>
        <v>0</v>
      </c>
      <c r="AA14" s="531">
        <f>[2]Berek!AB14+[2]overhead!AA16</f>
        <v>58200.921386369446</v>
      </c>
      <c r="AB14" s="531">
        <f>[2]Berek!AC14+[2]overhead!AB16</f>
        <v>7948.904544318334</v>
      </c>
      <c r="AC14" s="531">
        <f>[2]Berek!AD14+[2]overhead!AC16</f>
        <v>30705.265071881888</v>
      </c>
      <c r="AD14" s="531">
        <f>[2]Berek!AE14+[2]overhead!AD16</f>
        <v>353747.15878321615</v>
      </c>
      <c r="AE14" s="534" t="e">
        <f t="shared" si="3"/>
        <v>#VALUE!</v>
      </c>
    </row>
    <row r="15" spans="1:31" ht="13.2" customHeight="1" x14ac:dyDescent="0.25">
      <c r="A15" s="518"/>
      <c r="B15" s="1031" t="s">
        <v>1295</v>
      </c>
      <c r="C15" s="1031"/>
      <c r="D15" s="1031"/>
      <c r="E15" s="1031"/>
      <c r="F15" s="1031"/>
      <c r="G15" s="519" t="s">
        <v>1288</v>
      </c>
      <c r="H15" s="524">
        <v>630</v>
      </c>
      <c r="I15" s="529" t="e">
        <f>SUMIFS([2]Balans!$F:$F,[2]Balans!$H:$H,$H15)</f>
        <v>#VALUE!</v>
      </c>
      <c r="J15" s="533">
        <f>[2]Berek!K15+[2]overhead!J17</f>
        <v>701482.80176917894</v>
      </c>
      <c r="K15" s="533">
        <f>[2]Berek!L15+[2]overhead!K17</f>
        <v>128035.68721843304</v>
      </c>
      <c r="L15" s="533">
        <f>[2]Berek!M15+[2]overhead!L17</f>
        <v>38161.02587787791</v>
      </c>
      <c r="M15" s="533">
        <f>[2]Berek!N15+[2]overhead!M17</f>
        <v>12785.213484887914</v>
      </c>
      <c r="N15" s="533">
        <f>[2]Berek!O15+[2]overhead!N17</f>
        <v>912.06081240618664</v>
      </c>
      <c r="O15" s="533">
        <f>[2]Berek!P15+[2]overhead!O17</f>
        <v>278.46491026002599</v>
      </c>
      <c r="P15" s="533">
        <f>[2]Berek!Q15+[2]overhead!P17</f>
        <v>3049.1388791130885</v>
      </c>
      <c r="Q15" s="533">
        <f>[2]Berek!R15+[2]overhead!Q17</f>
        <v>603.66278914947111</v>
      </c>
      <c r="R15" s="533">
        <f>[2]Berek!S15+[2]overhead!R17</f>
        <v>201.81005530159587</v>
      </c>
      <c r="S15" s="533">
        <f>[2]Berek!T15+[2]overhead!S17</f>
        <v>1075.5560457092984</v>
      </c>
      <c r="T15" s="533">
        <f>[2]Berek!U15+[2]overhead!T17</f>
        <v>7405.4621188423353</v>
      </c>
      <c r="U15" s="533">
        <f>[2]Berek!V15+[2]overhead!U17</f>
        <v>3285.0700332459332</v>
      </c>
      <c r="V15" s="533">
        <f>[2]Berek!W15+[2]overhead!V17</f>
        <v>0</v>
      </c>
      <c r="W15" s="533">
        <f>[2]Berek!X15+[2]overhead!W17</f>
        <v>570.11004722375196</v>
      </c>
      <c r="X15" s="533">
        <f>[2]Berek!Y15+[2]overhead!X17</f>
        <v>319.64584325288382</v>
      </c>
      <c r="Y15" s="533">
        <f>[2]Berek!Z15+[2]overhead!Y17</f>
        <v>722.16175675744512</v>
      </c>
      <c r="Z15" s="533">
        <f>[2]Berek!AA15+[2]overhead!Z17</f>
        <v>0</v>
      </c>
      <c r="AA15" s="533">
        <f>[2]Berek!AB15+[2]overhead!AA17</f>
        <v>440.36161394579585</v>
      </c>
      <c r="AB15" s="533">
        <f>[2]Berek!AC15+[2]overhead!AB17</f>
        <v>25.71057385107764</v>
      </c>
      <c r="AC15" s="533">
        <f>[2]Berek!AD15+[2]overhead!AC17</f>
        <v>123.69436846184392</v>
      </c>
      <c r="AD15" s="533">
        <f>[2]Berek!AE15+[2]overhead!AD17</f>
        <v>3365.331802101884</v>
      </c>
      <c r="AE15" s="534" t="e">
        <f t="shared" si="3"/>
        <v>#VALUE!</v>
      </c>
    </row>
    <row r="16" spans="1:31" ht="13.2" customHeight="1" x14ac:dyDescent="0.25">
      <c r="A16" s="518"/>
      <c r="B16" s="1031" t="s">
        <v>1296</v>
      </c>
      <c r="C16" s="1031"/>
      <c r="D16" s="1031"/>
      <c r="E16" s="1031"/>
      <c r="F16" s="1031"/>
      <c r="G16" s="519" t="s">
        <v>1288</v>
      </c>
      <c r="H16" s="524" t="s">
        <v>1297</v>
      </c>
      <c r="I16" s="536" t="e">
        <f>SUMIFS([2]Balans!$F:$F,[2]Balans!$H:$H,$H16)</f>
        <v>#VALUE!</v>
      </c>
      <c r="J16" s="533">
        <f>[2]Berek!K16+[2]overhead!J18</f>
        <v>0</v>
      </c>
      <c r="K16" s="533">
        <f>[2]Berek!L16+[2]overhead!K18</f>
        <v>0</v>
      </c>
      <c r="L16" s="533">
        <f>[2]Berek!M16+[2]overhead!L18</f>
        <v>0</v>
      </c>
      <c r="M16" s="533">
        <f>[2]Berek!N16+[2]overhead!M18</f>
        <v>0</v>
      </c>
      <c r="N16" s="533">
        <f>[2]Berek!O16+[2]overhead!N18</f>
        <v>0</v>
      </c>
      <c r="O16" s="533">
        <f>[2]Berek!P16+[2]overhead!O18</f>
        <v>0</v>
      </c>
      <c r="P16" s="533">
        <f>[2]Berek!Q16+[2]overhead!P18</f>
        <v>0</v>
      </c>
      <c r="Q16" s="533">
        <f>[2]Berek!R16+[2]overhead!Q18</f>
        <v>0</v>
      </c>
      <c r="R16" s="533">
        <f>[2]Berek!S16+[2]overhead!R18</f>
        <v>0</v>
      </c>
      <c r="S16" s="533">
        <f>[2]Berek!T16+[2]overhead!S18</f>
        <v>0</v>
      </c>
      <c r="T16" s="533">
        <f>[2]Berek!U16+[2]overhead!T18</f>
        <v>0</v>
      </c>
      <c r="U16" s="533">
        <f>[2]Berek!V16+[2]overhead!U18</f>
        <v>0</v>
      </c>
      <c r="V16" s="533">
        <f>[2]Berek!W16+[2]overhead!V18</f>
        <v>0</v>
      </c>
      <c r="W16" s="533">
        <f>[2]Berek!X16+[2]overhead!W18</f>
        <v>0</v>
      </c>
      <c r="X16" s="533">
        <f>[2]Berek!Y16+[2]overhead!X18</f>
        <v>0</v>
      </c>
      <c r="Y16" s="533">
        <f>[2]Berek!Z16+[2]overhead!Y18</f>
        <v>0</v>
      </c>
      <c r="Z16" s="533">
        <f>[2]Berek!AA16+[2]overhead!Z18</f>
        <v>0</v>
      </c>
      <c r="AA16" s="533">
        <f>[2]Berek!AB16+[2]overhead!AA18</f>
        <v>0</v>
      </c>
      <c r="AB16" s="533">
        <f>[2]Berek!AC16+[2]overhead!AB18</f>
        <v>0</v>
      </c>
      <c r="AC16" s="533">
        <f>[2]Berek!AD16+[2]overhead!AC18</f>
        <v>0</v>
      </c>
      <c r="AD16" s="533">
        <f>[2]Berek!AE16+[2]overhead!AD18</f>
        <v>0</v>
      </c>
      <c r="AE16" s="534" t="e">
        <f t="shared" si="3"/>
        <v>#VALUE!</v>
      </c>
    </row>
    <row r="17" spans="1:31" ht="13.2" customHeight="1" x14ac:dyDescent="0.25">
      <c r="A17" s="518"/>
      <c r="B17" s="1031" t="s">
        <v>1298</v>
      </c>
      <c r="C17" s="1031"/>
      <c r="D17" s="1031"/>
      <c r="E17" s="1031"/>
      <c r="F17" s="1031"/>
      <c r="G17" s="519" t="s">
        <v>1288</v>
      </c>
      <c r="H17" s="524" t="s">
        <v>1299</v>
      </c>
      <c r="I17" s="529" t="e">
        <f>SUMIFS([2]Balans!$F:$F,[2]Balans!$H:$H,$H17)</f>
        <v>#VALUE!</v>
      </c>
      <c r="J17" s="533">
        <f>[2]Berek!K17+[2]overhead!J19</f>
        <v>204907.43365698247</v>
      </c>
      <c r="K17" s="533">
        <f>[2]Berek!L17+[2]overhead!K19</f>
        <v>5651.0215258293802</v>
      </c>
      <c r="L17" s="533">
        <f>[2]Berek!M17+[2]overhead!L19</f>
        <v>207.29080865135538</v>
      </c>
      <c r="M17" s="533">
        <f>[2]Berek!N17+[2]overhead!M19</f>
        <v>321.05000554782589</v>
      </c>
      <c r="N17" s="533">
        <f>[2]Berek!O17+[2]overhead!N19</f>
        <v>40.786438452955323</v>
      </c>
      <c r="O17" s="533">
        <f>[2]Berek!P17+[2]overhead!O19</f>
        <v>1.9764770112376251</v>
      </c>
      <c r="P17" s="533">
        <f>[2]Berek!Q17+[2]overhead!P19</f>
        <v>64.414548715096572</v>
      </c>
      <c r="Q17" s="533">
        <f>[2]Berek!R17+[2]overhead!Q19</f>
        <v>17.23508811155239</v>
      </c>
      <c r="R17" s="533">
        <f>[2]Berek!S17+[2]overhead!R19</f>
        <v>14.2473931239536</v>
      </c>
      <c r="S17" s="533">
        <f>[2]Berek!T17+[2]overhead!S19</f>
        <v>29.769995294485202</v>
      </c>
      <c r="T17" s="533">
        <f>[2]Berek!U17+[2]overhead!T19</f>
        <v>1249.4335071423018</v>
      </c>
      <c r="U17" s="533">
        <f>[2]Berek!V17+[2]overhead!U19</f>
        <v>536.93179809094534</v>
      </c>
      <c r="V17" s="533">
        <f>[2]Berek!W17+[2]overhead!V19</f>
        <v>0</v>
      </c>
      <c r="W17" s="533">
        <f>[2]Berek!X17+[2]overhead!W19</f>
        <v>28.633996973037636</v>
      </c>
      <c r="X17" s="533">
        <f>[2]Berek!Y17+[2]overhead!X19</f>
        <v>24.053867105288383</v>
      </c>
      <c r="Y17" s="533">
        <f>[2]Berek!Z17+[2]overhead!Y19</f>
        <v>54.343841136149237</v>
      </c>
      <c r="Z17" s="533">
        <f>[2]Berek!AA17+[2]overhead!Z19</f>
        <v>0</v>
      </c>
      <c r="AA17" s="533">
        <f>[2]Berek!AB17+[2]overhead!AA19</f>
        <v>19.261525766303723</v>
      </c>
      <c r="AB17" s="533">
        <f>[2]Berek!AC17+[2]overhead!AB19</f>
        <v>1.9347622991776372</v>
      </c>
      <c r="AC17" s="533">
        <f>[2]Berek!AD17+[2]overhead!AC19</f>
        <v>9.3082014468740475</v>
      </c>
      <c r="AD17" s="533">
        <f>[2]Berek!AE17+[2]overhead!AD19</f>
        <v>146.52256231961397</v>
      </c>
      <c r="AE17" s="534" t="e">
        <f t="shared" si="3"/>
        <v>#VALUE!</v>
      </c>
    </row>
    <row r="18" spans="1:31" ht="13.2" customHeight="1" x14ac:dyDescent="0.25">
      <c r="A18" s="518"/>
      <c r="B18" s="1031" t="s">
        <v>1300</v>
      </c>
      <c r="C18" s="1031"/>
      <c r="D18" s="1031"/>
      <c r="E18" s="1031"/>
      <c r="F18" s="1031"/>
      <c r="G18" s="519"/>
      <c r="H18" s="524" t="s">
        <v>1301</v>
      </c>
      <c r="I18" s="529" t="e">
        <f>SUMIFS([2]Balans!$F:$F,[2]Balans!$H:$H,$H18)</f>
        <v>#VALUE!</v>
      </c>
      <c r="J18" s="533">
        <f>[2]Berek!K18+[2]overhead!J20</f>
        <v>92879.180016034865</v>
      </c>
      <c r="K18" s="533">
        <f>[2]Berek!L18+[2]overhead!K20</f>
        <v>49950.330012508122</v>
      </c>
      <c r="L18" s="533">
        <f>[2]Berek!M18+[2]overhead!L20</f>
        <v>24082.355002741118</v>
      </c>
      <c r="M18" s="533">
        <f>[2]Berek!N18+[2]overhead!M20</f>
        <v>16854.623805621995</v>
      </c>
      <c r="N18" s="533">
        <f>[2]Berek!O18+[2]overhead!N20</f>
        <v>181626.36087197377</v>
      </c>
      <c r="O18" s="533">
        <f>[2]Berek!P18+[2]overhead!O20</f>
        <v>4.1136426654190696</v>
      </c>
      <c r="P18" s="533">
        <f>[2]Berek!Q18+[2]overhead!P20</f>
        <v>376.38074065983295</v>
      </c>
      <c r="Q18" s="533">
        <f>[2]Berek!R18+[2]overhead!Q20</f>
        <v>42.791345382744147</v>
      </c>
      <c r="R18" s="533">
        <f>[2]Berek!S18+[2]overhead!R20</f>
        <v>86.738867439889049</v>
      </c>
      <c r="S18" s="533">
        <f>[2]Berek!T18+[2]overhead!S20</f>
        <v>177.48923167525925</v>
      </c>
      <c r="T18" s="533">
        <f>[2]Berek!U18+[2]overhead!T20</f>
        <v>1136.3677299832491</v>
      </c>
      <c r="U18" s="533">
        <f>[2]Berek!V18+[2]overhead!U20</f>
        <v>105.86695835625362</v>
      </c>
      <c r="V18" s="533">
        <f>[2]Berek!W18+[2]overhead!V20</f>
        <v>0</v>
      </c>
      <c r="W18" s="533">
        <f>[2]Berek!X18+[2]overhead!W20</f>
        <v>59.542257352316383</v>
      </c>
      <c r="X18" s="533">
        <f>[2]Berek!Y18+[2]overhead!X20</f>
        <v>50.038290638230976</v>
      </c>
      <c r="Y18" s="533">
        <f>[2]Berek!Z18+[2]overhead!Y20</f>
        <v>113.03821252450419</v>
      </c>
      <c r="Z18" s="533">
        <f>[2]Berek!AA18+[2]overhead!Z20</f>
        <v>0</v>
      </c>
      <c r="AA18" s="533">
        <f>[2]Berek!AB18+[2]overhead!AA20</f>
        <v>40.146332350154303</v>
      </c>
      <c r="AB18" s="533">
        <f>[2]Berek!AC18+[2]overhead!AB20</f>
        <v>4.0273746074459318</v>
      </c>
      <c r="AC18" s="533">
        <f>[2]Berek!AD18+[2]overhead!AC20</f>
        <v>19.268418982610452</v>
      </c>
      <c r="AD18" s="533">
        <f>[2]Berek!AE18+[2]overhead!AD20</f>
        <v>5769.6408885022311</v>
      </c>
      <c r="AE18" s="534" t="e">
        <f t="shared" si="3"/>
        <v>#VALUE!</v>
      </c>
    </row>
    <row r="19" spans="1:31" ht="13.2" customHeight="1" x14ac:dyDescent="0.25">
      <c r="A19" s="518"/>
      <c r="B19" s="1031" t="s">
        <v>1302</v>
      </c>
      <c r="C19" s="1031"/>
      <c r="D19" s="1031"/>
      <c r="E19" s="1031"/>
      <c r="F19" s="1031"/>
      <c r="G19" s="519" t="s">
        <v>1303</v>
      </c>
      <c r="H19" s="524">
        <v>649</v>
      </c>
      <c r="I19" s="536" t="e">
        <f>SUMIFS([2]Balans!$F:$F,[2]Balans!$H:$H,$H19)</f>
        <v>#VALUE!</v>
      </c>
      <c r="J19" s="533">
        <f>[2]Berek!K19+[2]overhead!J21</f>
        <v>0</v>
      </c>
      <c r="K19" s="533">
        <f>[2]Berek!L19+[2]overhead!K21</f>
        <v>0</v>
      </c>
      <c r="L19" s="533">
        <f>[2]Berek!M19+[2]overhead!L21</f>
        <v>0</v>
      </c>
      <c r="M19" s="533">
        <f>[2]Berek!N19+[2]overhead!M21</f>
        <v>0</v>
      </c>
      <c r="N19" s="533">
        <f>[2]Berek!O19+[2]overhead!N21</f>
        <v>0</v>
      </c>
      <c r="O19" s="533">
        <f>[2]Berek!P19+[2]overhead!O21</f>
        <v>0</v>
      </c>
      <c r="P19" s="533">
        <f>[2]Berek!Q19+[2]overhead!P21</f>
        <v>0</v>
      </c>
      <c r="Q19" s="533">
        <f>[2]Berek!R19+[2]overhead!Q21</f>
        <v>0</v>
      </c>
      <c r="R19" s="533">
        <f>[2]Berek!S19+[2]overhead!R21</f>
        <v>0</v>
      </c>
      <c r="S19" s="533">
        <f>[2]Berek!T19+[2]overhead!S21</f>
        <v>0</v>
      </c>
      <c r="T19" s="533">
        <f>[2]Berek!U19+[2]overhead!T21</f>
        <v>0</v>
      </c>
      <c r="U19" s="533">
        <f>[2]Berek!V19+[2]overhead!U21</f>
        <v>0</v>
      </c>
      <c r="V19" s="533">
        <f>[2]Berek!W19+[2]overhead!V21</f>
        <v>0</v>
      </c>
      <c r="W19" s="533">
        <f>[2]Berek!X19+[2]overhead!W21</f>
        <v>0</v>
      </c>
      <c r="X19" s="533">
        <f>[2]Berek!Y19+[2]overhead!X21</f>
        <v>0</v>
      </c>
      <c r="Y19" s="533">
        <f>[2]Berek!Z19+[2]overhead!Y21</f>
        <v>0</v>
      </c>
      <c r="Z19" s="533">
        <f>[2]Berek!AA19+[2]overhead!Z21</f>
        <v>0</v>
      </c>
      <c r="AA19" s="533">
        <f>[2]Berek!AB19+[2]overhead!AA21</f>
        <v>0</v>
      </c>
      <c r="AB19" s="533">
        <f>[2]Berek!AC19+[2]overhead!AB21</f>
        <v>0</v>
      </c>
      <c r="AC19" s="533">
        <f>[2]Berek!AD19+[2]overhead!AC21</f>
        <v>0</v>
      </c>
      <c r="AD19" s="533">
        <f>[2]Berek!AE19+[2]overhead!AD21</f>
        <v>0</v>
      </c>
      <c r="AE19" s="534" t="e">
        <f t="shared" si="3"/>
        <v>#VALUE!</v>
      </c>
    </row>
    <row r="20" spans="1:31" x14ac:dyDescent="0.25">
      <c r="A20" s="518"/>
      <c r="B20" s="537"/>
      <c r="C20" s="500"/>
      <c r="D20" s="497"/>
      <c r="E20" s="497"/>
      <c r="F20" s="497"/>
      <c r="G20" s="519"/>
      <c r="H20" s="524"/>
      <c r="I20" s="527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28"/>
    </row>
    <row r="21" spans="1:31" x14ac:dyDescent="0.25">
      <c r="A21" s="1032" t="s">
        <v>1304</v>
      </c>
      <c r="B21" s="1032"/>
      <c r="C21" s="1032"/>
      <c r="D21" s="1032"/>
      <c r="E21" s="1032"/>
      <c r="F21" s="1032"/>
      <c r="G21" s="539" t="s">
        <v>1288</v>
      </c>
      <c r="H21" s="540">
        <v>9901</v>
      </c>
      <c r="I21" s="536" t="e">
        <f t="shared" ref="I21:AE21" si="4">I9-I14-I15-I16-I17-I18-I19</f>
        <v>#VALUE!</v>
      </c>
      <c r="J21" s="533">
        <f t="shared" si="4"/>
        <v>458985.42718570156</v>
      </c>
      <c r="K21" s="533">
        <f t="shared" si="4"/>
        <v>-649576.05977559404</v>
      </c>
      <c r="L21" s="533">
        <f t="shared" si="4"/>
        <v>-70164.268312009488</v>
      </c>
      <c r="M21" s="533">
        <f t="shared" si="4"/>
        <v>243934.27613731154</v>
      </c>
      <c r="N21" s="533">
        <f t="shared" si="4"/>
        <v>5476.0770360908646</v>
      </c>
      <c r="O21" s="533">
        <f t="shared" si="4"/>
        <v>7.22759735166402</v>
      </c>
      <c r="P21" s="533">
        <f t="shared" si="4"/>
        <v>-3706.5934899306721</v>
      </c>
      <c r="Q21" s="533">
        <f t="shared" si="4"/>
        <v>4886.3979307930013</v>
      </c>
      <c r="R21" s="533">
        <f t="shared" si="4"/>
        <v>8018.8407687860818</v>
      </c>
      <c r="S21" s="533">
        <f t="shared" si="4"/>
        <v>-8388.5382775238395</v>
      </c>
      <c r="T21" s="533">
        <f t="shared" si="4"/>
        <v>19996.585256689923</v>
      </c>
      <c r="U21" s="533">
        <f t="shared" si="4"/>
        <v>99.759538459741819</v>
      </c>
      <c r="V21" s="533">
        <f t="shared" si="4"/>
        <v>0</v>
      </c>
      <c r="W21" s="533">
        <f t="shared" si="4"/>
        <v>114.07061062941985</v>
      </c>
      <c r="X21" s="533">
        <f t="shared" si="4"/>
        <v>87.97941779718569</v>
      </c>
      <c r="Y21" s="533">
        <f t="shared" si="4"/>
        <v>198.7655176856596</v>
      </c>
      <c r="Z21" s="533">
        <f t="shared" si="4"/>
        <v>0</v>
      </c>
      <c r="AA21" s="533">
        <f t="shared" si="4"/>
        <v>70.450491646012864</v>
      </c>
      <c r="AB21" s="533">
        <f t="shared" si="4"/>
        <v>7.0812200592577188</v>
      </c>
      <c r="AC21" s="533">
        <f t="shared" si="4"/>
        <v>34.043491178212449</v>
      </c>
      <c r="AD21" s="533">
        <f t="shared" si="4"/>
        <v>-108436.58234509962</v>
      </c>
      <c r="AE21" s="534" t="e">
        <f t="shared" si="4"/>
        <v>#VALUE!</v>
      </c>
    </row>
    <row r="22" spans="1:31" ht="14.4" x14ac:dyDescent="0.3">
      <c r="A22" s="541"/>
      <c r="B22" s="1028"/>
      <c r="C22" s="1028"/>
      <c r="D22" s="1028"/>
      <c r="E22" s="1028"/>
      <c r="F22" s="1028"/>
      <c r="G22" s="539"/>
      <c r="H22" s="540"/>
      <c r="I22" s="542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4"/>
    </row>
    <row r="23" spans="1:31" x14ac:dyDescent="0.25">
      <c r="A23" s="545" t="s">
        <v>1305</v>
      </c>
      <c r="B23" s="546"/>
      <c r="C23" s="546"/>
      <c r="D23" s="546"/>
      <c r="E23" s="546"/>
      <c r="F23" s="546"/>
      <c r="G23" s="519"/>
      <c r="H23" s="524">
        <v>75</v>
      </c>
      <c r="I23" s="529" t="e">
        <f>SUMIFS([2]Balans!$F:$F,[2]Balans!$H:$H,$H23)</f>
        <v>#VALUE!</v>
      </c>
      <c r="J23" s="531">
        <f>[2]Berek!K23+[2]overhead!J25</f>
        <v>331.36290060042904</v>
      </c>
      <c r="K23" s="531">
        <f>[2]Berek!L23+[2]overhead!K25</f>
        <v>263.3781643180551</v>
      </c>
      <c r="L23" s="531">
        <f>[2]Berek!M23+[2]overhead!L25</f>
        <v>13.441989997123279</v>
      </c>
      <c r="M23" s="531">
        <f>[2]Berek!N23+[2]overhead!M25</f>
        <v>20.818824487334698</v>
      </c>
      <c r="N23" s="531">
        <f>[2]Berek!O23+[2]overhead!N25</f>
        <v>2.6448393986682679</v>
      </c>
      <c r="O23" s="531">
        <f>[2]Berek!P23+[2]overhead!O25</f>
        <v>0.12816672570989343</v>
      </c>
      <c r="P23" s="531">
        <f>[2]Berek!Q23+[2]overhead!P25</f>
        <v>4.1770290015793075</v>
      </c>
      <c r="Q23" s="531">
        <f>[2]Berek!R23+[2]overhead!Q25</f>
        <v>1.1176273733616444</v>
      </c>
      <c r="R23" s="531">
        <f>[2]Berek!S23+[2]overhead!R25</f>
        <v>0.92388715690417111</v>
      </c>
      <c r="S23" s="531">
        <f>[2]Berek!T23+[2]overhead!S25</f>
        <v>1.9304665825098108</v>
      </c>
      <c r="T23" s="531">
        <f>[2]Berek!U23+[2]overhead!T25</f>
        <v>33.565463214804929</v>
      </c>
      <c r="U23" s="531">
        <f>[2]Berek!V23+[2]overhead!U25</f>
        <v>1.2905529801526292</v>
      </c>
      <c r="V23" s="531">
        <f>[2]Berek!W23+[2]overhead!V25</f>
        <v>0</v>
      </c>
      <c r="W23" s="531">
        <f>[2]Berek!X23+[2]overhead!W25</f>
        <v>1.8568015793531589</v>
      </c>
      <c r="X23" s="531">
        <f>[2]Berek!Y23+[2]overhead!X25</f>
        <v>1.5597982521513261</v>
      </c>
      <c r="Y23" s="531">
        <f>[2]Berek!Z23+[2]overhead!Y25</f>
        <v>3.5239834014348048</v>
      </c>
      <c r="Z23" s="531">
        <f>[2]Berek!AA23+[2]overhead!Z25</f>
        <v>0</v>
      </c>
      <c r="AA23" s="531">
        <f>[2]Berek!AB23+[2]overhead!AA25</f>
        <v>1.2490338494238589</v>
      </c>
      <c r="AB23" s="531">
        <f>[2]Berek!AC23+[2]overhead!AB25</f>
        <v>0.12546169143514019</v>
      </c>
      <c r="AC23" s="531">
        <f>[2]Berek!AD23+[2]overhead!AC25</f>
        <v>0.60360008991296521</v>
      </c>
      <c r="AD23" s="531">
        <f>[2]Berek!AE23+[2]overhead!AD25</f>
        <v>9.501409299655629</v>
      </c>
      <c r="AE23" s="530" t="e">
        <f>I23-SUM(J23:AD23)</f>
        <v>#VALUE!</v>
      </c>
    </row>
    <row r="24" spans="1:31" x14ac:dyDescent="0.25">
      <c r="A24" s="545"/>
      <c r="B24" s="546"/>
      <c r="C24" s="546"/>
      <c r="D24" s="546"/>
      <c r="E24" s="546"/>
      <c r="F24" s="546"/>
      <c r="G24" s="519"/>
      <c r="H24" s="524"/>
      <c r="I24" s="542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4"/>
    </row>
    <row r="25" spans="1:31" x14ac:dyDescent="0.25">
      <c r="A25" s="1025" t="s">
        <v>1306</v>
      </c>
      <c r="B25" s="1025"/>
      <c r="C25" s="1025"/>
      <c r="D25" s="1025"/>
      <c r="E25" s="1025"/>
      <c r="F25" s="1025"/>
      <c r="G25" s="519"/>
      <c r="H25" s="524">
        <v>65</v>
      </c>
      <c r="I25" s="529" t="e">
        <f>SUMIFS([2]Balans!$F:$F,[2]Balans!$H:$H,$H25)</f>
        <v>#VALUE!</v>
      </c>
      <c r="J25" s="531">
        <f>[2]Berek!K25+[2]overhead!J27</f>
        <v>81275.498233756705</v>
      </c>
      <c r="K25" s="531">
        <f>[2]Berek!L25+[2]overhead!K27</f>
        <v>15620.566856218358</v>
      </c>
      <c r="L25" s="531">
        <f>[2]Berek!M25+[2]overhead!L27</f>
        <v>760.07622989478477</v>
      </c>
      <c r="M25" s="531">
        <f>[2]Berek!N25+[2]overhead!M27</f>
        <v>1326.2487354968316</v>
      </c>
      <c r="N25" s="531">
        <f>[2]Berek!O25+[2]overhead!N27</f>
        <v>187.30222844587644</v>
      </c>
      <c r="O25" s="531">
        <f>[2]Berek!P25+[2]overhead!O27</f>
        <v>7.2471770694951338</v>
      </c>
      <c r="P25" s="531">
        <f>[2]Berek!Q25+[2]overhead!P27</f>
        <v>236.18976478639166</v>
      </c>
      <c r="Q25" s="531">
        <f>[2]Berek!R25+[2]overhead!Q27</f>
        <v>63.196148825711624</v>
      </c>
      <c r="R25" s="531">
        <f>[2]Berek!S25+[2]overhead!R27</f>
        <v>52.241124061111265</v>
      </c>
      <c r="S25" s="531">
        <f>[2]Berek!T25+[2]overhead!S27</f>
        <v>109.15807572286126</v>
      </c>
      <c r="T25" s="531">
        <f>[2]Berek!U25+[2]overhead!T27</f>
        <v>334.39882716900132</v>
      </c>
      <c r="U25" s="531">
        <f>[2]Berek!V25+[2]overhead!U27</f>
        <v>99.944213181516716</v>
      </c>
      <c r="V25" s="531">
        <f>[2]Berek!W25+[2]overhead!V27</f>
        <v>0</v>
      </c>
      <c r="W25" s="531">
        <f>[2]Berek!X25+[2]overhead!W27</f>
        <v>114.33269411742353</v>
      </c>
      <c r="X25" s="531">
        <f>[2]Berek!Y25+[2]overhead!X27</f>
        <v>88.198665163817097</v>
      </c>
      <c r="Y25" s="531">
        <f>[2]Berek!Z25+[2]overhead!Y27</f>
        <v>199.26335449941499</v>
      </c>
      <c r="Z25" s="531">
        <f>[2]Berek!AA25+[2]overhead!Z27</f>
        <v>0</v>
      </c>
      <c r="AA25" s="531">
        <f>[2]Berek!AB25+[2]overhead!AA27</f>
        <v>70.626517315087256</v>
      </c>
      <c r="AB25" s="531">
        <f>[2]Berek!AC25+[2]overhead!AB27</f>
        <v>7.094221126682303</v>
      </c>
      <c r="AC25" s="531">
        <f>[2]Berek!AD25+[2]overhead!AC27</f>
        <v>34.130517936956039</v>
      </c>
      <c r="AD25" s="531">
        <f>[2]Berek!AE25+[2]overhead!AD27</f>
        <v>537.25641521196144</v>
      </c>
      <c r="AE25" s="530" t="e">
        <f>I25-SUM(J25:AD25)</f>
        <v>#VALUE!</v>
      </c>
    </row>
    <row r="26" spans="1:31" x14ac:dyDescent="0.25">
      <c r="A26" s="523"/>
      <c r="B26" s="525"/>
      <c r="C26" s="525"/>
      <c r="D26" s="525"/>
      <c r="E26" s="525"/>
      <c r="F26" s="525"/>
      <c r="G26" s="519"/>
      <c r="H26" s="524"/>
      <c r="I26" s="536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4"/>
    </row>
    <row r="27" spans="1:31" x14ac:dyDescent="0.25">
      <c r="A27" s="1026" t="s">
        <v>1307</v>
      </c>
      <c r="B27" s="1026"/>
      <c r="C27" s="1026"/>
      <c r="D27" s="1026"/>
      <c r="E27" s="1026"/>
      <c r="F27" s="1026"/>
      <c r="G27" s="547" t="s">
        <v>1288</v>
      </c>
      <c r="H27" s="524">
        <v>9902</v>
      </c>
      <c r="I27" s="536" t="e">
        <f t="shared" ref="I27:AE27" si="5">I21+I23-I25</f>
        <v>#VALUE!</v>
      </c>
      <c r="J27" s="533">
        <f t="shared" si="5"/>
        <v>378041.29185254528</v>
      </c>
      <c r="K27" s="533">
        <f t="shared" si="5"/>
        <v>-664933.24846749438</v>
      </c>
      <c r="L27" s="533">
        <f t="shared" si="5"/>
        <v>-70910.902551907144</v>
      </c>
      <c r="M27" s="533">
        <f t="shared" si="5"/>
        <v>242628.84622630203</v>
      </c>
      <c r="N27" s="533">
        <f t="shared" si="5"/>
        <v>5291.4196470436564</v>
      </c>
      <c r="O27" s="533">
        <f t="shared" si="5"/>
        <v>0.1085870078787794</v>
      </c>
      <c r="P27" s="533">
        <f t="shared" si="5"/>
        <v>-3938.6062257154845</v>
      </c>
      <c r="Q27" s="533">
        <f t="shared" si="5"/>
        <v>4824.319409340651</v>
      </c>
      <c r="R27" s="533">
        <f t="shared" si="5"/>
        <v>7967.523531881875</v>
      </c>
      <c r="S27" s="533">
        <f t="shared" si="5"/>
        <v>-8495.7658866641923</v>
      </c>
      <c r="T27" s="533">
        <f t="shared" si="5"/>
        <v>19695.751892735727</v>
      </c>
      <c r="U27" s="533">
        <f t="shared" si="5"/>
        <v>1.1058782583777287</v>
      </c>
      <c r="V27" s="533">
        <f t="shared" si="5"/>
        <v>0</v>
      </c>
      <c r="W27" s="533">
        <f t="shared" si="5"/>
        <v>1.5947180913494776</v>
      </c>
      <c r="X27" s="533">
        <f t="shared" si="5"/>
        <v>1.3405508855199173</v>
      </c>
      <c r="Y27" s="533">
        <f t="shared" si="5"/>
        <v>3.0261465876794205</v>
      </c>
      <c r="Z27" s="533">
        <f t="shared" si="5"/>
        <v>0</v>
      </c>
      <c r="AA27" s="533">
        <f t="shared" si="5"/>
        <v>1.0730081803494613</v>
      </c>
      <c r="AB27" s="533">
        <f t="shared" si="5"/>
        <v>0.11246062401055568</v>
      </c>
      <c r="AC27" s="533">
        <f t="shared" si="5"/>
        <v>0.51657333116937565</v>
      </c>
      <c r="AD27" s="533">
        <f t="shared" si="5"/>
        <v>-108964.33735101193</v>
      </c>
      <c r="AE27" s="534" t="e">
        <f t="shared" si="5"/>
        <v>#VALUE!</v>
      </c>
    </row>
    <row r="28" spans="1:31" x14ac:dyDescent="0.25">
      <c r="A28" s="518"/>
      <c r="B28" s="497"/>
      <c r="C28" s="497"/>
      <c r="D28" s="497"/>
      <c r="E28" s="497"/>
      <c r="F28" s="497"/>
      <c r="G28" s="519"/>
      <c r="H28" s="524"/>
      <c r="I28" s="527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38"/>
      <c r="AD28" s="538"/>
      <c r="AE28" s="528"/>
    </row>
    <row r="29" spans="1:31" x14ac:dyDescent="0.25">
      <c r="A29" s="1025" t="s">
        <v>1308</v>
      </c>
      <c r="B29" s="1025"/>
      <c r="C29" s="1025"/>
      <c r="D29" s="1025"/>
      <c r="E29" s="1025"/>
      <c r="F29" s="1025"/>
      <c r="G29" s="519"/>
      <c r="H29" s="524">
        <v>76</v>
      </c>
      <c r="I29" s="529" t="e">
        <f>SUMIFS([2]Balans!$F:$F,[2]Balans!$H:$H,$H29)</f>
        <v>#VALUE!</v>
      </c>
      <c r="J29" s="531">
        <f>[2]Berek!K29+[2]overhead!J31</f>
        <v>0</v>
      </c>
      <c r="K29" s="531">
        <f>[2]Berek!L29+[2]overhead!K31</f>
        <v>0</v>
      </c>
      <c r="L29" s="531">
        <f>[2]Berek!M29+[2]overhead!L31</f>
        <v>0</v>
      </c>
      <c r="M29" s="531">
        <f>[2]Berek!N29+[2]overhead!M31</f>
        <v>0</v>
      </c>
      <c r="N29" s="531">
        <f>[2]Berek!O29+[2]overhead!N31</f>
        <v>0</v>
      </c>
      <c r="O29" s="531">
        <f>[2]Berek!P29+[2]overhead!O31</f>
        <v>0</v>
      </c>
      <c r="P29" s="531">
        <f>[2]Berek!Q29+[2]overhead!P31</f>
        <v>0</v>
      </c>
      <c r="Q29" s="531">
        <f>[2]Berek!R29+[2]overhead!Q31</f>
        <v>0</v>
      </c>
      <c r="R29" s="531">
        <f>[2]Berek!S29+[2]overhead!R31</f>
        <v>0</v>
      </c>
      <c r="S29" s="531">
        <f>[2]Berek!T29+[2]overhead!S31</f>
        <v>0</v>
      </c>
      <c r="T29" s="531">
        <f>[2]Berek!U29+[2]overhead!T31</f>
        <v>0</v>
      </c>
      <c r="U29" s="531">
        <f>[2]Berek!V29+[2]overhead!U31</f>
        <v>0</v>
      </c>
      <c r="V29" s="531">
        <f>[2]Berek!W29+[2]overhead!V31</f>
        <v>0</v>
      </c>
      <c r="W29" s="531">
        <f>[2]Berek!X29+[2]overhead!W31</f>
        <v>0</v>
      </c>
      <c r="X29" s="531">
        <f>[2]Berek!Y29+[2]overhead!X31</f>
        <v>0</v>
      </c>
      <c r="Y29" s="531">
        <f>[2]Berek!Z29+[2]overhead!Y31</f>
        <v>0</v>
      </c>
      <c r="Z29" s="531">
        <f>[2]Berek!AA29+[2]overhead!Z31</f>
        <v>0</v>
      </c>
      <c r="AA29" s="531">
        <f>[2]Berek!AB29+[2]overhead!AA31</f>
        <v>0</v>
      </c>
      <c r="AB29" s="531">
        <f>[2]Berek!AC29+[2]overhead!AB31</f>
        <v>0</v>
      </c>
      <c r="AC29" s="531">
        <f>[2]Berek!AD29+[2]overhead!AC31</f>
        <v>0</v>
      </c>
      <c r="AD29" s="531">
        <f>[2]Berek!AE29+[2]overhead!AD31</f>
        <v>0</v>
      </c>
      <c r="AE29" s="530" t="e">
        <f>I29-SUM(J29:AD29)</f>
        <v>#VALUE!</v>
      </c>
    </row>
    <row r="30" spans="1:31" x14ac:dyDescent="0.25">
      <c r="A30" s="523"/>
      <c r="B30" s="525"/>
      <c r="C30" s="525"/>
      <c r="D30" s="525"/>
      <c r="E30" s="525"/>
      <c r="F30" s="525"/>
      <c r="G30" s="519"/>
      <c r="H30" s="524"/>
      <c r="I30" s="542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4"/>
    </row>
    <row r="31" spans="1:31" x14ac:dyDescent="0.25">
      <c r="A31" s="1025" t="s">
        <v>1309</v>
      </c>
      <c r="B31" s="1025"/>
      <c r="C31" s="1025"/>
      <c r="D31" s="1025"/>
      <c r="E31" s="1025"/>
      <c r="F31" s="1025"/>
      <c r="G31" s="519"/>
      <c r="H31" s="524">
        <v>66</v>
      </c>
      <c r="I31" s="529" t="e">
        <f>SUMIFS([2]Balans!$F:$F,[2]Balans!$H:$H,$H31)</f>
        <v>#VALUE!</v>
      </c>
      <c r="J31" s="531">
        <f>[2]Berek!K31+[2]overhead!J33</f>
        <v>1976.1666207683536</v>
      </c>
      <c r="K31" s="531">
        <f>[2]Berek!L31+[2]overhead!K33</f>
        <v>2307.610642516971</v>
      </c>
      <c r="L31" s="531">
        <f>[2]Berek!M31+[2]overhead!L33</f>
        <v>201.0302763413201</v>
      </c>
      <c r="M31" s="531">
        <f>[2]Berek!N31+[2]overhead!M33</f>
        <v>17.857980811753563</v>
      </c>
      <c r="N31" s="531">
        <f>[2]Berek!O31+[2]overhead!N33</f>
        <v>2.2686915517406581</v>
      </c>
      <c r="O31" s="531">
        <f>[2]Berek!P31+[2]overhead!O33</f>
        <v>0.10993891272895685</v>
      </c>
      <c r="P31" s="531">
        <f>[2]Berek!Q31+[2]overhead!P33</f>
        <v>3.5829738516562673</v>
      </c>
      <c r="Q31" s="531">
        <f>[2]Berek!R31+[2]overhead!Q33</f>
        <v>30.478678920624205</v>
      </c>
      <c r="R31" s="531">
        <f>[2]Berek!S31+[2]overhead!R33</f>
        <v>0.79249234894397602</v>
      </c>
      <c r="S31" s="531">
        <f>[2]Berek!T31+[2]overhead!S33</f>
        <v>1.6559165100394773</v>
      </c>
      <c r="T31" s="531">
        <f>[2]Berek!U31+[2]overhead!T33</f>
        <v>3.0583846707452196</v>
      </c>
      <c r="U31" s="531">
        <f>[2]Berek!V31+[2]overhead!U33</f>
        <v>1.1070111268836367</v>
      </c>
      <c r="V31" s="531">
        <f>[2]Berek!W31+[2]overhead!V33</f>
        <v>0</v>
      </c>
      <c r="W31" s="531">
        <f>[2]Berek!X31+[2]overhead!W33</f>
        <v>1.5927281098649353</v>
      </c>
      <c r="X31" s="531">
        <f>[2]Berek!Y31+[2]overhead!X33</f>
        <v>1.3379644597162943</v>
      </c>
      <c r="Y31" s="531">
        <f>[2]Berek!Z31+[2]overhead!Y33</f>
        <v>3.0228040974189261</v>
      </c>
      <c r="Z31" s="531">
        <f>[2]Berek!AA31+[2]overhead!Z33</f>
        <v>0</v>
      </c>
      <c r="AA31" s="531">
        <f>[2]Berek!AB31+[2]overhead!AA33</f>
        <v>1.0713968278954236</v>
      </c>
      <c r="AB31" s="531">
        <f>[2]Berek!AC31+[2]overhead!AB33</f>
        <v>0.10761858718881567</v>
      </c>
      <c r="AC31" s="531">
        <f>[2]Berek!AD31+[2]overhead!AC33</f>
        <v>0.51775636180592233</v>
      </c>
      <c r="AD31" s="531">
        <f>[2]Berek!AE31+[2]overhead!AD33</f>
        <v>8.1501232243487554</v>
      </c>
      <c r="AE31" s="530" t="e">
        <f>I31-SUM(J31:AD31)</f>
        <v>#VALUE!</v>
      </c>
    </row>
    <row r="32" spans="1:31" x14ac:dyDescent="0.25">
      <c r="A32" s="518"/>
      <c r="B32" s="497"/>
      <c r="C32" s="497"/>
      <c r="D32" s="497"/>
      <c r="E32" s="497"/>
      <c r="F32" s="497"/>
      <c r="G32" s="519"/>
      <c r="H32" s="524"/>
      <c r="I32" s="527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28"/>
    </row>
    <row r="33" spans="1:31" x14ac:dyDescent="0.25">
      <c r="A33" s="1027" t="s">
        <v>1310</v>
      </c>
      <c r="B33" s="1027"/>
      <c r="C33" s="1027"/>
      <c r="D33" s="1027"/>
      <c r="E33" s="1027"/>
      <c r="F33" s="1027"/>
      <c r="G33" s="539" t="s">
        <v>1288</v>
      </c>
      <c r="H33" s="540">
        <v>9904</v>
      </c>
      <c r="I33" s="536" t="e">
        <f t="shared" ref="I33:AE33" si="6">I27+I29-I31</f>
        <v>#VALUE!</v>
      </c>
      <c r="J33" s="533">
        <f t="shared" si="6"/>
        <v>376065.12523177691</v>
      </c>
      <c r="K33" s="533">
        <f t="shared" si="6"/>
        <v>-667240.85911001137</v>
      </c>
      <c r="L33" s="533">
        <f t="shared" si="6"/>
        <v>-71111.932828248464</v>
      </c>
      <c r="M33" s="533">
        <f t="shared" si="6"/>
        <v>242610.98824549027</v>
      </c>
      <c r="N33" s="533">
        <f t="shared" si="6"/>
        <v>5289.1509554919157</v>
      </c>
      <c r="O33" s="533">
        <f t="shared" si="6"/>
        <v>-1.3519048501774572E-3</v>
      </c>
      <c r="P33" s="533">
        <f t="shared" si="6"/>
        <v>-3942.1891995671408</v>
      </c>
      <c r="Q33" s="533">
        <f t="shared" si="6"/>
        <v>4793.8407304200264</v>
      </c>
      <c r="R33" s="533">
        <f t="shared" si="6"/>
        <v>7966.7310395329314</v>
      </c>
      <c r="S33" s="533">
        <f t="shared" si="6"/>
        <v>-8497.4218031742312</v>
      </c>
      <c r="T33" s="533">
        <f t="shared" si="6"/>
        <v>19692.693508064982</v>
      </c>
      <c r="U33" s="533">
        <f t="shared" si="6"/>
        <v>-1.1328685059079913E-3</v>
      </c>
      <c r="V33" s="533">
        <f t="shared" si="6"/>
        <v>0</v>
      </c>
      <c r="W33" s="533">
        <f t="shared" si="6"/>
        <v>1.9899814845423247E-3</v>
      </c>
      <c r="X33" s="533">
        <f t="shared" si="6"/>
        <v>2.5864258036230048E-3</v>
      </c>
      <c r="Y33" s="533">
        <f t="shared" si="6"/>
        <v>3.3424902604943796E-3</v>
      </c>
      <c r="Z33" s="533">
        <f t="shared" si="6"/>
        <v>0</v>
      </c>
      <c r="AA33" s="533">
        <f t="shared" si="6"/>
        <v>1.6113524540377622E-3</v>
      </c>
      <c r="AB33" s="533">
        <f t="shared" si="6"/>
        <v>4.8420368217400034E-3</v>
      </c>
      <c r="AC33" s="533">
        <f t="shared" si="6"/>
        <v>-1.1830306365466781E-3</v>
      </c>
      <c r="AD33" s="533">
        <f t="shared" si="6"/>
        <v>-108972.48747423627</v>
      </c>
      <c r="AE33" s="534" t="e">
        <f t="shared" si="6"/>
        <v>#VALUE!</v>
      </c>
    </row>
    <row r="34" spans="1:31" ht="13.8" thickBot="1" x14ac:dyDescent="0.3">
      <c r="A34" s="548"/>
      <c r="B34" s="549"/>
      <c r="C34" s="549"/>
      <c r="D34" s="549"/>
      <c r="E34" s="549"/>
      <c r="F34" s="549"/>
      <c r="G34" s="550"/>
      <c r="H34" s="551"/>
      <c r="I34" s="552"/>
      <c r="J34" s="553"/>
      <c r="K34" s="552"/>
      <c r="L34" s="552"/>
      <c r="M34" s="552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4"/>
    </row>
    <row r="36" spans="1:31" x14ac:dyDescent="0.25"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</row>
    <row r="37" spans="1:31" x14ac:dyDescent="0.25"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  <c r="AC37" s="555"/>
      <c r="AD37" s="555"/>
    </row>
    <row r="38" spans="1:31" x14ac:dyDescent="0.25">
      <c r="J38" s="556"/>
      <c r="M38" s="556"/>
      <c r="N38" s="556"/>
      <c r="O38" s="556"/>
      <c r="P38" s="556"/>
      <c r="Q38" s="556"/>
      <c r="R38" s="556"/>
      <c r="S38" s="556"/>
      <c r="T38" s="557"/>
      <c r="U38" s="555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AE21 I27:AE27 I33:AE33">
    <cfRule type="cellIs" dxfId="116" priority="2" stopIfTrue="1" operator="lessThan">
      <formula>0</formula>
    </cfRule>
  </conditionalFormatting>
  <conditionalFormatting sqref="I21:AE21 I27:AE27 I33:AE33">
    <cfRule type="cellIs" dxfId="115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36"/>
  <sheetViews>
    <sheetView topLeftCell="L1" workbookViewId="0">
      <selection sqref="A1:J1"/>
    </sheetView>
  </sheetViews>
  <sheetFormatPr defaultColWidth="9.109375" defaultRowHeight="14.4" x14ac:dyDescent="0.3"/>
  <cols>
    <col min="1" max="1" width="2.6640625" style="558" bestFit="1" customWidth="1"/>
    <col min="2" max="2" width="4.6640625" style="558" bestFit="1" customWidth="1"/>
    <col min="3" max="3" width="3.6640625" style="558" customWidth="1"/>
    <col min="4" max="5" width="9.109375" style="558" customWidth="1"/>
    <col min="6" max="6" width="22.5546875" style="558" customWidth="1"/>
    <col min="7" max="7" width="4.44140625" style="558" bestFit="1" customWidth="1"/>
    <col min="8" max="8" width="6.33203125" style="558" bestFit="1" customWidth="1"/>
    <col min="9" max="9" width="14.6640625" style="558" customWidth="1"/>
    <col min="10" max="10" width="20.88671875" style="558" customWidth="1"/>
    <col min="11" max="11" width="17.6640625" style="558" customWidth="1"/>
    <col min="12" max="12" width="23.33203125" style="558" bestFit="1" customWidth="1"/>
    <col min="13" max="13" width="24.33203125" style="558" bestFit="1" customWidth="1"/>
    <col min="14" max="14" width="17.6640625" style="558" customWidth="1"/>
    <col min="15" max="15" width="17.44140625" style="558" customWidth="1"/>
    <col min="16" max="18" width="29.6640625" style="558" customWidth="1"/>
    <col min="19" max="19" width="13.5546875" style="558" customWidth="1"/>
    <col min="20" max="20" width="9.109375" style="558" customWidth="1"/>
    <col min="21" max="21" width="10.109375" style="558" bestFit="1" customWidth="1"/>
    <col min="22" max="22" width="9.109375" style="558" customWidth="1"/>
    <col min="23" max="16384" width="9.109375" style="558"/>
  </cols>
  <sheetData>
    <row r="1" spans="1:19" ht="17.399999999999999" x14ac:dyDescent="0.3">
      <c r="A1" s="1048" t="s">
        <v>1311</v>
      </c>
      <c r="B1" s="1048"/>
      <c r="C1" s="1048"/>
      <c r="D1" s="1048"/>
      <c r="E1" s="1048"/>
      <c r="F1" s="1048"/>
      <c r="G1" s="1048"/>
      <c r="H1" s="1048"/>
      <c r="I1" s="1048"/>
      <c r="J1" s="1048"/>
    </row>
    <row r="2" spans="1:19" ht="15.6" x14ac:dyDescent="0.3">
      <c r="A2" s="1049" t="s">
        <v>1312</v>
      </c>
      <c r="B2" s="1049"/>
      <c r="C2" s="1049"/>
      <c r="D2" s="1049"/>
      <c r="E2" s="1049"/>
      <c r="F2" s="1049"/>
      <c r="G2" s="1049"/>
      <c r="H2" s="1049"/>
      <c r="I2" s="1049"/>
      <c r="J2" s="559" t="s">
        <v>1313</v>
      </c>
    </row>
    <row r="3" spans="1:19" ht="15.6" x14ac:dyDescent="0.3">
      <c r="A3" s="560"/>
      <c r="B3" s="560"/>
      <c r="C3" s="560"/>
      <c r="D3" s="561"/>
      <c r="E3" s="203"/>
      <c r="F3" s="203"/>
      <c r="G3" s="203"/>
      <c r="H3" s="203"/>
      <c r="I3" s="203"/>
    </row>
    <row r="4" spans="1:19" s="571" customFormat="1" ht="26.25" customHeight="1" thickBot="1" x14ac:dyDescent="0.35">
      <c r="A4" s="562"/>
      <c r="B4" s="563"/>
      <c r="C4" s="563"/>
      <c r="D4" s="563"/>
      <c r="E4" s="563"/>
      <c r="F4" s="563"/>
      <c r="G4" s="564"/>
      <c r="H4" s="565" t="s">
        <v>1275</v>
      </c>
      <c r="I4" s="566" t="s">
        <v>1276</v>
      </c>
      <c r="J4" s="567" t="s">
        <v>1314</v>
      </c>
      <c r="K4" s="568" t="s">
        <v>1315</v>
      </c>
      <c r="L4" s="568" t="s">
        <v>1316</v>
      </c>
      <c r="M4" s="568" t="s">
        <v>1317</v>
      </c>
      <c r="N4" s="569" t="s">
        <v>1318</v>
      </c>
      <c r="O4" s="568" t="s">
        <v>1319</v>
      </c>
      <c r="P4" s="568" t="s">
        <v>1320</v>
      </c>
      <c r="Q4" s="568" t="s">
        <v>1321</v>
      </c>
      <c r="R4" s="568" t="s">
        <v>1322</v>
      </c>
      <c r="S4" s="570" t="s">
        <v>1283</v>
      </c>
    </row>
    <row r="5" spans="1:19" s="571" customFormat="1" ht="15" customHeight="1" thickBot="1" x14ac:dyDescent="0.35">
      <c r="A5" s="1050" t="s">
        <v>1284</v>
      </c>
      <c r="B5" s="1050"/>
      <c r="C5" s="1050"/>
      <c r="D5" s="1050"/>
      <c r="E5" s="1050"/>
      <c r="F5" s="1050"/>
      <c r="G5" s="1050"/>
      <c r="H5" s="1050"/>
      <c r="I5" s="572">
        <f>71.7</f>
        <v>71.7</v>
      </c>
      <c r="J5" s="573">
        <f>I5-K5-L5-M5-N5-O5-P5-Q5-R5</f>
        <v>66.022500000000008</v>
      </c>
      <c r="K5" s="574">
        <f>1.94</f>
        <v>1.94</v>
      </c>
      <c r="L5" s="574">
        <v>0.8</v>
      </c>
      <c r="M5" s="574">
        <v>0.75</v>
      </c>
      <c r="N5" s="574">
        <f>0.75/4</f>
        <v>0.1875</v>
      </c>
      <c r="O5" s="574">
        <v>0.5</v>
      </c>
      <c r="P5" s="574">
        <f>1</f>
        <v>1</v>
      </c>
      <c r="Q5" s="574">
        <v>0</v>
      </c>
      <c r="R5" s="574">
        <v>0.5</v>
      </c>
      <c r="S5" s="575">
        <f>I5-SUM(J5:R5)</f>
        <v>0</v>
      </c>
    </row>
    <row r="6" spans="1:19" x14ac:dyDescent="0.3">
      <c r="A6" s="1051" t="s">
        <v>1285</v>
      </c>
      <c r="B6" s="1051"/>
      <c r="C6" s="1051"/>
      <c r="D6" s="1051"/>
      <c r="E6" s="1051"/>
      <c r="F6" s="1051"/>
      <c r="G6" s="576"/>
      <c r="I6" s="577"/>
      <c r="J6" s="578"/>
      <c r="K6" s="577"/>
      <c r="L6" s="577"/>
      <c r="M6" s="577"/>
      <c r="N6" s="577"/>
      <c r="O6" s="577"/>
      <c r="P6" s="577"/>
      <c r="Q6" s="577"/>
      <c r="R6" s="577"/>
      <c r="S6" s="579"/>
    </row>
    <row r="7" spans="1:19" ht="8.25" customHeight="1" x14ac:dyDescent="0.3">
      <c r="A7" s="580"/>
      <c r="G7" s="581"/>
      <c r="I7" s="582"/>
      <c r="J7" s="583"/>
      <c r="K7" s="582"/>
      <c r="L7" s="582"/>
      <c r="M7" s="582"/>
      <c r="N7" s="582"/>
      <c r="O7" s="582"/>
      <c r="P7" s="582"/>
      <c r="Q7" s="582"/>
      <c r="R7" s="582"/>
      <c r="S7" s="584"/>
    </row>
    <row r="8" spans="1:19" x14ac:dyDescent="0.3">
      <c r="A8" s="1038" t="s">
        <v>1286</v>
      </c>
      <c r="B8" s="1038"/>
      <c r="C8" s="1038"/>
      <c r="D8" s="1038"/>
      <c r="E8" s="1038"/>
      <c r="F8" s="1038"/>
      <c r="G8" s="586"/>
      <c r="I8" s="582"/>
      <c r="J8" s="583"/>
      <c r="K8" s="582"/>
      <c r="L8" s="582"/>
      <c r="M8" s="582"/>
      <c r="N8" s="582"/>
      <c r="O8" s="582"/>
      <c r="P8" s="582"/>
      <c r="Q8" s="582"/>
      <c r="R8" s="582"/>
      <c r="S8" s="584"/>
    </row>
    <row r="9" spans="1:19" x14ac:dyDescent="0.3">
      <c r="A9" s="585"/>
      <c r="B9" s="587" t="s">
        <v>1287</v>
      </c>
      <c r="C9" s="588"/>
      <c r="D9" s="588"/>
      <c r="E9" s="588"/>
      <c r="F9" s="588"/>
      <c r="G9" s="589" t="s">
        <v>1288</v>
      </c>
      <c r="H9" s="590">
        <v>9900</v>
      </c>
      <c r="I9" s="591">
        <f t="shared" ref="I9:R9" si="0">I10-I13</f>
        <v>4621863</v>
      </c>
      <c r="J9" s="591">
        <f t="shared" si="0"/>
        <v>4189591.6099999994</v>
      </c>
      <c r="K9" s="591">
        <f t="shared" si="0"/>
        <v>75751.430000000008</v>
      </c>
      <c r="L9" s="591">
        <f t="shared" si="0"/>
        <v>45934.049999999996</v>
      </c>
      <c r="M9" s="591">
        <f t="shared" si="0"/>
        <v>36425.11</v>
      </c>
      <c r="N9" s="591">
        <f t="shared" si="0"/>
        <v>11357.25</v>
      </c>
      <c r="O9" s="591">
        <f t="shared" si="0"/>
        <v>152633</v>
      </c>
      <c r="P9" s="591">
        <f t="shared" si="0"/>
        <v>91770.55</v>
      </c>
      <c r="Q9" s="591">
        <f t="shared" si="0"/>
        <v>0</v>
      </c>
      <c r="R9" s="591">
        <f t="shared" si="0"/>
        <v>18400</v>
      </c>
      <c r="S9" s="592">
        <f t="shared" ref="S9:S19" si="1">I9-SUM(J9:R9)</f>
        <v>0</v>
      </c>
    </row>
    <row r="10" spans="1:19" x14ac:dyDescent="0.3">
      <c r="A10" s="580"/>
      <c r="B10" s="593"/>
      <c r="C10" s="1047" t="s">
        <v>1289</v>
      </c>
      <c r="D10" s="1047"/>
      <c r="E10" s="1047"/>
      <c r="F10" s="1047"/>
      <c r="G10" s="586"/>
      <c r="H10" s="590" t="s">
        <v>1290</v>
      </c>
      <c r="I10" s="594">
        <f>5324367</f>
        <v>5324367</v>
      </c>
      <c r="J10" s="594">
        <f>I10-K10-L10-M10-N10-O10-P10-Q10-R10</f>
        <v>4703059.0999999996</v>
      </c>
      <c r="K10" s="595">
        <f>82716.41</f>
        <v>82716.41</v>
      </c>
      <c r="L10" s="595">
        <f>L12</f>
        <v>50001.38</v>
      </c>
      <c r="M10" s="595">
        <f>40001.11</f>
        <v>40001.11</v>
      </c>
      <c r="N10" s="595">
        <f>N12</f>
        <v>25000</v>
      </c>
      <c r="O10" s="595">
        <f>O12</f>
        <v>159000</v>
      </c>
      <c r="P10" s="595">
        <f>P11+P12+862.47</f>
        <v>221189</v>
      </c>
      <c r="Q10" s="595">
        <f>25000</f>
        <v>25000</v>
      </c>
      <c r="R10" s="595">
        <f>18400</f>
        <v>18400</v>
      </c>
      <c r="S10" s="592">
        <f t="shared" si="1"/>
        <v>0</v>
      </c>
    </row>
    <row r="11" spans="1:19" x14ac:dyDescent="0.3">
      <c r="A11" s="580"/>
      <c r="B11" s="1041"/>
      <c r="C11" s="1041"/>
      <c r="D11" s="1042" t="s">
        <v>1291</v>
      </c>
      <c r="E11" s="1042"/>
      <c r="F11" s="1042"/>
      <c r="G11" s="586"/>
      <c r="H11" s="590">
        <v>70</v>
      </c>
      <c r="I11" s="595">
        <f>188700</f>
        <v>188700</v>
      </c>
      <c r="J11" s="595">
        <f>I11-K11-L11-M11-N11-O11-P11-Q11-R11</f>
        <v>93405.98</v>
      </c>
      <c r="K11" s="595">
        <f>0</f>
        <v>0</v>
      </c>
      <c r="L11" s="595"/>
      <c r="M11" s="595"/>
      <c r="N11" s="595"/>
      <c r="O11" s="595"/>
      <c r="P11" s="595">
        <f>95294.02</f>
        <v>95294.02</v>
      </c>
      <c r="Q11" s="595"/>
      <c r="R11" s="595"/>
      <c r="S11" s="592">
        <f t="shared" si="1"/>
        <v>0</v>
      </c>
    </row>
    <row r="12" spans="1:19" x14ac:dyDescent="0.3">
      <c r="A12" s="580"/>
      <c r="D12" s="1043" t="s">
        <v>331</v>
      </c>
      <c r="E12" s="1043"/>
      <c r="F12" s="1043"/>
      <c r="G12" s="596"/>
      <c r="H12" s="590">
        <v>73</v>
      </c>
      <c r="I12" s="594">
        <f>4933804</f>
        <v>4933804</v>
      </c>
      <c r="J12" s="594">
        <f>I12-K12-L12-M12-N12-O12-P12-R12-Q12</f>
        <v>4408652.59</v>
      </c>
      <c r="K12" s="594">
        <f>82716.41</f>
        <v>82716.41</v>
      </c>
      <c r="L12" s="594">
        <f>50001.38</f>
        <v>50001.38</v>
      </c>
      <c r="M12" s="594">
        <f>40001.11</f>
        <v>40001.11</v>
      </c>
      <c r="N12" s="594">
        <f>25000</f>
        <v>25000</v>
      </c>
      <c r="O12" s="594">
        <f>159000</f>
        <v>159000</v>
      </c>
      <c r="P12" s="594">
        <f>125032.51</f>
        <v>125032.51</v>
      </c>
      <c r="Q12" s="594">
        <f>25000</f>
        <v>25000</v>
      </c>
      <c r="R12" s="594">
        <f>18400</f>
        <v>18400</v>
      </c>
      <c r="S12" s="592">
        <f t="shared" si="1"/>
        <v>0</v>
      </c>
    </row>
    <row r="13" spans="1:19" ht="25.5" customHeight="1" x14ac:dyDescent="0.3">
      <c r="A13" s="580"/>
      <c r="B13" s="597"/>
      <c r="C13" s="1044" t="s">
        <v>1292</v>
      </c>
      <c r="D13" s="1044"/>
      <c r="E13" s="1044"/>
      <c r="F13" s="1044"/>
      <c r="G13" s="586"/>
      <c r="H13" s="590" t="s">
        <v>1293</v>
      </c>
      <c r="I13" s="594">
        <f>651139+51365</f>
        <v>702504</v>
      </c>
      <c r="J13" s="594">
        <f t="shared" ref="J13:J18" si="2">I13-K13-L13-M13-N13-O13-P13-Q13-R13</f>
        <v>513467.49000000011</v>
      </c>
      <c r="K13" s="594">
        <f>6964.98</f>
        <v>6964.98</v>
      </c>
      <c r="L13" s="594">
        <f>4067.33</f>
        <v>4067.33</v>
      </c>
      <c r="M13" s="594">
        <f>3576</f>
        <v>3576</v>
      </c>
      <c r="N13" s="594">
        <f>13642.75</f>
        <v>13642.75</v>
      </c>
      <c r="O13" s="594">
        <f>4814.57-3710.36+1028.5+2715.23-2554.5+1003.75+2670.08+399.73</f>
        <v>6367</v>
      </c>
      <c r="P13" s="594">
        <f>9440.53+119977.92</f>
        <v>129418.45</v>
      </c>
      <c r="Q13" s="594">
        <f>25000</f>
        <v>25000</v>
      </c>
      <c r="R13" s="594"/>
      <c r="S13" s="592">
        <f t="shared" si="1"/>
        <v>0</v>
      </c>
    </row>
    <row r="14" spans="1:19" ht="26.25" customHeight="1" x14ac:dyDescent="0.3">
      <c r="A14" s="580"/>
      <c r="B14" s="1044" t="s">
        <v>1294</v>
      </c>
      <c r="C14" s="1044"/>
      <c r="D14" s="1044"/>
      <c r="E14" s="1044"/>
      <c r="F14" s="1044"/>
      <c r="G14" s="586" t="s">
        <v>1288</v>
      </c>
      <c r="H14" s="590">
        <v>62</v>
      </c>
      <c r="I14" s="595">
        <f>4292345</f>
        <v>4292345</v>
      </c>
      <c r="J14" s="594">
        <f t="shared" si="2"/>
        <v>3560862.9699999993</v>
      </c>
      <c r="K14" s="595">
        <f>112866.93</f>
        <v>112866.93</v>
      </c>
      <c r="L14" s="595">
        <f>44767.7</f>
        <v>44767.7</v>
      </c>
      <c r="M14" s="595">
        <f>36977.85</f>
        <v>36977.85</v>
      </c>
      <c r="N14" s="595">
        <f>14198.58</f>
        <v>14198.58</v>
      </c>
      <c r="O14" s="595">
        <f>44516.85+134360.51-31746.08</f>
        <v>147131.28000000003</v>
      </c>
      <c r="P14" s="595">
        <f>358529.11-1121.85</f>
        <v>357407.26</v>
      </c>
      <c r="Q14" s="595"/>
      <c r="R14" s="595">
        <f>35185.34/2+217.72+67.44+49.41+68.67+37.51+99.01</f>
        <v>18132.429999999993</v>
      </c>
      <c r="S14" s="592">
        <f t="shared" si="1"/>
        <v>0</v>
      </c>
    </row>
    <row r="15" spans="1:19" ht="38.25" customHeight="1" x14ac:dyDescent="0.3">
      <c r="A15" s="580"/>
      <c r="B15" s="1044" t="s">
        <v>1295</v>
      </c>
      <c r="C15" s="1044"/>
      <c r="D15" s="1044"/>
      <c r="E15" s="1044"/>
      <c r="F15" s="1044"/>
      <c r="G15" s="586" t="s">
        <v>1288</v>
      </c>
      <c r="H15" s="590">
        <v>630</v>
      </c>
      <c r="I15" s="594">
        <f>219885</f>
        <v>219885</v>
      </c>
      <c r="J15" s="594">
        <f t="shared" si="2"/>
        <v>211931.98</v>
      </c>
      <c r="K15" s="594">
        <f>3762.36</f>
        <v>3762.36</v>
      </c>
      <c r="L15" s="594">
        <f>1252.82</f>
        <v>1252.82</v>
      </c>
      <c r="M15" s="598">
        <f>1252.82</f>
        <v>1252.82</v>
      </c>
      <c r="N15" s="594">
        <f>340.97</f>
        <v>340.97</v>
      </c>
      <c r="O15" s="594"/>
      <c r="P15" s="594"/>
      <c r="Q15" s="594"/>
      <c r="R15" s="594">
        <f>270.31+1073.74</f>
        <v>1344.05</v>
      </c>
      <c r="S15" s="592">
        <f t="shared" si="1"/>
        <v>0</v>
      </c>
    </row>
    <row r="16" spans="1:19" ht="39" customHeight="1" x14ac:dyDescent="0.3">
      <c r="A16" s="580"/>
      <c r="B16" s="1044" t="s">
        <v>1296</v>
      </c>
      <c r="C16" s="1044"/>
      <c r="D16" s="1044"/>
      <c r="E16" s="1044"/>
      <c r="F16" s="1044"/>
      <c r="G16" s="586" t="s">
        <v>1288</v>
      </c>
      <c r="H16" s="590" t="s">
        <v>1297</v>
      </c>
      <c r="I16" s="594">
        <f>20234</f>
        <v>20234</v>
      </c>
      <c r="J16" s="594">
        <f t="shared" si="2"/>
        <v>20234</v>
      </c>
      <c r="K16" s="594"/>
      <c r="L16" s="594"/>
      <c r="M16" s="594"/>
      <c r="N16" s="594"/>
      <c r="O16" s="594"/>
      <c r="P16" s="594"/>
      <c r="Q16" s="594"/>
      <c r="R16" s="594"/>
      <c r="S16" s="592">
        <f t="shared" si="1"/>
        <v>0</v>
      </c>
    </row>
    <row r="17" spans="1:21" ht="24.75" customHeight="1" x14ac:dyDescent="0.3">
      <c r="A17" s="580"/>
      <c r="B17" s="1044" t="s">
        <v>1298</v>
      </c>
      <c r="C17" s="1044"/>
      <c r="D17" s="1044"/>
      <c r="E17" s="1044"/>
      <c r="F17" s="1044"/>
      <c r="G17" s="586" t="s">
        <v>1288</v>
      </c>
      <c r="H17" s="590" t="s">
        <v>1299</v>
      </c>
      <c r="I17" s="594">
        <f>-123000</f>
        <v>-123000</v>
      </c>
      <c r="J17" s="594">
        <f t="shared" si="2"/>
        <v>-123000</v>
      </c>
      <c r="K17" s="594"/>
      <c r="L17" s="594"/>
      <c r="M17" s="594"/>
      <c r="N17" s="594"/>
      <c r="O17" s="594"/>
      <c r="P17" s="594"/>
      <c r="Q17" s="594"/>
      <c r="R17" s="594"/>
      <c r="S17" s="592">
        <f t="shared" si="1"/>
        <v>0</v>
      </c>
    </row>
    <row r="18" spans="1:21" ht="12.75" customHeight="1" x14ac:dyDescent="0.3">
      <c r="A18" s="580"/>
      <c r="B18" s="1045" t="s">
        <v>1300</v>
      </c>
      <c r="C18" s="1045"/>
      <c r="D18" s="1045"/>
      <c r="E18" s="1045"/>
      <c r="F18" s="1045"/>
      <c r="G18" s="586"/>
      <c r="H18" s="590" t="s">
        <v>1301</v>
      </c>
      <c r="I18" s="594">
        <f>80897</f>
        <v>80897</v>
      </c>
      <c r="J18" s="594">
        <f t="shared" si="2"/>
        <v>74271.8</v>
      </c>
      <c r="K18" s="594">
        <f>1042.42</f>
        <v>1042.42</v>
      </c>
      <c r="L18" s="594">
        <f>505.05</f>
        <v>505.05</v>
      </c>
      <c r="M18" s="594">
        <f>761.47</f>
        <v>761.47</v>
      </c>
      <c r="N18" s="594">
        <v>0</v>
      </c>
      <c r="O18" s="594">
        <f>2923.61+1122.65</f>
        <v>4046.26</v>
      </c>
      <c r="P18" s="594">
        <f>270</f>
        <v>270</v>
      </c>
      <c r="Q18" s="594"/>
      <c r="R18" s="594"/>
      <c r="S18" s="592">
        <f t="shared" si="1"/>
        <v>0</v>
      </c>
    </row>
    <row r="19" spans="1:21" ht="24.75" customHeight="1" x14ac:dyDescent="0.3">
      <c r="A19" s="580"/>
      <c r="B19" s="1044" t="s">
        <v>1302</v>
      </c>
      <c r="C19" s="1044"/>
      <c r="D19" s="1044"/>
      <c r="E19" s="1044"/>
      <c r="F19" s="1044"/>
      <c r="G19" s="586" t="s">
        <v>1303</v>
      </c>
      <c r="H19" s="590">
        <v>649</v>
      </c>
      <c r="I19" s="594">
        <v>0</v>
      </c>
      <c r="J19" s="599"/>
      <c r="K19" s="594"/>
      <c r="L19" s="594"/>
      <c r="M19" s="594"/>
      <c r="N19" s="594"/>
      <c r="O19" s="594"/>
      <c r="P19" s="594"/>
      <c r="Q19" s="594"/>
      <c r="R19" s="594"/>
      <c r="S19" s="592">
        <f t="shared" si="1"/>
        <v>0</v>
      </c>
      <c r="U19" s="600"/>
    </row>
    <row r="20" spans="1:21" x14ac:dyDescent="0.3">
      <c r="A20" s="580"/>
      <c r="B20" s="601"/>
      <c r="C20" s="561"/>
      <c r="D20" s="593"/>
      <c r="E20" s="593"/>
      <c r="F20" s="593"/>
      <c r="G20" s="586"/>
      <c r="H20" s="590"/>
      <c r="I20" s="602"/>
      <c r="J20" s="600"/>
      <c r="K20" s="603"/>
      <c r="L20" s="603"/>
      <c r="M20" s="603"/>
      <c r="N20" s="603"/>
      <c r="O20" s="603"/>
      <c r="P20" s="603"/>
      <c r="Q20" s="603"/>
      <c r="R20" s="603"/>
      <c r="S20" s="604"/>
    </row>
    <row r="21" spans="1:21" s="608" customFormat="1" x14ac:dyDescent="0.3">
      <c r="A21" s="1046" t="s">
        <v>1304</v>
      </c>
      <c r="B21" s="1046"/>
      <c r="C21" s="1046"/>
      <c r="D21" s="1046"/>
      <c r="E21" s="1046"/>
      <c r="F21" s="1046"/>
      <c r="G21" s="605" t="s">
        <v>1288</v>
      </c>
      <c r="H21" s="606">
        <v>9901</v>
      </c>
      <c r="I21" s="594">
        <f t="shared" ref="I21:S21" si="3">I9-I14-I15-I16-I17-I18-I19</f>
        <v>131502</v>
      </c>
      <c r="J21" s="594">
        <f t="shared" si="3"/>
        <v>445290.86000000016</v>
      </c>
      <c r="K21" s="594">
        <f t="shared" si="3"/>
        <v>-41920.279999999984</v>
      </c>
      <c r="L21" s="594">
        <f t="shared" si="3"/>
        <v>-591.52000000000135</v>
      </c>
      <c r="M21" s="594">
        <f t="shared" si="3"/>
        <v>-2567.0299999999979</v>
      </c>
      <c r="N21" s="594">
        <f t="shared" si="3"/>
        <v>-3182.3</v>
      </c>
      <c r="O21" s="594">
        <f t="shared" si="3"/>
        <v>1455.4599999999718</v>
      </c>
      <c r="P21" s="594">
        <f t="shared" si="3"/>
        <v>-265906.71000000002</v>
      </c>
      <c r="Q21" s="594">
        <f t="shared" si="3"/>
        <v>0</v>
      </c>
      <c r="R21" s="594">
        <f t="shared" si="3"/>
        <v>-1076.479999999993</v>
      </c>
      <c r="S21" s="607">
        <f t="shared" si="3"/>
        <v>0</v>
      </c>
    </row>
    <row r="22" spans="1:21" s="608" customFormat="1" x14ac:dyDescent="0.3">
      <c r="A22" s="609"/>
      <c r="B22" s="1041"/>
      <c r="C22" s="1041"/>
      <c r="D22" s="1041"/>
      <c r="E22" s="1041"/>
      <c r="F22" s="1041"/>
      <c r="G22" s="605"/>
      <c r="H22" s="606"/>
      <c r="I22" s="610"/>
      <c r="J22" s="611"/>
      <c r="K22" s="612"/>
      <c r="L22" s="612"/>
      <c r="M22" s="612"/>
      <c r="N22" s="612"/>
      <c r="O22" s="612"/>
      <c r="P22" s="612"/>
      <c r="Q22" s="612"/>
      <c r="R22" s="612"/>
      <c r="S22" s="613"/>
    </row>
    <row r="23" spans="1:21" x14ac:dyDescent="0.3">
      <c r="A23" s="614" t="s">
        <v>1305</v>
      </c>
      <c r="B23" s="615"/>
      <c r="C23" s="615"/>
      <c r="D23" s="615"/>
      <c r="E23" s="615"/>
      <c r="F23" s="615"/>
      <c r="G23" s="581"/>
      <c r="H23" s="590">
        <v>75</v>
      </c>
      <c r="I23" s="595">
        <f>2301</f>
        <v>2301</v>
      </c>
      <c r="J23" s="594">
        <f>I23-K23-L23-M23-N23-O23-P23-Q23-R23</f>
        <v>2296.65</v>
      </c>
      <c r="K23" s="595"/>
      <c r="L23" s="595"/>
      <c r="M23" s="595"/>
      <c r="N23" s="595"/>
      <c r="O23" s="595"/>
      <c r="P23" s="595">
        <f>4.35</f>
        <v>4.3499999999999996</v>
      </c>
      <c r="Q23" s="595"/>
      <c r="R23" s="595"/>
      <c r="S23" s="592">
        <f>I23-SUM(J23:R23)</f>
        <v>0</v>
      </c>
    </row>
    <row r="24" spans="1:21" x14ac:dyDescent="0.3">
      <c r="A24" s="614"/>
      <c r="B24" s="615"/>
      <c r="C24" s="615"/>
      <c r="D24" s="615"/>
      <c r="E24" s="615"/>
      <c r="F24" s="615"/>
      <c r="G24" s="581"/>
      <c r="H24" s="590"/>
      <c r="I24" s="610"/>
      <c r="J24" s="611"/>
      <c r="K24" s="612"/>
      <c r="L24" s="612"/>
      <c r="M24" s="612"/>
      <c r="N24" s="612"/>
      <c r="O24" s="612"/>
      <c r="P24" s="612"/>
      <c r="Q24" s="612"/>
      <c r="R24" s="612"/>
      <c r="S24" s="613"/>
    </row>
    <row r="25" spans="1:21" x14ac:dyDescent="0.3">
      <c r="A25" s="1038" t="s">
        <v>1306</v>
      </c>
      <c r="B25" s="1038"/>
      <c r="C25" s="1038"/>
      <c r="D25" s="1038"/>
      <c r="E25" s="1038"/>
      <c r="F25" s="1038"/>
      <c r="G25" s="581"/>
      <c r="H25" s="590">
        <v>65</v>
      </c>
      <c r="I25" s="616">
        <f>29614</f>
        <v>29614</v>
      </c>
      <c r="J25" s="594">
        <f>I25-K25-L25-M25-N25-O25-P25-Q25-R25</f>
        <v>29589.13</v>
      </c>
      <c r="K25" s="616"/>
      <c r="L25" s="616"/>
      <c r="M25" s="616"/>
      <c r="N25" s="616"/>
      <c r="O25" s="616"/>
      <c r="P25" s="616">
        <f>24.87</f>
        <v>24.87</v>
      </c>
      <c r="Q25" s="616"/>
      <c r="R25" s="616"/>
      <c r="S25" s="592">
        <f>I25-SUM(J25:R25)</f>
        <v>0</v>
      </c>
    </row>
    <row r="26" spans="1:21" x14ac:dyDescent="0.3">
      <c r="A26" s="585"/>
      <c r="B26" s="588"/>
      <c r="C26" s="588"/>
      <c r="D26" s="588"/>
      <c r="E26" s="588"/>
      <c r="F26" s="588"/>
      <c r="G26" s="581"/>
      <c r="H26" s="590"/>
      <c r="I26" s="617"/>
      <c r="J26" s="618"/>
      <c r="K26" s="619"/>
      <c r="L26" s="619"/>
      <c r="M26" s="619"/>
      <c r="N26" s="619"/>
      <c r="O26" s="619"/>
      <c r="P26" s="619"/>
      <c r="Q26" s="619"/>
      <c r="R26" s="619"/>
      <c r="S26" s="620"/>
    </row>
    <row r="27" spans="1:21" x14ac:dyDescent="0.3">
      <c r="A27" s="1039" t="s">
        <v>1307</v>
      </c>
      <c r="B27" s="1039"/>
      <c r="C27" s="1039"/>
      <c r="D27" s="1039"/>
      <c r="E27" s="1039"/>
      <c r="F27" s="1039"/>
      <c r="G27" s="621" t="s">
        <v>1288</v>
      </c>
      <c r="H27" s="590">
        <v>9902</v>
      </c>
      <c r="I27" s="594">
        <f t="shared" ref="I27:S27" si="4">I21+I23-I25</f>
        <v>104189</v>
      </c>
      <c r="J27" s="594">
        <f t="shared" si="4"/>
        <v>417998.38000000018</v>
      </c>
      <c r="K27" s="594">
        <f t="shared" si="4"/>
        <v>-41920.279999999984</v>
      </c>
      <c r="L27" s="594">
        <f t="shared" si="4"/>
        <v>-591.52000000000135</v>
      </c>
      <c r="M27" s="594">
        <f t="shared" si="4"/>
        <v>-2567.0299999999979</v>
      </c>
      <c r="N27" s="594">
        <f t="shared" si="4"/>
        <v>-3182.3</v>
      </c>
      <c r="O27" s="594">
        <f t="shared" si="4"/>
        <v>1455.4599999999718</v>
      </c>
      <c r="P27" s="594">
        <f t="shared" si="4"/>
        <v>-265927.23000000004</v>
      </c>
      <c r="Q27" s="594">
        <f t="shared" si="4"/>
        <v>0</v>
      </c>
      <c r="R27" s="594">
        <f t="shared" si="4"/>
        <v>-1076.479999999993</v>
      </c>
      <c r="S27" s="607">
        <f t="shared" si="4"/>
        <v>0</v>
      </c>
    </row>
    <row r="28" spans="1:21" x14ac:dyDescent="0.3">
      <c r="A28" s="580"/>
      <c r="G28" s="581"/>
      <c r="H28" s="590"/>
      <c r="I28" s="602"/>
      <c r="J28" s="600"/>
      <c r="K28" s="603"/>
      <c r="L28" s="603"/>
      <c r="M28" s="603"/>
      <c r="N28" s="603"/>
      <c r="O28" s="603"/>
      <c r="P28" s="603"/>
      <c r="Q28" s="603"/>
      <c r="R28" s="603"/>
      <c r="S28" s="604"/>
    </row>
    <row r="29" spans="1:21" x14ac:dyDescent="0.3">
      <c r="A29" s="1038" t="s">
        <v>1308</v>
      </c>
      <c r="B29" s="1038"/>
      <c r="C29" s="1038"/>
      <c r="D29" s="1038"/>
      <c r="E29" s="1038"/>
      <c r="F29" s="1038"/>
      <c r="G29" s="581"/>
      <c r="H29" s="590">
        <v>76</v>
      </c>
      <c r="I29" s="595">
        <f>1926</f>
        <v>1926</v>
      </c>
      <c r="J29" s="594">
        <f>I29-K29-L29-M29-N29-O29-P29-Q29-R29</f>
        <v>1926</v>
      </c>
      <c r="K29" s="595"/>
      <c r="L29" s="595"/>
      <c r="M29" s="595"/>
      <c r="N29" s="595"/>
      <c r="O29" s="595"/>
      <c r="P29" s="595"/>
      <c r="Q29" s="595"/>
      <c r="R29" s="595"/>
      <c r="S29" s="592">
        <f>I29-SUM(J29:R29)</f>
        <v>0</v>
      </c>
    </row>
    <row r="30" spans="1:21" x14ac:dyDescent="0.3">
      <c r="A30" s="585"/>
      <c r="B30" s="588"/>
      <c r="C30" s="588"/>
      <c r="D30" s="588"/>
      <c r="E30" s="588"/>
      <c r="F30" s="588"/>
      <c r="G30" s="581"/>
      <c r="H30" s="590"/>
      <c r="I30" s="610"/>
      <c r="J30" s="611"/>
      <c r="K30" s="612"/>
      <c r="L30" s="612"/>
      <c r="M30" s="612"/>
      <c r="N30" s="612"/>
      <c r="O30" s="612"/>
      <c r="P30" s="612"/>
      <c r="Q30" s="612"/>
      <c r="R30" s="612"/>
      <c r="S30" s="613"/>
    </row>
    <row r="31" spans="1:21" x14ac:dyDescent="0.3">
      <c r="A31" s="1038" t="s">
        <v>1309</v>
      </c>
      <c r="B31" s="1038"/>
      <c r="C31" s="1038"/>
      <c r="D31" s="1038"/>
      <c r="E31" s="1038"/>
      <c r="F31" s="1038"/>
      <c r="G31" s="581"/>
      <c r="H31" s="590">
        <v>66</v>
      </c>
      <c r="I31" s="616">
        <v>0</v>
      </c>
      <c r="J31" s="594">
        <f>I31-K31-L31-M31-N31-O31-P31-Q31-R31</f>
        <v>0</v>
      </c>
      <c r="K31" s="616"/>
      <c r="L31" s="616"/>
      <c r="M31" s="616"/>
      <c r="N31" s="616"/>
      <c r="O31" s="616"/>
      <c r="P31" s="616"/>
      <c r="Q31" s="616"/>
      <c r="R31" s="616"/>
      <c r="S31" s="592">
        <f>I31-SUM(J31:R31)</f>
        <v>0</v>
      </c>
    </row>
    <row r="32" spans="1:21" x14ac:dyDescent="0.3">
      <c r="A32" s="580"/>
      <c r="G32" s="581"/>
      <c r="H32" s="590"/>
      <c r="I32" s="602"/>
      <c r="J32" s="600"/>
      <c r="K32" s="603"/>
      <c r="L32" s="603"/>
      <c r="M32" s="603"/>
      <c r="N32" s="603"/>
      <c r="O32" s="603"/>
      <c r="P32" s="603"/>
      <c r="Q32" s="603"/>
      <c r="R32" s="603"/>
      <c r="S32" s="604"/>
    </row>
    <row r="33" spans="1:19" s="608" customFormat="1" x14ac:dyDescent="0.3">
      <c r="A33" s="1040" t="s">
        <v>1310</v>
      </c>
      <c r="B33" s="1040"/>
      <c r="C33" s="1040"/>
      <c r="D33" s="1040"/>
      <c r="E33" s="1040"/>
      <c r="F33" s="1040"/>
      <c r="G33" s="622" t="s">
        <v>1288</v>
      </c>
      <c r="H33" s="606">
        <v>9904</v>
      </c>
      <c r="I33" s="594">
        <f t="shared" ref="I33:S33" si="5">I27+I29-I31</f>
        <v>106115</v>
      </c>
      <c r="J33" s="594">
        <f t="shared" si="5"/>
        <v>419924.38000000018</v>
      </c>
      <c r="K33" s="594">
        <f t="shared" si="5"/>
        <v>-41920.279999999984</v>
      </c>
      <c r="L33" s="594">
        <f t="shared" si="5"/>
        <v>-591.52000000000135</v>
      </c>
      <c r="M33" s="594">
        <f t="shared" si="5"/>
        <v>-2567.0299999999979</v>
      </c>
      <c r="N33" s="594">
        <f t="shared" si="5"/>
        <v>-3182.3</v>
      </c>
      <c r="O33" s="594">
        <f t="shared" si="5"/>
        <v>1455.4599999999718</v>
      </c>
      <c r="P33" s="594">
        <f t="shared" si="5"/>
        <v>-265927.23000000004</v>
      </c>
      <c r="Q33" s="594">
        <f t="shared" si="5"/>
        <v>0</v>
      </c>
      <c r="R33" s="594">
        <f t="shared" si="5"/>
        <v>-1076.479999999993</v>
      </c>
      <c r="S33" s="607">
        <f t="shared" si="5"/>
        <v>0</v>
      </c>
    </row>
    <row r="34" spans="1:19" ht="8.25" customHeight="1" thickBot="1" x14ac:dyDescent="0.35">
      <c r="A34" s="623"/>
      <c r="B34" s="624"/>
      <c r="C34" s="624"/>
      <c r="D34" s="624"/>
      <c r="E34" s="624"/>
      <c r="F34" s="624"/>
      <c r="G34" s="625"/>
      <c r="H34" s="626"/>
      <c r="I34" s="627"/>
      <c r="J34" s="628"/>
      <c r="K34" s="627"/>
      <c r="L34" s="627"/>
      <c r="M34" s="627"/>
      <c r="N34" s="627"/>
      <c r="O34" s="627"/>
      <c r="P34" s="627"/>
      <c r="Q34" s="627"/>
      <c r="R34" s="627"/>
      <c r="S34" s="629"/>
    </row>
    <row r="36" spans="1:19" x14ac:dyDescent="0.3">
      <c r="K36" s="600"/>
      <c r="P36" s="600"/>
      <c r="Q36" s="600"/>
      <c r="R36" s="600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S21 I27:S27 I33:S33">
    <cfRule type="cellIs" dxfId="114" priority="2" stopIfTrue="1" operator="lessThan">
      <formula>0</formula>
    </cfRule>
  </conditionalFormatting>
  <conditionalFormatting sqref="I21:S21 I27:S27 I33:S33">
    <cfRule type="cellIs" dxfId="113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34"/>
  <sheetViews>
    <sheetView workbookViewId="0">
      <selection sqref="A1:J1"/>
    </sheetView>
  </sheetViews>
  <sheetFormatPr defaultColWidth="9.109375" defaultRowHeight="14.4" x14ac:dyDescent="0.3"/>
  <cols>
    <col min="1" max="1" width="2.6640625" style="558" bestFit="1" customWidth="1"/>
    <col min="2" max="2" width="4.6640625" style="558" bestFit="1" customWidth="1"/>
    <col min="3" max="3" width="3.6640625" style="558" customWidth="1"/>
    <col min="4" max="5" width="9.109375" style="558" customWidth="1"/>
    <col min="6" max="6" width="22.5546875" style="558" customWidth="1"/>
    <col min="7" max="7" width="4.44140625" style="558" bestFit="1" customWidth="1"/>
    <col min="8" max="8" width="6.33203125" style="558" bestFit="1" customWidth="1"/>
    <col min="9" max="9" width="14.6640625" style="558" customWidth="1"/>
    <col min="10" max="20" width="16.88671875" style="558" bestFit="1" customWidth="1"/>
    <col min="21" max="21" width="16.88671875" style="558" hidden="1" customWidth="1"/>
    <col min="22" max="22" width="10.44140625" style="558" customWidth="1"/>
    <col min="23" max="23" width="9.109375" style="558" customWidth="1"/>
    <col min="24" max="16384" width="9.109375" style="558"/>
  </cols>
  <sheetData>
    <row r="1" spans="1:22" ht="17.399999999999999" x14ac:dyDescent="0.3">
      <c r="A1" s="1052" t="s">
        <v>1323</v>
      </c>
      <c r="B1" s="1052"/>
      <c r="C1" s="1052"/>
      <c r="D1" s="1052"/>
      <c r="E1" s="1052"/>
      <c r="F1" s="1052"/>
      <c r="G1" s="1052"/>
      <c r="H1" s="1052"/>
      <c r="I1" s="1052"/>
      <c r="J1" s="1052"/>
    </row>
    <row r="2" spans="1:22" ht="15.6" x14ac:dyDescent="0.3">
      <c r="A2" s="1053" t="s">
        <v>1324</v>
      </c>
      <c r="B2" s="1053"/>
      <c r="C2" s="1053"/>
      <c r="D2" s="1053"/>
      <c r="E2" s="1053"/>
      <c r="F2" s="1053"/>
      <c r="G2" s="1053"/>
      <c r="H2" s="1053"/>
      <c r="I2" s="1053"/>
    </row>
    <row r="3" spans="1:22" ht="15.6" x14ac:dyDescent="0.3">
      <c r="A3" s="560"/>
      <c r="B3" s="560"/>
      <c r="C3" s="560"/>
      <c r="D3" s="561"/>
      <c r="E3" s="203"/>
      <c r="F3" s="203"/>
      <c r="G3" s="203"/>
      <c r="H3" s="203"/>
      <c r="I3" s="203"/>
    </row>
    <row r="4" spans="1:22" s="571" customFormat="1" ht="24" thickBot="1" x14ac:dyDescent="0.35">
      <c r="A4" s="562"/>
      <c r="B4" s="563"/>
      <c r="C4" s="563"/>
      <c r="D4" s="563"/>
      <c r="E4" s="563"/>
      <c r="F4" s="563"/>
      <c r="G4" s="564"/>
      <c r="H4" s="565" t="s">
        <v>1275</v>
      </c>
      <c r="I4" s="631" t="s">
        <v>1276</v>
      </c>
      <c r="J4" s="632" t="s">
        <v>1325</v>
      </c>
      <c r="K4" s="633" t="s">
        <v>1326</v>
      </c>
      <c r="L4" s="633" t="s">
        <v>1327</v>
      </c>
      <c r="M4" s="633" t="s">
        <v>1328</v>
      </c>
      <c r="N4" s="633" t="s">
        <v>1329</v>
      </c>
      <c r="O4" s="632" t="s">
        <v>1330</v>
      </c>
      <c r="P4" s="632" t="s">
        <v>1331</v>
      </c>
      <c r="Q4" s="632" t="s">
        <v>1332</v>
      </c>
      <c r="R4" s="632" t="s">
        <v>1333</v>
      </c>
      <c r="S4" s="632" t="s">
        <v>1334</v>
      </c>
      <c r="T4" s="632" t="s">
        <v>1335</v>
      </c>
      <c r="U4" s="632" t="s">
        <v>1336</v>
      </c>
      <c r="V4" s="570" t="s">
        <v>1283</v>
      </c>
    </row>
    <row r="5" spans="1:22" s="571" customFormat="1" ht="15" customHeight="1" thickBot="1" x14ac:dyDescent="0.35">
      <c r="A5" s="1050" t="s">
        <v>1284</v>
      </c>
      <c r="B5" s="1050"/>
      <c r="C5" s="1050"/>
      <c r="D5" s="1050"/>
      <c r="E5" s="1050"/>
      <c r="F5" s="1050"/>
      <c r="G5" s="1050"/>
      <c r="H5" s="1050"/>
      <c r="I5" s="572">
        <v>72.2</v>
      </c>
      <c r="J5" s="634">
        <f>I5-SUM(K5:U5)</f>
        <v>68.38000000000001</v>
      </c>
      <c r="K5" s="574">
        <v>0.21</v>
      </c>
      <c r="L5" s="574">
        <v>0.42</v>
      </c>
      <c r="M5" s="574">
        <v>1.19</v>
      </c>
      <c r="N5" s="574">
        <v>0.15</v>
      </c>
      <c r="O5" s="634">
        <v>0.8</v>
      </c>
      <c r="P5" s="634">
        <v>0.5</v>
      </c>
      <c r="Q5" s="634">
        <v>0.14000000000000001</v>
      </c>
      <c r="R5" s="634">
        <v>0.08</v>
      </c>
      <c r="S5" s="634">
        <v>0</v>
      </c>
      <c r="T5" s="634">
        <v>0.33</v>
      </c>
      <c r="U5" s="634"/>
      <c r="V5" s="575">
        <f>I5-SUM(J5:U5)</f>
        <v>0</v>
      </c>
    </row>
    <row r="6" spans="1:22" x14ac:dyDescent="0.3">
      <c r="A6" s="1051" t="s">
        <v>1285</v>
      </c>
      <c r="B6" s="1051"/>
      <c r="C6" s="1051"/>
      <c r="D6" s="1051"/>
      <c r="E6" s="1051"/>
      <c r="F6" s="1051"/>
      <c r="G6" s="576"/>
      <c r="I6" s="635"/>
      <c r="J6" s="578"/>
      <c r="K6" s="577"/>
      <c r="L6" s="577"/>
      <c r="M6" s="577"/>
      <c r="N6" s="577"/>
      <c r="O6" s="578"/>
      <c r="P6" s="578"/>
      <c r="Q6" s="578"/>
      <c r="R6" s="578"/>
      <c r="S6" s="578"/>
      <c r="T6" s="578"/>
      <c r="U6" s="578"/>
      <c r="V6" s="579"/>
    </row>
    <row r="7" spans="1:22" x14ac:dyDescent="0.3">
      <c r="A7" s="580"/>
      <c r="G7" s="581"/>
      <c r="I7" s="591"/>
      <c r="J7" s="583"/>
      <c r="K7" s="582"/>
      <c r="L7" s="582"/>
      <c r="M7" s="582"/>
      <c r="N7" s="582"/>
      <c r="O7" s="583"/>
      <c r="P7" s="583"/>
      <c r="Q7" s="583"/>
      <c r="R7" s="583"/>
      <c r="S7" s="583"/>
      <c r="T7" s="583"/>
      <c r="U7" s="583"/>
      <c r="V7" s="584"/>
    </row>
    <row r="8" spans="1:22" x14ac:dyDescent="0.3">
      <c r="A8" s="1038" t="s">
        <v>1286</v>
      </c>
      <c r="B8" s="1038"/>
      <c r="C8" s="1038"/>
      <c r="D8" s="1038"/>
      <c r="E8" s="1038"/>
      <c r="F8" s="1038"/>
      <c r="G8" s="586"/>
      <c r="I8" s="591"/>
      <c r="J8" s="583"/>
      <c r="K8" s="582"/>
      <c r="L8" s="582"/>
      <c r="M8" s="582"/>
      <c r="N8" s="582"/>
      <c r="O8" s="583"/>
      <c r="P8" s="583"/>
      <c r="Q8" s="583"/>
      <c r="R8" s="583"/>
      <c r="S8" s="583"/>
      <c r="T8" s="583"/>
      <c r="U8" s="583"/>
      <c r="V8" s="584"/>
    </row>
    <row r="9" spans="1:22" x14ac:dyDescent="0.3">
      <c r="A9" s="585"/>
      <c r="B9" s="587" t="s">
        <v>1287</v>
      </c>
      <c r="C9" s="588"/>
      <c r="D9" s="588"/>
      <c r="E9" s="588"/>
      <c r="F9" s="588"/>
      <c r="G9" s="589" t="s">
        <v>1288</v>
      </c>
      <c r="H9" s="590">
        <v>9900</v>
      </c>
      <c r="I9" s="591">
        <f t="shared" ref="I9:U9" si="0">I10-I13</f>
        <v>4454776.46</v>
      </c>
      <c r="J9" s="591">
        <f t="shared" si="0"/>
        <v>4195793.6739999987</v>
      </c>
      <c r="K9" s="636">
        <f t="shared" si="0"/>
        <v>13390.91</v>
      </c>
      <c r="L9" s="591">
        <f t="shared" si="0"/>
        <v>31853.59</v>
      </c>
      <c r="M9" s="591">
        <f t="shared" si="0"/>
        <v>99358.91</v>
      </c>
      <c r="N9" s="591">
        <f t="shared" si="0"/>
        <v>11970.480000000001</v>
      </c>
      <c r="O9" s="636">
        <f t="shared" si="0"/>
        <v>43735.756000000001</v>
      </c>
      <c r="P9" s="636">
        <f t="shared" si="0"/>
        <v>25407.58</v>
      </c>
      <c r="Q9" s="636">
        <f t="shared" si="0"/>
        <v>11972.59</v>
      </c>
      <c r="R9" s="636">
        <f t="shared" si="0"/>
        <v>3226.4299999999994</v>
      </c>
      <c r="S9" s="636">
        <f t="shared" si="0"/>
        <v>630.95000000000005</v>
      </c>
      <c r="T9" s="636">
        <f t="shared" si="0"/>
        <v>17435.59</v>
      </c>
      <c r="U9" s="636">
        <f t="shared" si="0"/>
        <v>0</v>
      </c>
      <c r="V9" s="592">
        <f t="shared" ref="V9:V19" si="1">I9-SUM(J9:U9)</f>
        <v>0</v>
      </c>
    </row>
    <row r="10" spans="1:22" x14ac:dyDescent="0.3">
      <c r="A10" s="580"/>
      <c r="B10" s="593"/>
      <c r="C10" s="1047" t="s">
        <v>1289</v>
      </c>
      <c r="D10" s="1047"/>
      <c r="E10" s="1047"/>
      <c r="F10" s="1047"/>
      <c r="G10" s="586"/>
      <c r="H10" s="590" t="s">
        <v>1290</v>
      </c>
      <c r="I10" s="595">
        <v>5115521.5999999996</v>
      </c>
      <c r="J10" s="637">
        <f t="shared" ref="J10:J18" si="2">I10-SUM(K10:U10)</f>
        <v>4836108.1599999992</v>
      </c>
      <c r="K10" s="595">
        <v>13522.11</v>
      </c>
      <c r="L10" s="595">
        <f>61.18+31903.62</f>
        <v>31964.799999999999</v>
      </c>
      <c r="M10" s="595">
        <f>80284.57+23945.51</f>
        <v>104230.08</v>
      </c>
      <c r="N10" s="595">
        <v>13333.7</v>
      </c>
      <c r="O10" s="637">
        <v>53334.82</v>
      </c>
      <c r="P10" s="637">
        <f>25675.97+52.56</f>
        <v>25728.530000000002</v>
      </c>
      <c r="Q10" s="637">
        <v>11972.59</v>
      </c>
      <c r="R10" s="637">
        <f>5843.5+5.94</f>
        <v>5849.44</v>
      </c>
      <c r="S10" s="637">
        <f>1340.76+360</f>
        <v>1700.76</v>
      </c>
      <c r="T10" s="637">
        <f>17710.14+36.57+29.9</f>
        <v>17776.61</v>
      </c>
      <c r="U10" s="637"/>
      <c r="V10" s="638">
        <f t="shared" si="1"/>
        <v>0</v>
      </c>
    </row>
    <row r="11" spans="1:22" x14ac:dyDescent="0.3">
      <c r="A11" s="580"/>
      <c r="B11" s="1041"/>
      <c r="C11" s="1041"/>
      <c r="D11" s="1042" t="s">
        <v>1291</v>
      </c>
      <c r="E11" s="1042"/>
      <c r="F11" s="1042"/>
      <c r="G11" s="586"/>
      <c r="H11" s="590">
        <v>70</v>
      </c>
      <c r="I11" s="595">
        <v>276194.05</v>
      </c>
      <c r="J11" s="637">
        <f t="shared" si="2"/>
        <v>276194.05</v>
      </c>
      <c r="K11" s="595"/>
      <c r="L11" s="595"/>
      <c r="M11" s="595"/>
      <c r="N11" s="595"/>
      <c r="O11" s="637"/>
      <c r="P11" s="637"/>
      <c r="Q11" s="637"/>
      <c r="R11" s="637"/>
      <c r="S11" s="637"/>
      <c r="T11" s="637"/>
      <c r="U11" s="637"/>
      <c r="V11" s="638">
        <f t="shared" si="1"/>
        <v>0</v>
      </c>
    </row>
    <row r="12" spans="1:22" ht="14.4" customHeight="1" x14ac:dyDescent="0.3">
      <c r="A12" s="580"/>
      <c r="D12" s="1043" t="s">
        <v>331</v>
      </c>
      <c r="E12" s="1043"/>
      <c r="F12" s="1043"/>
      <c r="G12" s="596"/>
      <c r="H12" s="590">
        <v>73</v>
      </c>
      <c r="I12" s="594">
        <v>4755049.0199999996</v>
      </c>
      <c r="J12" s="599">
        <f t="shared" si="2"/>
        <v>4500149.3499999996</v>
      </c>
      <c r="K12" s="594">
        <v>13500</v>
      </c>
      <c r="L12" s="594">
        <v>31903.62</v>
      </c>
      <c r="M12" s="594">
        <v>80284.570000000007</v>
      </c>
      <c r="N12" s="594">
        <v>13333.7</v>
      </c>
      <c r="O12" s="599">
        <v>53334.82</v>
      </c>
      <c r="P12" s="599">
        <v>25675.97</v>
      </c>
      <c r="Q12" s="599">
        <v>11972.59</v>
      </c>
      <c r="R12" s="599">
        <v>5843.5</v>
      </c>
      <c r="S12" s="599">
        <v>1340.76</v>
      </c>
      <c r="T12" s="599">
        <v>17710.14</v>
      </c>
      <c r="U12" s="599"/>
      <c r="V12" s="607">
        <f t="shared" si="1"/>
        <v>0</v>
      </c>
    </row>
    <row r="13" spans="1:22" ht="14.4" customHeight="1" x14ac:dyDescent="0.3">
      <c r="A13" s="580"/>
      <c r="B13" s="597"/>
      <c r="C13" s="1044" t="s">
        <v>1292</v>
      </c>
      <c r="D13" s="1044"/>
      <c r="E13" s="1044"/>
      <c r="F13" s="1044"/>
      <c r="G13" s="586"/>
      <c r="H13" s="590" t="s">
        <v>1293</v>
      </c>
      <c r="I13" s="594">
        <f>78698.47+582046.67</f>
        <v>660745.14</v>
      </c>
      <c r="J13" s="599">
        <f t="shared" si="2"/>
        <v>640314.48600000003</v>
      </c>
      <c r="K13" s="594">
        <f>95.32+35.88</f>
        <v>131.19999999999999</v>
      </c>
      <c r="L13" s="594">
        <v>111.21</v>
      </c>
      <c r="M13" s="594">
        <f>2950+718.12+115+904.56+183.49</f>
        <v>4871.17</v>
      </c>
      <c r="N13" s="594">
        <f>67.09+1296.13</f>
        <v>1363.22</v>
      </c>
      <c r="O13" s="599">
        <f>357.84+9241.23-0.006</f>
        <v>9599.0640000000003</v>
      </c>
      <c r="P13" s="599">
        <f>148.63+77+95.32</f>
        <v>320.95</v>
      </c>
      <c r="Q13" s="599"/>
      <c r="R13" s="599">
        <f>37.27+2585.73+0.01</f>
        <v>2623.01</v>
      </c>
      <c r="S13" s="599">
        <v>1069.81</v>
      </c>
      <c r="T13" s="599">
        <f>325.12+15.9</f>
        <v>341.02</v>
      </c>
      <c r="U13" s="599"/>
      <c r="V13" s="607">
        <f t="shared" si="1"/>
        <v>0</v>
      </c>
    </row>
    <row r="14" spans="1:22" ht="14.4" customHeight="1" x14ac:dyDescent="0.3">
      <c r="A14" s="580"/>
      <c r="B14" s="1044" t="s">
        <v>1294</v>
      </c>
      <c r="C14" s="1044"/>
      <c r="D14" s="1044"/>
      <c r="E14" s="1044"/>
      <c r="F14" s="1044"/>
      <c r="G14" s="586" t="s">
        <v>1288</v>
      </c>
      <c r="H14" s="590">
        <v>62</v>
      </c>
      <c r="I14" s="595">
        <v>4010726.82</v>
      </c>
      <c r="J14" s="599">
        <f t="shared" si="2"/>
        <v>3796470.78</v>
      </c>
      <c r="K14" s="595">
        <v>11628.71</v>
      </c>
      <c r="L14" s="595">
        <f>31683.08+170.51</f>
        <v>31853.59</v>
      </c>
      <c r="M14" s="595">
        <v>56230.48</v>
      </c>
      <c r="N14" s="595">
        <v>8302.2000000000007</v>
      </c>
      <c r="O14" s="637">
        <v>47498.34</v>
      </c>
      <c r="P14" s="637">
        <f>20920.78+6679.33</f>
        <v>27600.11</v>
      </c>
      <c r="Q14" s="637">
        <v>12216.93</v>
      </c>
      <c r="R14" s="637">
        <f>3215.59+5.94</f>
        <v>3221.53</v>
      </c>
      <c r="S14" s="637"/>
      <c r="T14" s="637">
        <f>15674.25+29.9</f>
        <v>15704.15</v>
      </c>
      <c r="U14" s="637"/>
      <c r="V14" s="607">
        <f t="shared" si="1"/>
        <v>0</v>
      </c>
    </row>
    <row r="15" spans="1:22" ht="14.4" customHeight="1" x14ac:dyDescent="0.3">
      <c r="A15" s="580"/>
      <c r="B15" s="1044" t="s">
        <v>1295</v>
      </c>
      <c r="C15" s="1044"/>
      <c r="D15" s="1044"/>
      <c r="E15" s="1044"/>
      <c r="F15" s="1044"/>
      <c r="G15" s="586" t="s">
        <v>1288</v>
      </c>
      <c r="H15" s="590">
        <v>630</v>
      </c>
      <c r="I15" s="594">
        <v>221266.35</v>
      </c>
      <c r="J15" s="599">
        <f t="shared" si="2"/>
        <v>221266.35</v>
      </c>
      <c r="K15" s="594"/>
      <c r="L15" s="594"/>
      <c r="M15" s="594"/>
      <c r="N15" s="594"/>
      <c r="O15" s="599"/>
      <c r="P15" s="599"/>
      <c r="Q15" s="599"/>
      <c r="R15" s="599"/>
      <c r="S15" s="599"/>
      <c r="T15" s="599"/>
      <c r="U15" s="599"/>
      <c r="V15" s="607">
        <f t="shared" si="1"/>
        <v>0</v>
      </c>
    </row>
    <row r="16" spans="1:22" ht="14.4" customHeight="1" x14ac:dyDescent="0.3">
      <c r="A16" s="580"/>
      <c r="B16" s="1044" t="s">
        <v>1296</v>
      </c>
      <c r="C16" s="1044"/>
      <c r="D16" s="1044"/>
      <c r="E16" s="1044"/>
      <c r="F16" s="1044"/>
      <c r="G16" s="586" t="s">
        <v>1288</v>
      </c>
      <c r="H16" s="590" t="s">
        <v>1297</v>
      </c>
      <c r="I16" s="594">
        <v>-2594.58</v>
      </c>
      <c r="J16" s="599">
        <f t="shared" si="2"/>
        <v>-2594.58</v>
      </c>
      <c r="K16" s="594"/>
      <c r="L16" s="594"/>
      <c r="M16" s="594"/>
      <c r="N16" s="594"/>
      <c r="O16" s="599"/>
      <c r="P16" s="599"/>
      <c r="Q16" s="599"/>
      <c r="R16" s="599"/>
      <c r="S16" s="599"/>
      <c r="T16" s="599"/>
      <c r="U16" s="599"/>
      <c r="V16" s="607">
        <f t="shared" si="1"/>
        <v>0</v>
      </c>
    </row>
    <row r="17" spans="1:22" ht="14.4" customHeight="1" x14ac:dyDescent="0.3">
      <c r="A17" s="580"/>
      <c r="B17" s="1044" t="s">
        <v>1298</v>
      </c>
      <c r="C17" s="1044"/>
      <c r="D17" s="1044"/>
      <c r="E17" s="1044"/>
      <c r="F17" s="1044"/>
      <c r="G17" s="586" t="s">
        <v>1288</v>
      </c>
      <c r="H17" s="590" t="s">
        <v>1299</v>
      </c>
      <c r="I17" s="594">
        <v>1057.17</v>
      </c>
      <c r="J17" s="599">
        <f t="shared" si="2"/>
        <v>1057.17</v>
      </c>
      <c r="K17" s="594"/>
      <c r="L17" s="594"/>
      <c r="M17" s="594"/>
      <c r="N17" s="594"/>
      <c r="O17" s="599"/>
      <c r="P17" s="599"/>
      <c r="Q17" s="599"/>
      <c r="R17" s="599"/>
      <c r="S17" s="599"/>
      <c r="T17" s="599"/>
      <c r="U17" s="599"/>
      <c r="V17" s="607">
        <f t="shared" si="1"/>
        <v>0</v>
      </c>
    </row>
    <row r="18" spans="1:22" ht="14.4" customHeight="1" x14ac:dyDescent="0.3">
      <c r="A18" s="580"/>
      <c r="B18" s="1045" t="s">
        <v>1300</v>
      </c>
      <c r="C18" s="1045"/>
      <c r="D18" s="1045"/>
      <c r="E18" s="1045"/>
      <c r="F18" s="1045"/>
      <c r="G18" s="586"/>
      <c r="H18" s="590" t="s">
        <v>1301</v>
      </c>
      <c r="I18" s="594">
        <v>136568.01999999999</v>
      </c>
      <c r="J18" s="599">
        <f t="shared" si="2"/>
        <v>83027.919999999984</v>
      </c>
      <c r="K18" s="594">
        <v>2400</v>
      </c>
      <c r="L18" s="594"/>
      <c r="M18" s="594">
        <v>41651.75</v>
      </c>
      <c r="N18" s="594">
        <v>3987.78</v>
      </c>
      <c r="O18" s="599">
        <v>145.49</v>
      </c>
      <c r="P18" s="599">
        <f>45+2953.29</f>
        <v>2998.29</v>
      </c>
      <c r="Q18" s="599"/>
      <c r="R18" s="599">
        <v>4.9000000000000004</v>
      </c>
      <c r="S18" s="599">
        <f>270.95+360</f>
        <v>630.95000000000005</v>
      </c>
      <c r="T18" s="599">
        <v>1720.94</v>
      </c>
      <c r="U18" s="599"/>
      <c r="V18" s="607">
        <f t="shared" si="1"/>
        <v>0</v>
      </c>
    </row>
    <row r="19" spans="1:22" ht="14.4" customHeight="1" x14ac:dyDescent="0.3">
      <c r="A19" s="580"/>
      <c r="B19" s="1044" t="s">
        <v>1302</v>
      </c>
      <c r="C19" s="1044"/>
      <c r="D19" s="1044"/>
      <c r="E19" s="1044"/>
      <c r="F19" s="1044"/>
      <c r="G19" s="586" t="s">
        <v>1303</v>
      </c>
      <c r="H19" s="590">
        <v>649</v>
      </c>
      <c r="I19" s="594"/>
      <c r="J19" s="599"/>
      <c r="K19" s="594"/>
      <c r="L19" s="594"/>
      <c r="M19" s="594"/>
      <c r="N19" s="594"/>
      <c r="O19" s="599"/>
      <c r="P19" s="599"/>
      <c r="Q19" s="599"/>
      <c r="R19" s="599"/>
      <c r="S19" s="599"/>
      <c r="T19" s="599"/>
      <c r="U19" s="599"/>
      <c r="V19" s="607">
        <f t="shared" si="1"/>
        <v>0</v>
      </c>
    </row>
    <row r="20" spans="1:22" x14ac:dyDescent="0.3">
      <c r="A20" s="580"/>
      <c r="B20" s="601"/>
      <c r="C20" s="561"/>
      <c r="D20" s="593"/>
      <c r="E20" s="593"/>
      <c r="F20" s="593"/>
      <c r="G20" s="586"/>
      <c r="H20" s="590"/>
      <c r="I20" s="603"/>
      <c r="J20" s="600"/>
      <c r="K20" s="603"/>
      <c r="L20" s="603"/>
      <c r="M20" s="603"/>
      <c r="N20" s="603"/>
      <c r="O20" s="600"/>
      <c r="P20" s="600"/>
      <c r="Q20" s="600"/>
      <c r="R20" s="600"/>
      <c r="S20" s="600"/>
      <c r="T20" s="600"/>
      <c r="U20" s="600"/>
      <c r="V20" s="604"/>
    </row>
    <row r="21" spans="1:22" s="608" customFormat="1" x14ac:dyDescent="0.3">
      <c r="A21" s="1046" t="s">
        <v>1304</v>
      </c>
      <c r="B21" s="1046"/>
      <c r="C21" s="1046"/>
      <c r="D21" s="1046"/>
      <c r="E21" s="1046"/>
      <c r="F21" s="1046"/>
      <c r="G21" s="605" t="s">
        <v>1288</v>
      </c>
      <c r="H21" s="606">
        <v>9901</v>
      </c>
      <c r="I21" s="594">
        <f t="shared" ref="I21:V21" si="3">I9-I14-I15-I16-I17-I18-I19</f>
        <v>87752.680000000109</v>
      </c>
      <c r="J21" s="599">
        <f t="shared" si="3"/>
        <v>96566.033999998908</v>
      </c>
      <c r="K21" s="594">
        <f t="shared" si="3"/>
        <v>-637.79999999999927</v>
      </c>
      <c r="L21" s="594">
        <f t="shared" si="3"/>
        <v>0</v>
      </c>
      <c r="M21" s="594">
        <f t="shared" si="3"/>
        <v>1476.6800000000003</v>
      </c>
      <c r="N21" s="594">
        <f t="shared" si="3"/>
        <v>-319.49999999999955</v>
      </c>
      <c r="O21" s="599">
        <f t="shared" si="3"/>
        <v>-3908.0739999999951</v>
      </c>
      <c r="P21" s="599">
        <f t="shared" si="3"/>
        <v>-5190.8199999999988</v>
      </c>
      <c r="Q21" s="599">
        <f t="shared" si="3"/>
        <v>-244.34000000000015</v>
      </c>
      <c r="R21" s="599">
        <f t="shared" si="3"/>
        <v>-8.1890050296351546E-13</v>
      </c>
      <c r="S21" s="599">
        <f t="shared" si="3"/>
        <v>0</v>
      </c>
      <c r="T21" s="599">
        <f t="shared" si="3"/>
        <v>10.500000000000455</v>
      </c>
      <c r="U21" s="599">
        <f t="shared" si="3"/>
        <v>0</v>
      </c>
      <c r="V21" s="607">
        <f t="shared" si="3"/>
        <v>0</v>
      </c>
    </row>
    <row r="22" spans="1:22" s="608" customFormat="1" x14ac:dyDescent="0.3">
      <c r="A22" s="609"/>
      <c r="B22" s="1041"/>
      <c r="C22" s="1041"/>
      <c r="D22" s="1041"/>
      <c r="E22" s="1041"/>
      <c r="F22" s="1041"/>
      <c r="G22" s="605"/>
      <c r="H22" s="606"/>
      <c r="I22" s="612"/>
      <c r="J22" s="611"/>
      <c r="K22" s="612"/>
      <c r="L22" s="612"/>
      <c r="M22" s="612"/>
      <c r="N22" s="612"/>
      <c r="O22" s="611"/>
      <c r="P22" s="611"/>
      <c r="Q22" s="611"/>
      <c r="R22" s="611"/>
      <c r="S22" s="611"/>
      <c r="T22" s="611"/>
      <c r="U22" s="611"/>
      <c r="V22" s="613"/>
    </row>
    <row r="23" spans="1:22" x14ac:dyDescent="0.3">
      <c r="A23" s="614" t="s">
        <v>1305</v>
      </c>
      <c r="B23" s="615"/>
      <c r="C23" s="615"/>
      <c r="D23" s="615"/>
      <c r="E23" s="615"/>
      <c r="F23" s="615"/>
      <c r="G23" s="581"/>
      <c r="H23" s="590">
        <v>75</v>
      </c>
      <c r="I23" s="595">
        <v>0</v>
      </c>
      <c r="J23" s="637">
        <f>I23-SUM(K23:U23)</f>
        <v>0</v>
      </c>
      <c r="K23" s="595"/>
      <c r="L23" s="595"/>
      <c r="M23" s="595"/>
      <c r="N23" s="595"/>
      <c r="O23" s="637"/>
      <c r="P23" s="637"/>
      <c r="Q23" s="637"/>
      <c r="R23" s="637"/>
      <c r="S23" s="637"/>
      <c r="T23" s="637"/>
      <c r="U23" s="637"/>
      <c r="V23" s="638">
        <f>I23-SUM(J23:U23)</f>
        <v>0</v>
      </c>
    </row>
    <row r="24" spans="1:22" x14ac:dyDescent="0.3">
      <c r="A24" s="614"/>
      <c r="B24" s="615"/>
      <c r="C24" s="615"/>
      <c r="D24" s="615"/>
      <c r="E24" s="615"/>
      <c r="F24" s="615"/>
      <c r="G24" s="581"/>
      <c r="H24" s="590"/>
      <c r="I24" s="612"/>
      <c r="J24" s="611"/>
      <c r="K24" s="612"/>
      <c r="L24" s="612"/>
      <c r="M24" s="612"/>
      <c r="N24" s="612"/>
      <c r="O24" s="611"/>
      <c r="P24" s="611"/>
      <c r="Q24" s="611"/>
      <c r="R24" s="611"/>
      <c r="S24" s="611"/>
      <c r="T24" s="611"/>
      <c r="U24" s="611"/>
      <c r="V24" s="613"/>
    </row>
    <row r="25" spans="1:22" x14ac:dyDescent="0.3">
      <c r="A25" s="1038" t="s">
        <v>1306</v>
      </c>
      <c r="B25" s="1038"/>
      <c r="C25" s="1038"/>
      <c r="D25" s="1038"/>
      <c r="E25" s="1038"/>
      <c r="F25" s="1038"/>
      <c r="G25" s="581"/>
      <c r="H25" s="590">
        <v>65</v>
      </c>
      <c r="I25" s="616">
        <v>9058.09</v>
      </c>
      <c r="J25" s="639">
        <f>I25-SUM(K25:U25)</f>
        <v>9047.59</v>
      </c>
      <c r="K25" s="616"/>
      <c r="L25" s="616"/>
      <c r="M25" s="616"/>
      <c r="N25" s="616"/>
      <c r="O25" s="639"/>
      <c r="P25" s="639"/>
      <c r="Q25" s="639"/>
      <c r="R25" s="639"/>
      <c r="S25" s="639"/>
      <c r="T25" s="639">
        <v>10.5</v>
      </c>
      <c r="U25" s="639"/>
      <c r="V25" s="640">
        <f>I25-SUM(J25:U25)</f>
        <v>0</v>
      </c>
    </row>
    <row r="26" spans="1:22" x14ac:dyDescent="0.3">
      <c r="A26" s="585"/>
      <c r="B26" s="588"/>
      <c r="C26" s="588"/>
      <c r="D26" s="588"/>
      <c r="E26" s="588"/>
      <c r="F26" s="588"/>
      <c r="G26" s="581"/>
      <c r="H26" s="590"/>
      <c r="I26" s="619"/>
      <c r="J26" s="618"/>
      <c r="K26" s="619"/>
      <c r="L26" s="619"/>
      <c r="M26" s="619"/>
      <c r="N26" s="619"/>
      <c r="O26" s="618"/>
      <c r="P26" s="618"/>
      <c r="Q26" s="618"/>
      <c r="R26" s="618"/>
      <c r="S26" s="618"/>
      <c r="T26" s="618"/>
      <c r="U26" s="618"/>
      <c r="V26" s="620"/>
    </row>
    <row r="27" spans="1:22" x14ac:dyDescent="0.3">
      <c r="A27" s="1039" t="s">
        <v>1307</v>
      </c>
      <c r="B27" s="1039"/>
      <c r="C27" s="1039"/>
      <c r="D27" s="1039"/>
      <c r="E27" s="1039"/>
      <c r="F27" s="1039"/>
      <c r="G27" s="621" t="s">
        <v>1288</v>
      </c>
      <c r="H27" s="590">
        <v>9902</v>
      </c>
      <c r="I27" s="594">
        <f t="shared" ref="I27:V27" si="4">I21+I23-I25</f>
        <v>78694.590000000113</v>
      </c>
      <c r="J27" s="599">
        <f t="shared" si="4"/>
        <v>87518.443999998912</v>
      </c>
      <c r="K27" s="594">
        <f t="shared" si="4"/>
        <v>-637.79999999999927</v>
      </c>
      <c r="L27" s="594">
        <f t="shared" si="4"/>
        <v>0</v>
      </c>
      <c r="M27" s="594">
        <f t="shared" si="4"/>
        <v>1476.6800000000003</v>
      </c>
      <c r="N27" s="594">
        <f t="shared" si="4"/>
        <v>-319.49999999999955</v>
      </c>
      <c r="O27" s="599">
        <f t="shared" si="4"/>
        <v>-3908.0739999999951</v>
      </c>
      <c r="P27" s="599">
        <f t="shared" si="4"/>
        <v>-5190.8199999999988</v>
      </c>
      <c r="Q27" s="599">
        <f t="shared" si="4"/>
        <v>-244.34000000000015</v>
      </c>
      <c r="R27" s="599">
        <f t="shared" si="4"/>
        <v>-8.1890050296351546E-13</v>
      </c>
      <c r="S27" s="599">
        <f t="shared" si="4"/>
        <v>0</v>
      </c>
      <c r="T27" s="599">
        <f t="shared" si="4"/>
        <v>4.5474735088646412E-13</v>
      </c>
      <c r="U27" s="599">
        <f t="shared" si="4"/>
        <v>0</v>
      </c>
      <c r="V27" s="607">
        <f t="shared" si="4"/>
        <v>0</v>
      </c>
    </row>
    <row r="28" spans="1:22" x14ac:dyDescent="0.3">
      <c r="A28" s="580"/>
      <c r="G28" s="581"/>
      <c r="H28" s="590"/>
      <c r="I28" s="603"/>
      <c r="J28" s="600"/>
      <c r="K28" s="603"/>
      <c r="L28" s="603"/>
      <c r="M28" s="603"/>
      <c r="N28" s="603"/>
      <c r="O28" s="600"/>
      <c r="P28" s="600"/>
      <c r="Q28" s="600"/>
      <c r="R28" s="600"/>
      <c r="S28" s="600"/>
      <c r="T28" s="600"/>
      <c r="U28" s="600"/>
      <c r="V28" s="604"/>
    </row>
    <row r="29" spans="1:22" x14ac:dyDescent="0.3">
      <c r="A29" s="1038" t="s">
        <v>1308</v>
      </c>
      <c r="B29" s="1038"/>
      <c r="C29" s="1038"/>
      <c r="D29" s="1038"/>
      <c r="E29" s="1038"/>
      <c r="F29" s="1038"/>
      <c r="G29" s="581"/>
      <c r="H29" s="590">
        <v>76</v>
      </c>
      <c r="I29" s="595">
        <v>110012.43</v>
      </c>
      <c r="J29" s="637">
        <f>I29-SUM(K29:U29)</f>
        <v>110012.43</v>
      </c>
      <c r="K29" s="595"/>
      <c r="L29" s="595"/>
      <c r="M29" s="595"/>
      <c r="N29" s="595"/>
      <c r="O29" s="637"/>
      <c r="P29" s="637"/>
      <c r="Q29" s="637"/>
      <c r="R29" s="637"/>
      <c r="S29" s="637"/>
      <c r="T29" s="637"/>
      <c r="U29" s="637"/>
      <c r="V29" s="638">
        <f>I29-SUM(J29:U29)</f>
        <v>0</v>
      </c>
    </row>
    <row r="30" spans="1:22" x14ac:dyDescent="0.3">
      <c r="A30" s="585"/>
      <c r="B30" s="588"/>
      <c r="C30" s="588"/>
      <c r="D30" s="588"/>
      <c r="E30" s="588"/>
      <c r="F30" s="588"/>
      <c r="G30" s="581"/>
      <c r="H30" s="590"/>
      <c r="I30" s="612"/>
      <c r="J30" s="611"/>
      <c r="K30" s="612"/>
      <c r="L30" s="612"/>
      <c r="M30" s="612"/>
      <c r="N30" s="612"/>
      <c r="O30" s="611"/>
      <c r="P30" s="611"/>
      <c r="Q30" s="611"/>
      <c r="R30" s="611"/>
      <c r="S30" s="611"/>
      <c r="T30" s="611"/>
      <c r="U30" s="611"/>
      <c r="V30" s="613"/>
    </row>
    <row r="31" spans="1:22" x14ac:dyDescent="0.3">
      <c r="A31" s="1038" t="s">
        <v>1309</v>
      </c>
      <c r="B31" s="1038"/>
      <c r="C31" s="1038"/>
      <c r="D31" s="1038"/>
      <c r="E31" s="1038"/>
      <c r="F31" s="1038"/>
      <c r="G31" s="581"/>
      <c r="H31" s="590">
        <v>66</v>
      </c>
      <c r="I31" s="616"/>
      <c r="J31" s="639">
        <f>I31-SUM(K31:U31)</f>
        <v>0</v>
      </c>
      <c r="K31" s="616"/>
      <c r="L31" s="616"/>
      <c r="M31" s="616"/>
      <c r="N31" s="616"/>
      <c r="O31" s="639"/>
      <c r="P31" s="639"/>
      <c r="Q31" s="639"/>
      <c r="R31" s="639"/>
      <c r="S31" s="639"/>
      <c r="T31" s="639"/>
      <c r="U31" s="639"/>
      <c r="V31" s="640">
        <f>I31-SUM(J31:U31)</f>
        <v>0</v>
      </c>
    </row>
    <row r="32" spans="1:22" x14ac:dyDescent="0.3">
      <c r="A32" s="580"/>
      <c r="G32" s="581"/>
      <c r="H32" s="590"/>
      <c r="I32" s="603"/>
      <c r="J32" s="600"/>
      <c r="K32" s="603"/>
      <c r="L32" s="603"/>
      <c r="M32" s="603"/>
      <c r="N32" s="603"/>
      <c r="O32" s="600"/>
      <c r="P32" s="600"/>
      <c r="Q32" s="600"/>
      <c r="R32" s="600"/>
      <c r="S32" s="600"/>
      <c r="T32" s="600"/>
      <c r="U32" s="600"/>
      <c r="V32" s="604"/>
    </row>
    <row r="33" spans="1:22" s="608" customFormat="1" x14ac:dyDescent="0.3">
      <c r="A33" s="1040" t="s">
        <v>1310</v>
      </c>
      <c r="B33" s="1040"/>
      <c r="C33" s="1040"/>
      <c r="D33" s="1040"/>
      <c r="E33" s="1040"/>
      <c r="F33" s="1040"/>
      <c r="G33" s="622" t="s">
        <v>1288</v>
      </c>
      <c r="H33" s="606">
        <v>9904</v>
      </c>
      <c r="I33" s="594">
        <f t="shared" ref="I33:V33" si="5">I27+I29-I31</f>
        <v>188707.02000000011</v>
      </c>
      <c r="J33" s="599">
        <f t="shared" si="5"/>
        <v>197530.8739999989</v>
      </c>
      <c r="K33" s="594">
        <f t="shared" si="5"/>
        <v>-637.79999999999927</v>
      </c>
      <c r="L33" s="594">
        <f t="shared" si="5"/>
        <v>0</v>
      </c>
      <c r="M33" s="594">
        <f t="shared" si="5"/>
        <v>1476.6800000000003</v>
      </c>
      <c r="N33" s="594">
        <f t="shared" si="5"/>
        <v>-319.49999999999955</v>
      </c>
      <c r="O33" s="599">
        <f t="shared" si="5"/>
        <v>-3908.0739999999951</v>
      </c>
      <c r="P33" s="599">
        <f t="shared" si="5"/>
        <v>-5190.8199999999988</v>
      </c>
      <c r="Q33" s="599">
        <f t="shared" si="5"/>
        <v>-244.34000000000015</v>
      </c>
      <c r="R33" s="599">
        <f t="shared" si="5"/>
        <v>-8.1890050296351546E-13</v>
      </c>
      <c r="S33" s="599">
        <f t="shared" si="5"/>
        <v>0</v>
      </c>
      <c r="T33" s="599">
        <f t="shared" si="5"/>
        <v>4.5474735088646412E-13</v>
      </c>
      <c r="U33" s="599">
        <f t="shared" si="5"/>
        <v>0</v>
      </c>
      <c r="V33" s="607">
        <f t="shared" si="5"/>
        <v>0</v>
      </c>
    </row>
    <row r="34" spans="1:22" ht="8.25" customHeight="1" thickBot="1" x14ac:dyDescent="0.35">
      <c r="A34" s="623"/>
      <c r="B34" s="624"/>
      <c r="C34" s="624"/>
      <c r="D34" s="624"/>
      <c r="E34" s="624"/>
      <c r="F34" s="624"/>
      <c r="G34" s="625"/>
      <c r="H34" s="626"/>
      <c r="I34" s="627"/>
      <c r="J34" s="628"/>
      <c r="K34" s="627"/>
      <c r="L34" s="627"/>
      <c r="M34" s="627"/>
      <c r="N34" s="627"/>
      <c r="O34" s="628"/>
      <c r="P34" s="628"/>
      <c r="Q34" s="628"/>
      <c r="R34" s="628"/>
      <c r="S34" s="628"/>
      <c r="T34" s="628"/>
      <c r="U34" s="628"/>
      <c r="V34" s="629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V21 I27:V27 I33:V33">
    <cfRule type="cellIs" dxfId="112" priority="2" stopIfTrue="1" operator="lessThan">
      <formula>0</formula>
    </cfRule>
  </conditionalFormatting>
  <conditionalFormatting sqref="I21:V21 I27:V27 I33:V33">
    <cfRule type="cellIs" dxfId="111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F36"/>
  <sheetViews>
    <sheetView workbookViewId="0">
      <selection sqref="A1:J1"/>
    </sheetView>
  </sheetViews>
  <sheetFormatPr defaultRowHeight="14.4" x14ac:dyDescent="0.3"/>
  <cols>
    <col min="1" max="1" width="2.6640625" style="558" customWidth="1"/>
    <col min="2" max="2" width="4.88671875" style="558" customWidth="1"/>
    <col min="3" max="3" width="3.6640625" style="558" customWidth="1"/>
    <col min="4" max="5" width="9.44140625" style="558" customWidth="1"/>
    <col min="6" max="6" width="23.33203125" style="558" customWidth="1"/>
    <col min="7" max="7" width="4.5546875" style="558" customWidth="1"/>
    <col min="8" max="8" width="6.44140625" style="558" customWidth="1"/>
    <col min="9" max="9" width="15.109375" style="600" customWidth="1"/>
    <col min="10" max="32" width="17.33203125" style="558" customWidth="1"/>
    <col min="33" max="33" width="15.5546875" style="558" customWidth="1"/>
    <col min="34" max="1020" width="9.44140625" style="558" customWidth="1"/>
    <col min="1021" max="1021" width="8.88671875" customWidth="1"/>
  </cols>
  <sheetData>
    <row r="1" spans="1:33" customFormat="1" ht="17.399999999999999" x14ac:dyDescent="0.3">
      <c r="A1" s="1062" t="s">
        <v>1323</v>
      </c>
      <c r="B1" s="1062"/>
      <c r="C1" s="1062"/>
      <c r="D1" s="1062"/>
      <c r="E1" s="1062"/>
      <c r="F1" s="1062"/>
      <c r="G1" s="1062"/>
      <c r="H1" s="1062"/>
      <c r="I1" s="1062"/>
      <c r="J1" s="1062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</row>
    <row r="2" spans="1:33" customFormat="1" ht="15.6" x14ac:dyDescent="0.3">
      <c r="A2" s="1053" t="s">
        <v>1337</v>
      </c>
      <c r="B2" s="1053"/>
      <c r="C2" s="1053"/>
      <c r="D2" s="1053"/>
      <c r="E2" s="1053"/>
      <c r="F2" s="1053"/>
      <c r="G2" s="1053"/>
      <c r="H2" s="1053"/>
      <c r="I2" s="1053"/>
    </row>
    <row r="3" spans="1:33" customFormat="1" ht="15.6" x14ac:dyDescent="0.3">
      <c r="A3" s="560"/>
      <c r="B3" s="560"/>
      <c r="C3" s="560"/>
      <c r="D3" s="561"/>
      <c r="E3" s="203"/>
      <c r="F3" s="203"/>
      <c r="G3" s="203"/>
      <c r="H3" s="203"/>
      <c r="I3" s="641"/>
    </row>
    <row r="4" spans="1:33" s="651" customFormat="1" ht="39.6" x14ac:dyDescent="0.3">
      <c r="A4" s="642"/>
      <c r="B4" s="643"/>
      <c r="C4" s="643"/>
      <c r="D4" s="643"/>
      <c r="E4" s="643"/>
      <c r="F4" s="643"/>
      <c r="G4" s="644"/>
      <c r="H4" s="645" t="s">
        <v>1275</v>
      </c>
      <c r="I4" s="646" t="s">
        <v>1276</v>
      </c>
      <c r="J4" s="647" t="s">
        <v>346</v>
      </c>
      <c r="K4" s="648" t="s">
        <v>509</v>
      </c>
      <c r="L4" s="648" t="s">
        <v>486</v>
      </c>
      <c r="M4" s="648" t="s">
        <v>1338</v>
      </c>
      <c r="N4" s="648" t="s">
        <v>1339</v>
      </c>
      <c r="O4" s="648" t="s">
        <v>250</v>
      </c>
      <c r="P4" s="648" t="s">
        <v>793</v>
      </c>
      <c r="Q4" s="648" t="s">
        <v>494</v>
      </c>
      <c r="R4" s="648" t="s">
        <v>516</v>
      </c>
      <c r="S4" s="648" t="s">
        <v>525</v>
      </c>
      <c r="T4" s="648" t="s">
        <v>512</v>
      </c>
      <c r="U4" s="648" t="s">
        <v>227</v>
      </c>
      <c r="V4" s="648" t="s">
        <v>499</v>
      </c>
      <c r="W4" s="648" t="s">
        <v>526</v>
      </c>
      <c r="X4" s="648" t="s">
        <v>505</v>
      </c>
      <c r="Y4" s="649" t="s">
        <v>502</v>
      </c>
      <c r="Z4" s="649" t="s">
        <v>513</v>
      </c>
      <c r="AA4" s="649" t="s">
        <v>1340</v>
      </c>
      <c r="AB4" s="649" t="s">
        <v>1341</v>
      </c>
      <c r="AC4" s="649" t="s">
        <v>537</v>
      </c>
      <c r="AD4" s="649" t="s">
        <v>1342</v>
      </c>
      <c r="AE4" s="649" t="s">
        <v>1343</v>
      </c>
      <c r="AF4" s="647" t="s">
        <v>344</v>
      </c>
      <c r="AG4" s="650" t="s">
        <v>1283</v>
      </c>
    </row>
    <row r="5" spans="1:33" customFormat="1" x14ac:dyDescent="0.3">
      <c r="A5" s="1063" t="s">
        <v>1284</v>
      </c>
      <c r="B5" s="1063"/>
      <c r="C5" s="1063"/>
      <c r="D5" s="1063"/>
      <c r="E5" s="1063"/>
      <c r="F5" s="1063"/>
      <c r="G5" s="1063"/>
      <c r="H5" s="1063"/>
      <c r="I5" s="652">
        <v>129</v>
      </c>
      <c r="J5" s="653">
        <f>I5-SUM(K5:AF5)</f>
        <v>103.92</v>
      </c>
      <c r="K5" s="653">
        <v>1</v>
      </c>
      <c r="L5" s="653">
        <v>2.2999999999999998</v>
      </c>
      <c r="M5" s="653">
        <v>0.25</v>
      </c>
      <c r="N5" s="653">
        <v>1.5</v>
      </c>
      <c r="O5" s="653">
        <v>2</v>
      </c>
      <c r="P5" s="653">
        <v>2</v>
      </c>
      <c r="Q5" s="653">
        <v>1.5</v>
      </c>
      <c r="R5" s="653">
        <v>0.5</v>
      </c>
      <c r="S5" s="653">
        <v>0.5</v>
      </c>
      <c r="T5" s="653">
        <v>1</v>
      </c>
      <c r="U5" s="653">
        <v>1</v>
      </c>
      <c r="V5" s="653">
        <v>1.5</v>
      </c>
      <c r="W5" s="653">
        <v>0.5</v>
      </c>
      <c r="X5" s="653">
        <v>2</v>
      </c>
      <c r="Y5" s="654">
        <v>1</v>
      </c>
      <c r="Z5" s="654">
        <v>1</v>
      </c>
      <c r="AA5" s="654">
        <v>1.5</v>
      </c>
      <c r="AB5" s="654">
        <v>1.5</v>
      </c>
      <c r="AC5" s="654">
        <v>1</v>
      </c>
      <c r="AD5" s="654">
        <v>0.7</v>
      </c>
      <c r="AE5" s="654">
        <v>0.83</v>
      </c>
      <c r="AF5" s="654"/>
      <c r="AG5" s="655">
        <f>I5-SUM(J5:AF5)</f>
        <v>0</v>
      </c>
    </row>
    <row r="6" spans="1:33" customFormat="1" x14ac:dyDescent="0.3">
      <c r="A6" s="1064" t="s">
        <v>1285</v>
      </c>
      <c r="B6" s="1064"/>
      <c r="C6" s="1064"/>
      <c r="D6" s="1064"/>
      <c r="E6" s="1064"/>
      <c r="F6" s="1064"/>
      <c r="G6" s="656"/>
      <c r="H6" s="558"/>
      <c r="I6" s="612"/>
      <c r="J6" s="657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58"/>
      <c r="Z6" s="658"/>
      <c r="AA6" s="658"/>
      <c r="AB6" s="658"/>
      <c r="AC6" s="658"/>
      <c r="AD6" s="658"/>
      <c r="AE6" s="658"/>
      <c r="AF6" s="658"/>
      <c r="AG6" s="659"/>
    </row>
    <row r="7" spans="1:33" customFormat="1" x14ac:dyDescent="0.3">
      <c r="A7" s="660"/>
      <c r="B7" s="558"/>
      <c r="C7" s="558"/>
      <c r="D7" s="558"/>
      <c r="E7" s="558"/>
      <c r="F7" s="558"/>
      <c r="G7" s="661"/>
      <c r="H7" s="558"/>
      <c r="I7" s="591"/>
      <c r="J7" s="583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662"/>
      <c r="Z7" s="662"/>
      <c r="AA7" s="662"/>
      <c r="AB7" s="662"/>
      <c r="AC7" s="662"/>
      <c r="AD7" s="662"/>
      <c r="AE7" s="662"/>
      <c r="AF7" s="662"/>
      <c r="AG7" s="584"/>
    </row>
    <row r="8" spans="1:33" customFormat="1" x14ac:dyDescent="0.3">
      <c r="A8" s="1054" t="s">
        <v>1286</v>
      </c>
      <c r="B8" s="1054"/>
      <c r="C8" s="1054"/>
      <c r="D8" s="1054"/>
      <c r="E8" s="1054"/>
      <c r="F8" s="1054"/>
      <c r="G8" s="663"/>
      <c r="H8" s="558"/>
      <c r="I8" s="591"/>
      <c r="J8" s="583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662"/>
      <c r="Z8" s="662"/>
      <c r="AA8" s="662"/>
      <c r="AB8" s="662"/>
      <c r="AC8" s="662"/>
      <c r="AD8" s="662"/>
      <c r="AE8" s="662"/>
      <c r="AF8" s="662"/>
      <c r="AG8" s="584"/>
    </row>
    <row r="9" spans="1:33" customFormat="1" x14ac:dyDescent="0.3">
      <c r="A9" s="664"/>
      <c r="B9" s="587" t="s">
        <v>1287</v>
      </c>
      <c r="C9" s="588"/>
      <c r="D9" s="588"/>
      <c r="E9" s="588"/>
      <c r="F9" s="588"/>
      <c r="G9" s="665" t="s">
        <v>1288</v>
      </c>
      <c r="H9" s="666">
        <v>9900</v>
      </c>
      <c r="I9" s="667">
        <f t="shared" ref="I9:AF9" si="0">I10-I13</f>
        <v>8209492.25</v>
      </c>
      <c r="J9" s="667">
        <f t="shared" si="0"/>
        <v>6845446.1400000006</v>
      </c>
      <c r="K9" s="668">
        <f t="shared" si="0"/>
        <v>67052.240000000005</v>
      </c>
      <c r="L9" s="668">
        <f t="shared" si="0"/>
        <v>141221.18000000002</v>
      </c>
      <c r="M9" s="669">
        <f t="shared" si="0"/>
        <v>16198.41</v>
      </c>
      <c r="N9" s="668">
        <f t="shared" si="0"/>
        <v>79584.69</v>
      </c>
      <c r="O9" s="668">
        <f t="shared" si="0"/>
        <v>96521.09</v>
      </c>
      <c r="P9" s="668">
        <f t="shared" si="0"/>
        <v>90170.82</v>
      </c>
      <c r="Q9" s="668">
        <f t="shared" si="0"/>
        <v>80000</v>
      </c>
      <c r="R9" s="668">
        <f t="shared" si="0"/>
        <v>29487.640000000003</v>
      </c>
      <c r="S9" s="668">
        <f t="shared" si="0"/>
        <v>22586.93</v>
      </c>
      <c r="T9" s="669">
        <f t="shared" si="0"/>
        <v>50414.92</v>
      </c>
      <c r="U9" s="667">
        <f t="shared" si="0"/>
        <v>29607.039999999997</v>
      </c>
      <c r="V9" s="668">
        <f t="shared" si="0"/>
        <v>93832.53</v>
      </c>
      <c r="W9" s="667">
        <f t="shared" si="0"/>
        <v>20488.09</v>
      </c>
      <c r="X9" s="667">
        <f t="shared" si="0"/>
        <v>60058.26</v>
      </c>
      <c r="Y9" s="668">
        <f t="shared" si="0"/>
        <v>51401.789999999994</v>
      </c>
      <c r="Z9" s="668">
        <f t="shared" si="0"/>
        <v>41164.589999999997</v>
      </c>
      <c r="AA9" s="668">
        <f t="shared" si="0"/>
        <v>70589.06</v>
      </c>
      <c r="AB9" s="668">
        <f t="shared" si="0"/>
        <v>150000</v>
      </c>
      <c r="AC9" s="668">
        <f t="shared" si="0"/>
        <v>65000.04</v>
      </c>
      <c r="AD9" s="668">
        <f t="shared" si="0"/>
        <v>43816.59</v>
      </c>
      <c r="AE9" s="668">
        <f t="shared" si="0"/>
        <v>64850.200000000004</v>
      </c>
      <c r="AF9" s="668">
        <f t="shared" si="0"/>
        <v>0</v>
      </c>
      <c r="AG9" s="592">
        <f t="shared" ref="AG9:AG19" si="1">I9-SUM(J9:AF9)</f>
        <v>0</v>
      </c>
    </row>
    <row r="10" spans="1:33" customFormat="1" x14ac:dyDescent="0.3">
      <c r="A10" s="660"/>
      <c r="B10" s="593"/>
      <c r="C10" s="1061" t="s">
        <v>1289</v>
      </c>
      <c r="D10" s="1061"/>
      <c r="E10" s="1061"/>
      <c r="F10" s="1061"/>
      <c r="G10" s="663"/>
      <c r="H10" s="590" t="s">
        <v>1290</v>
      </c>
      <c r="I10" s="595">
        <v>9480746.6699999999</v>
      </c>
      <c r="J10" s="637">
        <v>7966177.1600000001</v>
      </c>
      <c r="K10" s="595">
        <v>67190</v>
      </c>
      <c r="L10" s="595">
        <v>157916.42000000001</v>
      </c>
      <c r="M10" s="637">
        <v>16287.57</v>
      </c>
      <c r="N10" s="595">
        <v>85497.2</v>
      </c>
      <c r="O10" s="595">
        <v>119093.12</v>
      </c>
      <c r="P10" s="595">
        <v>104658</v>
      </c>
      <c r="Q10" s="595">
        <v>80000</v>
      </c>
      <c r="R10" s="595">
        <v>45549.16</v>
      </c>
      <c r="S10" s="595">
        <v>25000</v>
      </c>
      <c r="T10" s="637">
        <v>50500</v>
      </c>
      <c r="U10" s="595">
        <v>29692.12</v>
      </c>
      <c r="V10" s="595">
        <v>101071.74</v>
      </c>
      <c r="W10" s="595">
        <v>25000</v>
      </c>
      <c r="X10" s="595">
        <v>60058.26</v>
      </c>
      <c r="Y10" s="670">
        <v>60237.2</v>
      </c>
      <c r="Z10" s="670">
        <v>50000</v>
      </c>
      <c r="AA10" s="670">
        <v>70589.06</v>
      </c>
      <c r="AB10" s="670">
        <v>150000</v>
      </c>
      <c r="AC10" s="670">
        <v>65000.04</v>
      </c>
      <c r="AD10" s="670">
        <v>50001.38</v>
      </c>
      <c r="AE10" s="670">
        <v>101228.24</v>
      </c>
      <c r="AF10" s="670"/>
      <c r="AG10" s="638">
        <f t="shared" si="1"/>
        <v>0</v>
      </c>
    </row>
    <row r="11" spans="1:33" customFormat="1" x14ac:dyDescent="0.3">
      <c r="A11" s="660"/>
      <c r="B11" s="1028"/>
      <c r="C11" s="1028"/>
      <c r="D11" s="1057" t="s">
        <v>1291</v>
      </c>
      <c r="E11" s="1057"/>
      <c r="F11" s="1057"/>
      <c r="G11" s="663"/>
      <c r="H11" s="590">
        <v>70</v>
      </c>
      <c r="I11" s="595">
        <v>555557.31999999995</v>
      </c>
      <c r="J11" s="637">
        <v>536176.88</v>
      </c>
      <c r="K11" s="595">
        <v>2190</v>
      </c>
      <c r="L11" s="595"/>
      <c r="M11" s="637"/>
      <c r="N11" s="595"/>
      <c r="O11" s="595">
        <v>17190.439999999999</v>
      </c>
      <c r="P11" s="595"/>
      <c r="Q11" s="595"/>
      <c r="R11" s="595"/>
      <c r="S11" s="595"/>
      <c r="T11" s="637"/>
      <c r="U11" s="595"/>
      <c r="V11" s="595"/>
      <c r="W11" s="595"/>
      <c r="X11" s="595"/>
      <c r="Y11" s="670"/>
      <c r="Z11" s="670"/>
      <c r="AA11" s="670"/>
      <c r="AB11" s="670"/>
      <c r="AC11" s="670"/>
      <c r="AD11" s="670"/>
      <c r="AE11" s="670"/>
      <c r="AF11" s="670"/>
      <c r="AG11" s="638">
        <f t="shared" si="1"/>
        <v>0</v>
      </c>
    </row>
    <row r="12" spans="1:33" customFormat="1" ht="14.4" customHeight="1" x14ac:dyDescent="0.3">
      <c r="A12" s="660"/>
      <c r="B12" s="558"/>
      <c r="C12" s="558"/>
      <c r="D12" s="1058" t="s">
        <v>331</v>
      </c>
      <c r="E12" s="1058"/>
      <c r="F12" s="1058"/>
      <c r="G12" s="671"/>
      <c r="H12" s="672">
        <v>73</v>
      </c>
      <c r="I12" s="594">
        <v>8810323.4900000002</v>
      </c>
      <c r="J12" s="637">
        <v>7314383.5899999999</v>
      </c>
      <c r="K12" s="673">
        <v>65000</v>
      </c>
      <c r="L12" s="673">
        <v>157916.42000000001</v>
      </c>
      <c r="M12" s="674">
        <v>16287.57</v>
      </c>
      <c r="N12" s="673">
        <v>86651.41</v>
      </c>
      <c r="O12" s="673">
        <v>101902.68</v>
      </c>
      <c r="P12" s="673">
        <v>104658</v>
      </c>
      <c r="Q12" s="673">
        <v>80000</v>
      </c>
      <c r="R12" s="673">
        <v>45763.48</v>
      </c>
      <c r="S12" s="673">
        <v>25000</v>
      </c>
      <c r="T12" s="674">
        <v>50500</v>
      </c>
      <c r="U12" s="673">
        <v>29074.400000000001</v>
      </c>
      <c r="V12" s="673">
        <v>101071.74</v>
      </c>
      <c r="W12" s="673">
        <v>25000</v>
      </c>
      <c r="X12" s="673">
        <v>60058.26</v>
      </c>
      <c r="Y12" s="675">
        <v>60237.2</v>
      </c>
      <c r="Z12" s="675">
        <v>50000</v>
      </c>
      <c r="AA12" s="675">
        <v>70589.08</v>
      </c>
      <c r="AB12" s="675">
        <v>150000</v>
      </c>
      <c r="AC12" s="675">
        <v>65000.04</v>
      </c>
      <c r="AD12" s="675">
        <v>50001.38</v>
      </c>
      <c r="AE12" s="675">
        <v>101228.24</v>
      </c>
      <c r="AF12" s="675"/>
      <c r="AG12" s="607">
        <f t="shared" si="1"/>
        <v>0</v>
      </c>
    </row>
    <row r="13" spans="1:33" customFormat="1" ht="14.4" customHeight="1" x14ac:dyDescent="0.3">
      <c r="A13" s="660"/>
      <c r="B13" s="597"/>
      <c r="C13" s="1059" t="s">
        <v>1292</v>
      </c>
      <c r="D13" s="1059"/>
      <c r="E13" s="1059"/>
      <c r="F13" s="1059"/>
      <c r="G13" s="663"/>
      <c r="H13" s="590" t="s">
        <v>1293</v>
      </c>
      <c r="I13" s="594">
        <v>1271254.42</v>
      </c>
      <c r="J13" s="637">
        <v>1120731.02</v>
      </c>
      <c r="K13" s="594">
        <v>137.76</v>
      </c>
      <c r="L13" s="594">
        <v>16695.240000000002</v>
      </c>
      <c r="M13" s="599">
        <v>89.16</v>
      </c>
      <c r="N13" s="594">
        <v>5912.51</v>
      </c>
      <c r="O13" s="594">
        <v>22572.03</v>
      </c>
      <c r="P13" s="594">
        <v>14487.18</v>
      </c>
      <c r="Q13" s="594"/>
      <c r="R13" s="594">
        <v>16061.52</v>
      </c>
      <c r="S13" s="594">
        <v>2413.0700000000002</v>
      </c>
      <c r="T13" s="599">
        <v>85.08</v>
      </c>
      <c r="U13" s="594">
        <v>85.08</v>
      </c>
      <c r="V13" s="594">
        <v>7239.21</v>
      </c>
      <c r="W13" s="594">
        <v>4511.91</v>
      </c>
      <c r="X13" s="594"/>
      <c r="Y13" s="676">
        <v>8835.41</v>
      </c>
      <c r="Z13" s="676">
        <v>8835.41</v>
      </c>
      <c r="AA13" s="676"/>
      <c r="AB13" s="676"/>
      <c r="AC13" s="676"/>
      <c r="AD13" s="676">
        <v>6184.79</v>
      </c>
      <c r="AE13" s="676">
        <v>36378.04</v>
      </c>
      <c r="AF13" s="676"/>
      <c r="AG13" s="607">
        <f t="shared" si="1"/>
        <v>0</v>
      </c>
    </row>
    <row r="14" spans="1:33" customFormat="1" ht="14.4" customHeight="1" x14ac:dyDescent="0.3">
      <c r="A14" s="660"/>
      <c r="B14" s="1059" t="s">
        <v>1294</v>
      </c>
      <c r="C14" s="1059"/>
      <c r="D14" s="1059"/>
      <c r="E14" s="1059"/>
      <c r="F14" s="1059"/>
      <c r="G14" s="663" t="s">
        <v>1288</v>
      </c>
      <c r="H14" s="590">
        <v>62</v>
      </c>
      <c r="I14" s="595">
        <v>7767025.4800000004</v>
      </c>
      <c r="J14" s="637">
        <v>6332544.3799999999</v>
      </c>
      <c r="K14" s="595">
        <v>77362.52</v>
      </c>
      <c r="L14" s="595">
        <v>128645.69</v>
      </c>
      <c r="M14" s="637">
        <v>25021.46</v>
      </c>
      <c r="N14" s="595">
        <v>82317.27</v>
      </c>
      <c r="O14" s="595">
        <v>112236.66</v>
      </c>
      <c r="P14" s="595">
        <v>94167.55</v>
      </c>
      <c r="Q14" s="595">
        <v>96710.56</v>
      </c>
      <c r="R14" s="595">
        <v>30201.37</v>
      </c>
      <c r="S14" s="595">
        <v>25227.48</v>
      </c>
      <c r="T14" s="637">
        <v>55993.86</v>
      </c>
      <c r="U14" s="595">
        <v>66605.45</v>
      </c>
      <c r="V14" s="595">
        <v>94170.13</v>
      </c>
      <c r="W14" s="595">
        <v>24242.26</v>
      </c>
      <c r="X14" s="595">
        <v>64128.959999999999</v>
      </c>
      <c r="Y14" s="670">
        <v>55868.68</v>
      </c>
      <c r="Z14" s="670">
        <v>50860.26</v>
      </c>
      <c r="AA14" s="670">
        <v>97062.12</v>
      </c>
      <c r="AB14" s="670">
        <v>99547.99</v>
      </c>
      <c r="AC14" s="670">
        <v>58075.76</v>
      </c>
      <c r="AD14" s="670">
        <v>44337.71</v>
      </c>
      <c r="AE14" s="670">
        <v>51697.36</v>
      </c>
      <c r="AF14" s="670"/>
      <c r="AG14" s="607">
        <f t="shared" si="1"/>
        <v>0</v>
      </c>
    </row>
    <row r="15" spans="1:33" customFormat="1" ht="14.4" customHeight="1" x14ac:dyDescent="0.3">
      <c r="A15" s="660"/>
      <c r="B15" s="1059" t="s">
        <v>1295</v>
      </c>
      <c r="C15" s="1059"/>
      <c r="D15" s="1059"/>
      <c r="E15" s="1059"/>
      <c r="F15" s="1059"/>
      <c r="G15" s="663" t="s">
        <v>1288</v>
      </c>
      <c r="H15" s="590">
        <v>630</v>
      </c>
      <c r="I15" s="594">
        <v>504011.63</v>
      </c>
      <c r="J15" s="637">
        <v>487983.55</v>
      </c>
      <c r="K15" s="594"/>
      <c r="L15" s="594">
        <v>12353.48</v>
      </c>
      <c r="M15" s="599"/>
      <c r="N15" s="594"/>
      <c r="O15" s="594">
        <v>2401.48</v>
      </c>
      <c r="P15" s="594"/>
      <c r="Q15" s="594"/>
      <c r="R15" s="594">
        <v>532.66999999999996</v>
      </c>
      <c r="S15" s="594"/>
      <c r="T15" s="599"/>
      <c r="U15" s="594">
        <v>331.49</v>
      </c>
      <c r="V15" s="594"/>
      <c r="W15" s="594"/>
      <c r="X15" s="594"/>
      <c r="Y15" s="676">
        <v>204.48</v>
      </c>
      <c r="Z15" s="676">
        <v>204.48</v>
      </c>
      <c r="AA15" s="676"/>
      <c r="AB15" s="676"/>
      <c r="AC15" s="676"/>
      <c r="AD15" s="676"/>
      <c r="AE15" s="676"/>
      <c r="AF15" s="676"/>
      <c r="AG15" s="607">
        <f t="shared" si="1"/>
        <v>0</v>
      </c>
    </row>
    <row r="16" spans="1:33" customFormat="1" ht="14.4" customHeight="1" x14ac:dyDescent="0.3">
      <c r="A16" s="660"/>
      <c r="B16" s="1059" t="s">
        <v>1296</v>
      </c>
      <c r="C16" s="1059"/>
      <c r="D16" s="1059"/>
      <c r="E16" s="1059"/>
      <c r="F16" s="1059"/>
      <c r="G16" s="663" t="s">
        <v>1288</v>
      </c>
      <c r="H16" s="590" t="s">
        <v>1297</v>
      </c>
      <c r="I16" s="594">
        <v>25482.84</v>
      </c>
      <c r="J16" s="637">
        <v>25482.84</v>
      </c>
      <c r="K16" s="594"/>
      <c r="L16" s="594"/>
      <c r="M16" s="599"/>
      <c r="N16" s="594"/>
      <c r="O16" s="594"/>
      <c r="P16" s="594"/>
      <c r="Q16" s="594"/>
      <c r="R16" s="594"/>
      <c r="S16" s="594"/>
      <c r="T16" s="599"/>
      <c r="U16" s="594"/>
      <c r="V16" s="594"/>
      <c r="W16" s="594"/>
      <c r="X16" s="594"/>
      <c r="Y16" s="676"/>
      <c r="Z16" s="676"/>
      <c r="AA16" s="676"/>
      <c r="AB16" s="676"/>
      <c r="AC16" s="676"/>
      <c r="AD16" s="676"/>
      <c r="AE16" s="676"/>
      <c r="AF16" s="676"/>
      <c r="AG16" s="607">
        <f t="shared" si="1"/>
        <v>0</v>
      </c>
    </row>
    <row r="17" spans="1:33" customFormat="1" ht="14.4" customHeight="1" x14ac:dyDescent="0.3">
      <c r="A17" s="660"/>
      <c r="B17" s="1059" t="s">
        <v>1298</v>
      </c>
      <c r="C17" s="1059"/>
      <c r="D17" s="1059"/>
      <c r="E17" s="1059"/>
      <c r="F17" s="1059"/>
      <c r="G17" s="663" t="s">
        <v>1288</v>
      </c>
      <c r="H17" s="590" t="s">
        <v>1299</v>
      </c>
      <c r="I17" s="594">
        <v>-20513</v>
      </c>
      <c r="J17" s="637">
        <v>-20513</v>
      </c>
      <c r="K17" s="594"/>
      <c r="L17" s="594"/>
      <c r="M17" s="599"/>
      <c r="N17" s="594"/>
      <c r="O17" s="594"/>
      <c r="P17" s="594"/>
      <c r="Q17" s="594"/>
      <c r="R17" s="594"/>
      <c r="S17" s="594"/>
      <c r="T17" s="599"/>
      <c r="U17" s="594"/>
      <c r="V17" s="594"/>
      <c r="W17" s="594"/>
      <c r="X17" s="594"/>
      <c r="Y17" s="676"/>
      <c r="Z17" s="676"/>
      <c r="AA17" s="676"/>
      <c r="AB17" s="676"/>
      <c r="AC17" s="676"/>
      <c r="AD17" s="676"/>
      <c r="AE17" s="676"/>
      <c r="AF17" s="676"/>
      <c r="AG17" s="607">
        <f t="shared" si="1"/>
        <v>0</v>
      </c>
    </row>
    <row r="18" spans="1:33" customFormat="1" ht="14.4" customHeight="1" x14ac:dyDescent="0.3">
      <c r="A18" s="660"/>
      <c r="B18" s="1059" t="s">
        <v>1300</v>
      </c>
      <c r="C18" s="1059"/>
      <c r="D18" s="1059"/>
      <c r="E18" s="1059"/>
      <c r="F18" s="1059"/>
      <c r="G18" s="663"/>
      <c r="H18" s="590" t="s">
        <v>1301</v>
      </c>
      <c r="I18" s="594">
        <v>28877.67</v>
      </c>
      <c r="J18" s="637">
        <v>27512.2</v>
      </c>
      <c r="K18" s="594"/>
      <c r="L18" s="594">
        <v>1284.8800000000001</v>
      </c>
      <c r="M18" s="599"/>
      <c r="N18" s="594"/>
      <c r="O18" s="594">
        <v>26.59</v>
      </c>
      <c r="P18" s="594">
        <v>54</v>
      </c>
      <c r="Q18" s="594"/>
      <c r="R18" s="594"/>
      <c r="S18" s="594"/>
      <c r="T18" s="599"/>
      <c r="U18" s="594"/>
      <c r="V18" s="594"/>
      <c r="W18" s="594"/>
      <c r="X18" s="594"/>
      <c r="Y18" s="676"/>
      <c r="Z18" s="676"/>
      <c r="AA18" s="676"/>
      <c r="AB18" s="676"/>
      <c r="AC18" s="676"/>
      <c r="AD18" s="676"/>
      <c r="AE18" s="676"/>
      <c r="AF18" s="676"/>
      <c r="AG18" s="607">
        <f t="shared" si="1"/>
        <v>0</v>
      </c>
    </row>
    <row r="19" spans="1:33" customFormat="1" ht="14.4" customHeight="1" x14ac:dyDescent="0.3">
      <c r="A19" s="660"/>
      <c r="B19" s="1059" t="s">
        <v>1302</v>
      </c>
      <c r="C19" s="1059"/>
      <c r="D19" s="1059"/>
      <c r="E19" s="1059"/>
      <c r="F19" s="1059"/>
      <c r="G19" s="663" t="s">
        <v>1303</v>
      </c>
      <c r="H19" s="590">
        <v>649</v>
      </c>
      <c r="I19" s="594"/>
      <c r="J19" s="637">
        <v>0</v>
      </c>
      <c r="K19" s="594"/>
      <c r="L19" s="594"/>
      <c r="M19" s="599"/>
      <c r="N19" s="594"/>
      <c r="O19" s="594"/>
      <c r="P19" s="594"/>
      <c r="Q19" s="594"/>
      <c r="R19" s="594"/>
      <c r="S19" s="594"/>
      <c r="T19" s="599"/>
      <c r="U19" s="594"/>
      <c r="V19" s="594"/>
      <c r="W19" s="594"/>
      <c r="X19" s="594"/>
      <c r="Y19" s="676"/>
      <c r="Z19" s="676"/>
      <c r="AA19" s="676"/>
      <c r="AB19" s="676"/>
      <c r="AC19" s="676"/>
      <c r="AD19" s="676"/>
      <c r="AE19" s="676"/>
      <c r="AF19" s="676"/>
      <c r="AG19" s="607">
        <f t="shared" si="1"/>
        <v>0</v>
      </c>
    </row>
    <row r="20" spans="1:33" customFormat="1" x14ac:dyDescent="0.3">
      <c r="A20" s="660"/>
      <c r="B20" s="601"/>
      <c r="C20" s="561"/>
      <c r="D20" s="593"/>
      <c r="E20" s="593"/>
      <c r="F20" s="593"/>
      <c r="G20" s="663"/>
      <c r="H20" s="590"/>
      <c r="I20" s="603"/>
      <c r="J20" s="600"/>
      <c r="K20" s="603"/>
      <c r="L20" s="603"/>
      <c r="M20" s="600"/>
      <c r="N20" s="603"/>
      <c r="O20" s="603"/>
      <c r="P20" s="603"/>
      <c r="Q20" s="603"/>
      <c r="R20" s="603"/>
      <c r="S20" s="603"/>
      <c r="T20" s="600"/>
      <c r="U20" s="603"/>
      <c r="V20" s="603"/>
      <c r="W20" s="603"/>
      <c r="X20" s="603"/>
      <c r="Y20" s="677"/>
      <c r="Z20" s="677"/>
      <c r="AA20" s="677"/>
      <c r="AB20" s="677"/>
      <c r="AC20" s="677"/>
      <c r="AD20" s="677"/>
      <c r="AE20" s="677"/>
      <c r="AF20" s="677"/>
      <c r="AG20" s="604"/>
    </row>
    <row r="21" spans="1:33" s="608" customFormat="1" x14ac:dyDescent="0.3">
      <c r="A21" s="1060" t="s">
        <v>1304</v>
      </c>
      <c r="B21" s="1060"/>
      <c r="C21" s="1060"/>
      <c r="D21" s="1060"/>
      <c r="E21" s="1060"/>
      <c r="F21" s="1060"/>
      <c r="G21" s="678" t="s">
        <v>1288</v>
      </c>
      <c r="H21" s="679">
        <v>9901</v>
      </c>
      <c r="I21" s="680">
        <f t="shared" ref="I21:AG21" si="2">I9-I14-I15-I16-I17-I18-I19</f>
        <v>-95392.370000000446</v>
      </c>
      <c r="J21" s="681">
        <f t="shared" si="2"/>
        <v>-7563.8299999992814</v>
      </c>
      <c r="K21" s="680">
        <f t="shared" si="2"/>
        <v>-10310.279999999999</v>
      </c>
      <c r="L21" s="680">
        <f t="shared" si="2"/>
        <v>-1062.8699999999799</v>
      </c>
      <c r="M21" s="681">
        <f t="shared" si="2"/>
        <v>-8823.0499999999993</v>
      </c>
      <c r="N21" s="680">
        <f t="shared" si="2"/>
        <v>-2732.5800000000017</v>
      </c>
      <c r="O21" s="680">
        <f t="shared" si="2"/>
        <v>-18143.640000000007</v>
      </c>
      <c r="P21" s="680">
        <f t="shared" si="2"/>
        <v>-4050.7299999999959</v>
      </c>
      <c r="Q21" s="680">
        <f t="shared" si="2"/>
        <v>-16710.559999999998</v>
      </c>
      <c r="R21" s="680">
        <f t="shared" si="2"/>
        <v>-1246.399999999996</v>
      </c>
      <c r="S21" s="680">
        <f t="shared" si="2"/>
        <v>-2640.5499999999993</v>
      </c>
      <c r="T21" s="681">
        <f t="shared" si="2"/>
        <v>-5578.9400000000023</v>
      </c>
      <c r="U21" s="680">
        <f t="shared" si="2"/>
        <v>-37329.9</v>
      </c>
      <c r="V21" s="680">
        <f t="shared" si="2"/>
        <v>-337.60000000000582</v>
      </c>
      <c r="W21" s="680">
        <f t="shared" si="2"/>
        <v>-3754.1699999999983</v>
      </c>
      <c r="X21" s="680">
        <f t="shared" si="2"/>
        <v>-4070.6999999999971</v>
      </c>
      <c r="Y21" s="682">
        <f t="shared" si="2"/>
        <v>-4671.3700000000063</v>
      </c>
      <c r="Z21" s="682">
        <f t="shared" si="2"/>
        <v>-9900.1500000000051</v>
      </c>
      <c r="AA21" s="682">
        <f t="shared" si="2"/>
        <v>-26473.059999999998</v>
      </c>
      <c r="AB21" s="682">
        <f t="shared" si="2"/>
        <v>50452.009999999995</v>
      </c>
      <c r="AC21" s="682">
        <f t="shared" si="2"/>
        <v>6924.2799999999988</v>
      </c>
      <c r="AD21" s="682">
        <f t="shared" si="2"/>
        <v>-521.12000000000262</v>
      </c>
      <c r="AE21" s="682">
        <f t="shared" si="2"/>
        <v>13152.840000000004</v>
      </c>
      <c r="AF21" s="682">
        <f t="shared" si="2"/>
        <v>0</v>
      </c>
      <c r="AG21" s="607">
        <f t="shared" si="2"/>
        <v>0</v>
      </c>
    </row>
    <row r="22" spans="1:33" customFormat="1" x14ac:dyDescent="0.3">
      <c r="A22" s="683"/>
      <c r="B22" s="1028"/>
      <c r="C22" s="1028"/>
      <c r="D22" s="1028"/>
      <c r="E22" s="1028"/>
      <c r="F22" s="1028"/>
      <c r="G22" s="678"/>
      <c r="H22" s="606"/>
      <c r="I22" s="612"/>
      <c r="J22" s="611"/>
      <c r="K22" s="612"/>
      <c r="L22" s="612"/>
      <c r="M22" s="611"/>
      <c r="N22" s="612"/>
      <c r="O22" s="612"/>
      <c r="P22" s="612"/>
      <c r="Q22" s="612"/>
      <c r="R22" s="612"/>
      <c r="S22" s="612"/>
      <c r="T22" s="611"/>
      <c r="U22" s="612"/>
      <c r="V22" s="612"/>
      <c r="W22" s="612"/>
      <c r="X22" s="612"/>
      <c r="Y22" s="684"/>
      <c r="Z22" s="684"/>
      <c r="AA22" s="684"/>
      <c r="AB22" s="684"/>
      <c r="AC22" s="684"/>
      <c r="AD22" s="684"/>
      <c r="AE22" s="684"/>
      <c r="AF22" s="684"/>
      <c r="AG22" s="613"/>
    </row>
    <row r="23" spans="1:33" customFormat="1" x14ac:dyDescent="0.3">
      <c r="A23" s="685" t="s">
        <v>1305</v>
      </c>
      <c r="B23" s="615"/>
      <c r="C23" s="615"/>
      <c r="D23" s="615"/>
      <c r="E23" s="615"/>
      <c r="F23" s="615"/>
      <c r="G23" s="661"/>
      <c r="H23" s="590">
        <v>75</v>
      </c>
      <c r="I23" s="595">
        <v>878.42</v>
      </c>
      <c r="J23" s="637">
        <v>878.42</v>
      </c>
      <c r="K23" s="595"/>
      <c r="L23" s="595"/>
      <c r="M23" s="637"/>
      <c r="N23" s="595"/>
      <c r="O23" s="595"/>
      <c r="P23" s="595"/>
      <c r="Q23" s="595"/>
      <c r="R23" s="595"/>
      <c r="S23" s="595"/>
      <c r="T23" s="637"/>
      <c r="U23" s="595"/>
      <c r="V23" s="595"/>
      <c r="W23" s="595"/>
      <c r="X23" s="595"/>
      <c r="Y23" s="670"/>
      <c r="Z23" s="670"/>
      <c r="AA23" s="670"/>
      <c r="AB23" s="670"/>
      <c r="AC23" s="670"/>
      <c r="AD23" s="670"/>
      <c r="AE23" s="670"/>
      <c r="AF23" s="670"/>
      <c r="AG23" s="638">
        <f>I23-SUM(J23:AF23)</f>
        <v>0</v>
      </c>
    </row>
    <row r="24" spans="1:33" customFormat="1" x14ac:dyDescent="0.3">
      <c r="A24" s="685"/>
      <c r="B24" s="615"/>
      <c r="C24" s="615"/>
      <c r="D24" s="615"/>
      <c r="E24" s="615"/>
      <c r="F24" s="615"/>
      <c r="G24" s="661"/>
      <c r="H24" s="590"/>
      <c r="I24" s="612"/>
      <c r="J24" s="611"/>
      <c r="K24" s="612"/>
      <c r="L24" s="612"/>
      <c r="M24" s="611"/>
      <c r="N24" s="612"/>
      <c r="O24" s="612"/>
      <c r="P24" s="612"/>
      <c r="Q24" s="612"/>
      <c r="R24" s="612"/>
      <c r="S24" s="612"/>
      <c r="T24" s="611"/>
      <c r="U24" s="612"/>
      <c r="V24" s="612"/>
      <c r="W24" s="612"/>
      <c r="X24" s="612"/>
      <c r="Y24" s="684"/>
      <c r="Z24" s="684"/>
      <c r="AA24" s="684"/>
      <c r="AB24" s="684"/>
      <c r="AC24" s="684"/>
      <c r="AD24" s="684"/>
      <c r="AE24" s="684"/>
      <c r="AF24" s="684"/>
      <c r="AG24" s="613"/>
    </row>
    <row r="25" spans="1:33" customFormat="1" x14ac:dyDescent="0.3">
      <c r="A25" s="1054" t="s">
        <v>1306</v>
      </c>
      <c r="B25" s="1054"/>
      <c r="C25" s="1054"/>
      <c r="D25" s="1054"/>
      <c r="E25" s="1054"/>
      <c r="F25" s="1054"/>
      <c r="G25" s="661"/>
      <c r="H25" s="590">
        <v>65</v>
      </c>
      <c r="I25" s="616">
        <v>99773.7</v>
      </c>
      <c r="J25" s="637">
        <v>99773.7</v>
      </c>
      <c r="K25" s="616"/>
      <c r="L25" s="616"/>
      <c r="M25" s="639"/>
      <c r="N25" s="616"/>
      <c r="O25" s="616"/>
      <c r="P25" s="616"/>
      <c r="Q25" s="616"/>
      <c r="R25" s="616"/>
      <c r="S25" s="616"/>
      <c r="T25" s="639"/>
      <c r="U25" s="616"/>
      <c r="V25" s="616"/>
      <c r="W25" s="616"/>
      <c r="X25" s="616"/>
      <c r="Y25" s="686"/>
      <c r="Z25" s="686"/>
      <c r="AA25" s="686"/>
      <c r="AB25" s="686"/>
      <c r="AC25" s="686"/>
      <c r="AD25" s="686"/>
      <c r="AE25" s="686"/>
      <c r="AF25" s="686"/>
      <c r="AG25" s="640">
        <f>I25-SUM(J25:AF25)</f>
        <v>0</v>
      </c>
    </row>
    <row r="26" spans="1:33" customFormat="1" x14ac:dyDescent="0.3">
      <c r="A26" s="664"/>
      <c r="B26" s="588"/>
      <c r="C26" s="588"/>
      <c r="D26" s="588"/>
      <c r="E26" s="588"/>
      <c r="F26" s="588"/>
      <c r="G26" s="661"/>
      <c r="H26" s="590"/>
      <c r="I26" s="619"/>
      <c r="J26" s="618"/>
      <c r="K26" s="619"/>
      <c r="L26" s="619"/>
      <c r="M26" s="618"/>
      <c r="N26" s="619"/>
      <c r="O26" s="619"/>
      <c r="P26" s="619"/>
      <c r="Q26" s="619"/>
      <c r="R26" s="619"/>
      <c r="S26" s="619"/>
      <c r="T26" s="618"/>
      <c r="U26" s="619"/>
      <c r="V26" s="619"/>
      <c r="W26" s="619"/>
      <c r="X26" s="619"/>
      <c r="Y26" s="687"/>
      <c r="Z26" s="687"/>
      <c r="AA26" s="687"/>
      <c r="AB26" s="687"/>
      <c r="AC26" s="687"/>
      <c r="AD26" s="687"/>
      <c r="AE26" s="687"/>
      <c r="AF26" s="687"/>
      <c r="AG26" s="620"/>
    </row>
    <row r="27" spans="1:33" customFormat="1" x14ac:dyDescent="0.3">
      <c r="A27" s="1055" t="s">
        <v>1307</v>
      </c>
      <c r="B27" s="1055"/>
      <c r="C27" s="1055"/>
      <c r="D27" s="1055"/>
      <c r="E27" s="1055"/>
      <c r="F27" s="1055"/>
      <c r="G27" s="688" t="s">
        <v>1288</v>
      </c>
      <c r="H27" s="666">
        <v>9902</v>
      </c>
      <c r="I27" s="680">
        <f t="shared" ref="I27:AG27" si="3">I21+I23-I25</f>
        <v>-194287.65000000043</v>
      </c>
      <c r="J27" s="681">
        <f t="shared" si="3"/>
        <v>-106459.10999999927</v>
      </c>
      <c r="K27" s="680">
        <f t="shared" si="3"/>
        <v>-10310.279999999999</v>
      </c>
      <c r="L27" s="680">
        <f t="shared" si="3"/>
        <v>-1062.8699999999799</v>
      </c>
      <c r="M27" s="681">
        <f t="shared" si="3"/>
        <v>-8823.0499999999993</v>
      </c>
      <c r="N27" s="680">
        <f t="shared" si="3"/>
        <v>-2732.5800000000017</v>
      </c>
      <c r="O27" s="680">
        <f t="shared" si="3"/>
        <v>-18143.640000000007</v>
      </c>
      <c r="P27" s="680">
        <f t="shared" si="3"/>
        <v>-4050.7299999999959</v>
      </c>
      <c r="Q27" s="680">
        <f t="shared" si="3"/>
        <v>-16710.559999999998</v>
      </c>
      <c r="R27" s="680">
        <f t="shared" si="3"/>
        <v>-1246.399999999996</v>
      </c>
      <c r="S27" s="680">
        <f t="shared" si="3"/>
        <v>-2640.5499999999993</v>
      </c>
      <c r="T27" s="681">
        <f t="shared" si="3"/>
        <v>-5578.9400000000023</v>
      </c>
      <c r="U27" s="680">
        <f t="shared" si="3"/>
        <v>-37329.9</v>
      </c>
      <c r="V27" s="680">
        <f t="shared" si="3"/>
        <v>-337.60000000000582</v>
      </c>
      <c r="W27" s="680">
        <f t="shared" si="3"/>
        <v>-3754.1699999999983</v>
      </c>
      <c r="X27" s="680">
        <f t="shared" si="3"/>
        <v>-4070.6999999999971</v>
      </c>
      <c r="Y27" s="682">
        <f t="shared" si="3"/>
        <v>-4671.3700000000063</v>
      </c>
      <c r="Z27" s="682">
        <f t="shared" si="3"/>
        <v>-9900.1500000000051</v>
      </c>
      <c r="AA27" s="682">
        <f t="shared" si="3"/>
        <v>-26473.059999999998</v>
      </c>
      <c r="AB27" s="682">
        <f t="shared" si="3"/>
        <v>50452.009999999995</v>
      </c>
      <c r="AC27" s="682">
        <f t="shared" si="3"/>
        <v>6924.2799999999988</v>
      </c>
      <c r="AD27" s="682">
        <f t="shared" si="3"/>
        <v>-521.12000000000262</v>
      </c>
      <c r="AE27" s="682">
        <f t="shared" si="3"/>
        <v>13152.840000000004</v>
      </c>
      <c r="AF27" s="682">
        <f t="shared" si="3"/>
        <v>0</v>
      </c>
      <c r="AG27" s="607">
        <f t="shared" si="3"/>
        <v>0</v>
      </c>
    </row>
    <row r="28" spans="1:33" customFormat="1" x14ac:dyDescent="0.3">
      <c r="A28" s="660"/>
      <c r="B28" s="558"/>
      <c r="C28" s="558"/>
      <c r="D28" s="558"/>
      <c r="E28" s="558"/>
      <c r="F28" s="558"/>
      <c r="G28" s="661"/>
      <c r="H28" s="590"/>
      <c r="I28" s="603"/>
      <c r="J28" s="600"/>
      <c r="K28" s="603"/>
      <c r="L28" s="603"/>
      <c r="M28" s="600"/>
      <c r="N28" s="603"/>
      <c r="O28" s="603"/>
      <c r="P28" s="603"/>
      <c r="Q28" s="603"/>
      <c r="R28" s="603"/>
      <c r="S28" s="603"/>
      <c r="T28" s="600"/>
      <c r="U28" s="603"/>
      <c r="V28" s="603"/>
      <c r="W28" s="603"/>
      <c r="X28" s="603"/>
      <c r="Y28" s="677"/>
      <c r="Z28" s="677"/>
      <c r="AA28" s="677"/>
      <c r="AB28" s="677"/>
      <c r="AC28" s="677"/>
      <c r="AD28" s="677"/>
      <c r="AE28" s="677"/>
      <c r="AF28" s="677"/>
      <c r="AG28" s="604"/>
    </row>
    <row r="29" spans="1:33" customFormat="1" x14ac:dyDescent="0.3">
      <c r="A29" s="1054" t="s">
        <v>1308</v>
      </c>
      <c r="B29" s="1054"/>
      <c r="C29" s="1054"/>
      <c r="D29" s="1054"/>
      <c r="E29" s="1054"/>
      <c r="F29" s="1054"/>
      <c r="G29" s="661"/>
      <c r="H29" s="590">
        <v>76</v>
      </c>
      <c r="I29" s="595">
        <v>0</v>
      </c>
      <c r="J29" s="637"/>
      <c r="K29" s="595"/>
      <c r="L29" s="595"/>
      <c r="M29" s="637"/>
      <c r="N29" s="595"/>
      <c r="O29" s="595"/>
      <c r="P29" s="595"/>
      <c r="Q29" s="595"/>
      <c r="R29" s="595"/>
      <c r="S29" s="595"/>
      <c r="T29" s="637"/>
      <c r="U29" s="595"/>
      <c r="V29" s="595"/>
      <c r="W29" s="595"/>
      <c r="X29" s="595"/>
      <c r="Y29" s="670"/>
      <c r="Z29" s="670"/>
      <c r="AA29" s="670"/>
      <c r="AB29" s="670"/>
      <c r="AC29" s="670"/>
      <c r="AD29" s="670"/>
      <c r="AE29" s="670"/>
      <c r="AF29" s="670"/>
      <c r="AG29" s="638">
        <f>I29-SUM(J29:AF29)</f>
        <v>0</v>
      </c>
    </row>
    <row r="30" spans="1:33" customFormat="1" x14ac:dyDescent="0.3">
      <c r="A30" s="664"/>
      <c r="B30" s="588"/>
      <c r="C30" s="588"/>
      <c r="D30" s="588"/>
      <c r="E30" s="588"/>
      <c r="F30" s="588"/>
      <c r="G30" s="661"/>
      <c r="H30" s="590"/>
      <c r="I30" s="612"/>
      <c r="J30" s="611"/>
      <c r="K30" s="612"/>
      <c r="L30" s="612"/>
      <c r="M30" s="611"/>
      <c r="N30" s="612"/>
      <c r="O30" s="612"/>
      <c r="P30" s="612"/>
      <c r="Q30" s="612"/>
      <c r="R30" s="612"/>
      <c r="S30" s="612"/>
      <c r="T30" s="611"/>
      <c r="U30" s="612"/>
      <c r="V30" s="612"/>
      <c r="W30" s="612"/>
      <c r="X30" s="612"/>
      <c r="Y30" s="684"/>
      <c r="Z30" s="684"/>
      <c r="AA30" s="684"/>
      <c r="AB30" s="684"/>
      <c r="AC30" s="684"/>
      <c r="AD30" s="684"/>
      <c r="AE30" s="684"/>
      <c r="AF30" s="684"/>
      <c r="AG30" s="613"/>
    </row>
    <row r="31" spans="1:33" customFormat="1" x14ac:dyDescent="0.3">
      <c r="A31" s="1054" t="s">
        <v>1309</v>
      </c>
      <c r="B31" s="1054"/>
      <c r="C31" s="1054"/>
      <c r="D31" s="1054"/>
      <c r="E31" s="1054"/>
      <c r="F31" s="1054"/>
      <c r="G31" s="661"/>
      <c r="H31" s="590">
        <v>66</v>
      </c>
      <c r="I31" s="616">
        <v>0</v>
      </c>
      <c r="J31" s="637"/>
      <c r="K31" s="616"/>
      <c r="L31" s="616"/>
      <c r="M31" s="639"/>
      <c r="N31" s="616"/>
      <c r="O31" s="616"/>
      <c r="P31" s="616"/>
      <c r="Q31" s="616"/>
      <c r="R31" s="616"/>
      <c r="S31" s="616"/>
      <c r="T31" s="639"/>
      <c r="U31" s="616"/>
      <c r="V31" s="616"/>
      <c r="W31" s="616"/>
      <c r="X31" s="616"/>
      <c r="Y31" s="686"/>
      <c r="Z31" s="686"/>
      <c r="AA31" s="686"/>
      <c r="AB31" s="686"/>
      <c r="AC31" s="686"/>
      <c r="AD31" s="686"/>
      <c r="AE31" s="686"/>
      <c r="AF31" s="686"/>
      <c r="AG31" s="640">
        <f>I31-SUM(J31:AF31)</f>
        <v>0</v>
      </c>
    </row>
    <row r="32" spans="1:33" customFormat="1" x14ac:dyDescent="0.3">
      <c r="A32" s="660"/>
      <c r="B32" s="558"/>
      <c r="C32" s="558"/>
      <c r="D32" s="558"/>
      <c r="E32" s="558"/>
      <c r="F32" s="558"/>
      <c r="G32" s="661"/>
      <c r="H32" s="590"/>
      <c r="I32" s="603"/>
      <c r="J32" s="600"/>
      <c r="K32" s="603"/>
      <c r="L32" s="603"/>
      <c r="M32" s="600"/>
      <c r="N32" s="603"/>
      <c r="O32" s="603"/>
      <c r="P32" s="603"/>
      <c r="Q32" s="603"/>
      <c r="R32" s="603"/>
      <c r="S32" s="603"/>
      <c r="T32" s="600"/>
      <c r="U32" s="603"/>
      <c r="V32" s="603"/>
      <c r="W32" s="603"/>
      <c r="X32" s="603"/>
      <c r="Y32" s="677"/>
      <c r="Z32" s="677"/>
      <c r="AA32" s="677"/>
      <c r="AB32" s="677"/>
      <c r="AC32" s="677"/>
      <c r="AD32" s="677"/>
      <c r="AE32" s="677"/>
      <c r="AF32" s="677"/>
      <c r="AG32" s="604"/>
    </row>
    <row r="33" spans="1:33" s="608" customFormat="1" x14ac:dyDescent="0.3">
      <c r="A33" s="1056" t="s">
        <v>1310</v>
      </c>
      <c r="B33" s="1056"/>
      <c r="C33" s="1056"/>
      <c r="D33" s="1056"/>
      <c r="E33" s="1056"/>
      <c r="F33" s="1056"/>
      <c r="G33" s="689" t="s">
        <v>1288</v>
      </c>
      <c r="H33" s="679">
        <v>9904</v>
      </c>
      <c r="I33" s="680">
        <f t="shared" ref="I33:AG33" si="4">I27+I29-I31</f>
        <v>-194287.65000000043</v>
      </c>
      <c r="J33" s="681">
        <f t="shared" si="4"/>
        <v>-106459.10999999927</v>
      </c>
      <c r="K33" s="680">
        <f t="shared" si="4"/>
        <v>-10310.279999999999</v>
      </c>
      <c r="L33" s="680">
        <f t="shared" si="4"/>
        <v>-1062.8699999999799</v>
      </c>
      <c r="M33" s="681">
        <f t="shared" si="4"/>
        <v>-8823.0499999999993</v>
      </c>
      <c r="N33" s="680">
        <f t="shared" si="4"/>
        <v>-2732.5800000000017</v>
      </c>
      <c r="O33" s="680">
        <f t="shared" si="4"/>
        <v>-18143.640000000007</v>
      </c>
      <c r="P33" s="680">
        <f t="shared" si="4"/>
        <v>-4050.7299999999959</v>
      </c>
      <c r="Q33" s="680">
        <f t="shared" si="4"/>
        <v>-16710.559999999998</v>
      </c>
      <c r="R33" s="680">
        <f t="shared" si="4"/>
        <v>-1246.399999999996</v>
      </c>
      <c r="S33" s="680">
        <f t="shared" si="4"/>
        <v>-2640.5499999999993</v>
      </c>
      <c r="T33" s="681">
        <f t="shared" si="4"/>
        <v>-5578.9400000000023</v>
      </c>
      <c r="U33" s="680">
        <f t="shared" si="4"/>
        <v>-37329.9</v>
      </c>
      <c r="V33" s="680">
        <f t="shared" si="4"/>
        <v>-337.60000000000582</v>
      </c>
      <c r="W33" s="680">
        <f t="shared" si="4"/>
        <v>-3754.1699999999983</v>
      </c>
      <c r="X33" s="680">
        <f t="shared" si="4"/>
        <v>-4070.6999999999971</v>
      </c>
      <c r="Y33" s="682">
        <f t="shared" si="4"/>
        <v>-4671.3700000000063</v>
      </c>
      <c r="Z33" s="682">
        <f t="shared" si="4"/>
        <v>-9900.1500000000051</v>
      </c>
      <c r="AA33" s="682">
        <f t="shared" si="4"/>
        <v>-26473.059999999998</v>
      </c>
      <c r="AB33" s="682">
        <f t="shared" si="4"/>
        <v>50452.009999999995</v>
      </c>
      <c r="AC33" s="682">
        <f t="shared" si="4"/>
        <v>6924.2799999999988</v>
      </c>
      <c r="AD33" s="682">
        <f t="shared" si="4"/>
        <v>-521.12000000000262</v>
      </c>
      <c r="AE33" s="682">
        <f t="shared" si="4"/>
        <v>13152.840000000004</v>
      </c>
      <c r="AF33" s="682">
        <f t="shared" si="4"/>
        <v>0</v>
      </c>
      <c r="AG33" s="607">
        <f t="shared" si="4"/>
        <v>0</v>
      </c>
    </row>
    <row r="34" spans="1:33" ht="8.25" customHeight="1" x14ac:dyDescent="0.3">
      <c r="A34" s="690"/>
      <c r="B34" s="626"/>
      <c r="C34" s="626"/>
      <c r="D34" s="626"/>
      <c r="E34" s="626"/>
      <c r="F34" s="626"/>
      <c r="G34" s="691"/>
      <c r="H34" s="626"/>
      <c r="I34" s="616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7"/>
      <c r="X34" s="627"/>
      <c r="Y34" s="692"/>
      <c r="Z34" s="692"/>
      <c r="AA34" s="692"/>
      <c r="AB34" s="692"/>
      <c r="AC34" s="692"/>
      <c r="AD34" s="692"/>
      <c r="AE34" s="692"/>
      <c r="AF34" s="692"/>
      <c r="AG34" s="629"/>
    </row>
    <row r="35" spans="1:33" s="561" customFormat="1" ht="12.75" customHeight="1" x14ac:dyDescent="0.3">
      <c r="I35" s="693"/>
    </row>
    <row r="36" spans="1:33" s="561" customFormat="1" x14ac:dyDescent="0.3">
      <c r="I36" s="693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pageMargins left="0.70000000000000007" right="0.70000000000000007" top="0.75" bottom="0.75" header="0.30000000000000004" footer="0.3000000000000000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34"/>
  <sheetViews>
    <sheetView workbookViewId="0"/>
  </sheetViews>
  <sheetFormatPr defaultColWidth="9.109375" defaultRowHeight="14.4" x14ac:dyDescent="0.3"/>
  <cols>
    <col min="1" max="1" width="2.6640625" style="558" bestFit="1" customWidth="1"/>
    <col min="2" max="2" width="4.6640625" style="558" bestFit="1" customWidth="1"/>
    <col min="3" max="3" width="3.6640625" style="558" customWidth="1"/>
    <col min="4" max="5" width="9.109375" style="558" customWidth="1"/>
    <col min="6" max="6" width="22.5546875" style="558" customWidth="1"/>
    <col min="7" max="7" width="6" style="558" customWidth="1"/>
    <col min="8" max="8" width="7.44140625" style="558" customWidth="1"/>
    <col min="9" max="9" width="14.6640625" style="558" customWidth="1"/>
    <col min="10" max="10" width="19.109375" style="558" bestFit="1" customWidth="1"/>
    <col min="11" max="11" width="18.6640625" style="558" customWidth="1"/>
    <col min="12" max="12" width="20" style="558" customWidth="1"/>
    <col min="13" max="13" width="19" style="558" customWidth="1"/>
    <col min="14" max="14" width="19.33203125" style="558" bestFit="1" customWidth="1"/>
    <col min="15" max="15" width="19" style="558" customWidth="1"/>
    <col min="16" max="16" width="19.33203125" style="558" bestFit="1" customWidth="1"/>
    <col min="17" max="17" width="11" style="558" bestFit="1" customWidth="1"/>
    <col min="18" max="18" width="9.109375" style="558" customWidth="1"/>
    <col min="19" max="16384" width="9.109375" style="558"/>
  </cols>
  <sheetData>
    <row r="1" spans="1:20" ht="17.399999999999999" x14ac:dyDescent="0.3">
      <c r="A1" s="1052" t="s">
        <v>1344</v>
      </c>
      <c r="B1" s="1052"/>
      <c r="C1" s="1052"/>
      <c r="D1" s="1052"/>
      <c r="E1" s="1052"/>
      <c r="F1" s="1052"/>
      <c r="G1" s="1052"/>
      <c r="H1" s="1052"/>
      <c r="I1" s="1052"/>
      <c r="J1" s="1052"/>
    </row>
    <row r="2" spans="1:20" ht="15.6" x14ac:dyDescent="0.3">
      <c r="A2" s="1065" t="s">
        <v>1345</v>
      </c>
      <c r="B2" s="1065"/>
      <c r="C2" s="1065"/>
      <c r="D2" s="1065"/>
      <c r="E2" s="1065"/>
      <c r="F2" s="1065"/>
      <c r="G2" s="1065"/>
      <c r="H2" s="1065"/>
      <c r="I2" s="1065"/>
      <c r="S2" s="558" t="s">
        <v>619</v>
      </c>
    </row>
    <row r="3" spans="1:20" ht="15.6" x14ac:dyDescent="0.3">
      <c r="A3" s="694"/>
      <c r="B3" s="694"/>
      <c r="C3" s="694"/>
      <c r="D3" s="561"/>
      <c r="E3" s="203"/>
      <c r="F3" s="203"/>
      <c r="G3" s="203"/>
      <c r="H3" s="203"/>
      <c r="I3" s="203"/>
    </row>
    <row r="4" spans="1:20" s="571" customFormat="1" ht="58.2" thickBot="1" x14ac:dyDescent="0.35">
      <c r="A4" s="562"/>
      <c r="B4" s="563"/>
      <c r="C4" s="563"/>
      <c r="D4" s="563"/>
      <c r="E4" s="563"/>
      <c r="F4" s="563"/>
      <c r="G4" s="564"/>
      <c r="H4" s="565" t="s">
        <v>1275</v>
      </c>
      <c r="I4" s="566" t="s">
        <v>1276</v>
      </c>
      <c r="J4" s="695" t="s">
        <v>1346</v>
      </c>
      <c r="K4" s="696" t="s">
        <v>1347</v>
      </c>
      <c r="L4" s="696" t="s">
        <v>1348</v>
      </c>
      <c r="M4" s="696" t="s">
        <v>1349</v>
      </c>
      <c r="N4" s="696" t="s">
        <v>1350</v>
      </c>
      <c r="O4" s="696" t="s">
        <v>1351</v>
      </c>
      <c r="P4" s="696" t="s">
        <v>1352</v>
      </c>
      <c r="Q4" s="570" t="s">
        <v>1283</v>
      </c>
    </row>
    <row r="5" spans="1:20" s="571" customFormat="1" ht="15" customHeight="1" thickBot="1" x14ac:dyDescent="0.35">
      <c r="A5" s="1050" t="s">
        <v>1284</v>
      </c>
      <c r="B5" s="1050"/>
      <c r="C5" s="1050"/>
      <c r="D5" s="1050"/>
      <c r="E5" s="1050"/>
      <c r="F5" s="1050"/>
      <c r="G5" s="1050"/>
      <c r="H5" s="1050"/>
      <c r="I5" s="697">
        <v>101</v>
      </c>
      <c r="J5" s="698">
        <v>94.200000000000017</v>
      </c>
      <c r="K5" s="698">
        <v>2</v>
      </c>
      <c r="L5" s="698">
        <v>1.8</v>
      </c>
      <c r="M5" s="698">
        <v>1.1000000000000001</v>
      </c>
      <c r="N5" s="698">
        <v>0.5</v>
      </c>
      <c r="O5" s="698">
        <v>0.6</v>
      </c>
      <c r="P5" s="698">
        <v>0.8</v>
      </c>
      <c r="Q5" s="699">
        <v>0</v>
      </c>
    </row>
    <row r="6" spans="1:20" x14ac:dyDescent="0.3">
      <c r="A6" s="1051" t="s">
        <v>1285</v>
      </c>
      <c r="B6" s="1051"/>
      <c r="C6" s="1051"/>
      <c r="D6" s="1051"/>
      <c r="E6" s="1051"/>
      <c r="F6" s="1051"/>
      <c r="G6" s="576"/>
      <c r="I6" s="577"/>
      <c r="J6" s="578"/>
      <c r="K6" s="577"/>
      <c r="L6" s="577"/>
      <c r="M6" s="577"/>
      <c r="N6" s="577"/>
      <c r="O6" s="577"/>
      <c r="P6" s="577"/>
      <c r="Q6" s="579"/>
    </row>
    <row r="7" spans="1:20" ht="8.25" customHeight="1" x14ac:dyDescent="0.3">
      <c r="A7" s="580"/>
      <c r="G7" s="581"/>
      <c r="I7" s="582"/>
      <c r="J7" s="583"/>
      <c r="K7" s="582"/>
      <c r="L7" s="582"/>
      <c r="M7" s="582"/>
      <c r="N7" s="582"/>
      <c r="O7" s="582"/>
      <c r="P7" s="582"/>
      <c r="Q7" s="584"/>
    </row>
    <row r="8" spans="1:20" x14ac:dyDescent="0.3">
      <c r="A8" s="1038" t="s">
        <v>1286</v>
      </c>
      <c r="B8" s="1038"/>
      <c r="C8" s="1038"/>
      <c r="D8" s="1038"/>
      <c r="E8" s="1038"/>
      <c r="F8" s="1038"/>
      <c r="G8" s="586"/>
      <c r="I8" s="582"/>
      <c r="J8" s="583"/>
      <c r="K8" s="582"/>
      <c r="L8" s="582"/>
      <c r="M8" s="582"/>
      <c r="N8" s="582"/>
      <c r="O8" s="582"/>
      <c r="P8" s="582"/>
      <c r="Q8" s="584"/>
    </row>
    <row r="9" spans="1:20" x14ac:dyDescent="0.3">
      <c r="A9" s="585"/>
      <c r="B9" s="587" t="s">
        <v>1287</v>
      </c>
      <c r="C9" s="588"/>
      <c r="D9" s="588"/>
      <c r="E9" s="588"/>
      <c r="F9" s="588"/>
      <c r="G9" s="589" t="s">
        <v>1288</v>
      </c>
      <c r="H9" s="590">
        <v>9900</v>
      </c>
      <c r="I9" s="582">
        <v>6072607.9199999999</v>
      </c>
      <c r="J9" s="582">
        <v>5627643.4350675521</v>
      </c>
      <c r="K9" s="582">
        <v>142527.5310891089</v>
      </c>
      <c r="L9" s="582">
        <v>111172.39508467565</v>
      </c>
      <c r="M9" s="582">
        <v>73711.164099009897</v>
      </c>
      <c r="N9" s="582">
        <v>36480.962772277227</v>
      </c>
      <c r="O9" s="582">
        <v>29797.243451732676</v>
      </c>
      <c r="P9" s="582">
        <v>51275.188435643562</v>
      </c>
      <c r="Q9" s="638">
        <v>0</v>
      </c>
    </row>
    <row r="10" spans="1:20" x14ac:dyDescent="0.3">
      <c r="A10" s="580"/>
      <c r="B10" s="593"/>
      <c r="C10" s="1047" t="s">
        <v>1289</v>
      </c>
      <c r="D10" s="1047"/>
      <c r="E10" s="1047"/>
      <c r="F10" s="1047"/>
      <c r="G10" s="586"/>
      <c r="H10" s="590" t="s">
        <v>1290</v>
      </c>
      <c r="I10" s="582">
        <v>6621424.9000000004</v>
      </c>
      <c r="J10" s="582">
        <v>6098156.2878502477</v>
      </c>
      <c r="K10" s="582">
        <v>193927.51574257427</v>
      </c>
      <c r="L10" s="582">
        <v>123338.05116831684</v>
      </c>
      <c r="M10" s="582">
        <v>74877.700158415842</v>
      </c>
      <c r="N10" s="582">
        <v>37609.796435643562</v>
      </c>
      <c r="O10" s="582">
        <v>40114.430347772279</v>
      </c>
      <c r="P10" s="582">
        <v>53401.118297029701</v>
      </c>
      <c r="Q10" s="638">
        <v>0</v>
      </c>
    </row>
    <row r="11" spans="1:20" x14ac:dyDescent="0.3">
      <c r="A11" s="580"/>
      <c r="B11" s="1041"/>
      <c r="C11" s="1041"/>
      <c r="D11" s="1042" t="s">
        <v>1291</v>
      </c>
      <c r="E11" s="1042"/>
      <c r="F11" s="1042"/>
      <c r="G11" s="586"/>
      <c r="H11" s="590">
        <v>70</v>
      </c>
      <c r="I11" s="700">
        <v>40457.14</v>
      </c>
      <c r="J11" s="700">
        <v>0</v>
      </c>
      <c r="K11" s="700">
        <v>40457.14</v>
      </c>
      <c r="L11" s="700">
        <v>0</v>
      </c>
      <c r="M11" s="700">
        <v>0</v>
      </c>
      <c r="N11" s="700">
        <v>0</v>
      </c>
      <c r="O11" s="700">
        <v>0</v>
      </c>
      <c r="P11" s="700">
        <v>0</v>
      </c>
      <c r="Q11" s="638">
        <v>0</v>
      </c>
    </row>
    <row r="12" spans="1:20" ht="15" customHeight="1" x14ac:dyDescent="0.3">
      <c r="A12" s="580"/>
      <c r="D12" s="1043" t="s">
        <v>331</v>
      </c>
      <c r="E12" s="1043"/>
      <c r="F12" s="1043"/>
      <c r="G12" s="596"/>
      <c r="H12" s="590">
        <v>73</v>
      </c>
      <c r="I12" s="701">
        <v>6363951.6000000006</v>
      </c>
      <c r="J12" s="701">
        <v>5889610.964475248</v>
      </c>
      <c r="K12" s="701">
        <v>145455.20574257427</v>
      </c>
      <c r="L12" s="701">
        <v>123014.34116831684</v>
      </c>
      <c r="M12" s="701">
        <v>74877.700158415842</v>
      </c>
      <c r="N12" s="701">
        <v>37541.436435643562</v>
      </c>
      <c r="O12" s="701">
        <v>40050.83372277228</v>
      </c>
      <c r="P12" s="701">
        <v>53401.118297029701</v>
      </c>
      <c r="Q12" s="607">
        <v>0</v>
      </c>
    </row>
    <row r="13" spans="1:20" ht="32.25" customHeight="1" x14ac:dyDescent="0.3">
      <c r="A13" s="580"/>
      <c r="B13" s="597"/>
      <c r="C13" s="1044" t="s">
        <v>1292</v>
      </c>
      <c r="D13" s="1044"/>
      <c r="E13" s="1044"/>
      <c r="F13" s="1044"/>
      <c r="G13" s="586"/>
      <c r="H13" s="590" t="s">
        <v>1293</v>
      </c>
      <c r="I13" s="701">
        <v>548816.98</v>
      </c>
      <c r="J13" s="701">
        <v>470512.85278269544</v>
      </c>
      <c r="K13" s="701">
        <v>51399.984653465348</v>
      </c>
      <c r="L13" s="701">
        <v>12165.656083641197</v>
      </c>
      <c r="M13" s="701">
        <v>1166.5360594059407</v>
      </c>
      <c r="N13" s="701">
        <v>1128.8336633663366</v>
      </c>
      <c r="O13" s="701">
        <v>10317.186896039604</v>
      </c>
      <c r="P13" s="701">
        <v>2125.9298613861383</v>
      </c>
      <c r="Q13" s="607">
        <v>0</v>
      </c>
    </row>
    <row r="14" spans="1:20" ht="35.25" customHeight="1" x14ac:dyDescent="0.3">
      <c r="A14" s="580"/>
      <c r="B14" s="1044" t="s">
        <v>1294</v>
      </c>
      <c r="C14" s="1044"/>
      <c r="D14" s="1044"/>
      <c r="E14" s="1044"/>
      <c r="F14" s="1044"/>
      <c r="G14" s="586" t="s">
        <v>1288</v>
      </c>
      <c r="H14" s="590">
        <v>62</v>
      </c>
      <c r="I14" s="700">
        <v>5337701.8699999992</v>
      </c>
      <c r="J14" s="700">
        <v>4900238.1902923929</v>
      </c>
      <c r="K14" s="700">
        <v>119685.57033811881</v>
      </c>
      <c r="L14" s="700">
        <v>107379.14107756063</v>
      </c>
      <c r="M14" s="700">
        <v>90825.85265346535</v>
      </c>
      <c r="N14" s="700">
        <v>25803.320297029706</v>
      </c>
      <c r="O14" s="700">
        <v>42262.718786185658</v>
      </c>
      <c r="P14" s="700">
        <v>51507.07655524752</v>
      </c>
      <c r="Q14" s="607">
        <v>0</v>
      </c>
    </row>
    <row r="15" spans="1:20" ht="43.5" customHeight="1" x14ac:dyDescent="0.3">
      <c r="A15" s="580"/>
      <c r="B15" s="1044" t="s">
        <v>1295</v>
      </c>
      <c r="C15" s="1044"/>
      <c r="D15" s="1044"/>
      <c r="E15" s="1044"/>
      <c r="F15" s="1044"/>
      <c r="G15" s="586" t="s">
        <v>1288</v>
      </c>
      <c r="H15" s="590">
        <v>630</v>
      </c>
      <c r="I15" s="701">
        <v>190030.11000000002</v>
      </c>
      <c r="J15" s="701">
        <v>170322.33520792078</v>
      </c>
      <c r="K15" s="701">
        <v>16946.823762376236</v>
      </c>
      <c r="L15" s="701">
        <v>2244.375386138614</v>
      </c>
      <c r="M15" s="701">
        <v>189.4110693069307</v>
      </c>
      <c r="N15" s="701">
        <v>86.095940594059414</v>
      </c>
      <c r="O15" s="701">
        <v>103.31512871287129</v>
      </c>
      <c r="P15" s="701">
        <v>137.75350495049503</v>
      </c>
      <c r="Q15" s="607">
        <v>0</v>
      </c>
    </row>
    <row r="16" spans="1:20" ht="44.25" customHeight="1" x14ac:dyDescent="0.3">
      <c r="A16" s="580"/>
      <c r="B16" s="1044" t="s">
        <v>1296</v>
      </c>
      <c r="C16" s="1044"/>
      <c r="D16" s="1044"/>
      <c r="E16" s="1044"/>
      <c r="F16" s="1044"/>
      <c r="G16" s="586" t="s">
        <v>1288</v>
      </c>
      <c r="H16" s="590" t="s">
        <v>1297</v>
      </c>
      <c r="I16" s="701">
        <v>0</v>
      </c>
      <c r="J16" s="701">
        <v>0</v>
      </c>
      <c r="K16" s="701">
        <v>0</v>
      </c>
      <c r="L16" s="701">
        <v>0</v>
      </c>
      <c r="M16" s="701">
        <v>0</v>
      </c>
      <c r="N16" s="701">
        <v>0</v>
      </c>
      <c r="O16" s="701">
        <v>0</v>
      </c>
      <c r="P16" s="701">
        <v>0</v>
      </c>
      <c r="Q16" s="607">
        <v>0</v>
      </c>
      <c r="T16" s="702" t="s">
        <v>619</v>
      </c>
    </row>
    <row r="17" spans="1:17" ht="36.75" customHeight="1" x14ac:dyDescent="0.3">
      <c r="A17" s="580"/>
      <c r="B17" s="1044" t="s">
        <v>1298</v>
      </c>
      <c r="C17" s="1044"/>
      <c r="D17" s="1044"/>
      <c r="E17" s="1044"/>
      <c r="F17" s="1044"/>
      <c r="G17" s="586" t="s">
        <v>1288</v>
      </c>
      <c r="H17" s="590" t="s">
        <v>1299</v>
      </c>
      <c r="I17" s="701">
        <v>-4371</v>
      </c>
      <c r="J17" s="701">
        <v>-4371</v>
      </c>
      <c r="K17" s="701">
        <v>0</v>
      </c>
      <c r="L17" s="701">
        <v>0</v>
      </c>
      <c r="M17" s="701">
        <v>0</v>
      </c>
      <c r="N17" s="701">
        <v>0</v>
      </c>
      <c r="O17" s="701">
        <v>0</v>
      </c>
      <c r="P17" s="701">
        <v>0</v>
      </c>
      <c r="Q17" s="607">
        <v>0</v>
      </c>
    </row>
    <row r="18" spans="1:17" ht="21" customHeight="1" x14ac:dyDescent="0.3">
      <c r="A18" s="580"/>
      <c r="B18" s="1045" t="s">
        <v>1300</v>
      </c>
      <c r="C18" s="1045"/>
      <c r="D18" s="1045"/>
      <c r="E18" s="1045"/>
      <c r="F18" s="1045"/>
      <c r="G18" s="586"/>
      <c r="H18" s="590" t="s">
        <v>1301</v>
      </c>
      <c r="I18" s="701">
        <v>162871.45000000001</v>
      </c>
      <c r="J18" s="701">
        <v>143533.713009901</v>
      </c>
      <c r="K18" s="701">
        <v>3403.3197029702969</v>
      </c>
      <c r="L18" s="701">
        <v>5708.9627326732671</v>
      </c>
      <c r="M18" s="701">
        <v>311.83333663366341</v>
      </c>
      <c r="N18" s="701">
        <v>9516.7424257425737</v>
      </c>
      <c r="O18" s="701">
        <v>170.09091089108912</v>
      </c>
      <c r="P18" s="701">
        <v>226.78788118811883</v>
      </c>
      <c r="Q18" s="607">
        <v>0</v>
      </c>
    </row>
    <row r="19" spans="1:17" ht="35.25" customHeight="1" x14ac:dyDescent="0.3">
      <c r="A19" s="580"/>
      <c r="B19" s="1044" t="s">
        <v>1302</v>
      </c>
      <c r="C19" s="1044"/>
      <c r="D19" s="1044"/>
      <c r="E19" s="1044"/>
      <c r="F19" s="1044"/>
      <c r="G19" s="586" t="s">
        <v>1303</v>
      </c>
      <c r="H19" s="590">
        <v>649</v>
      </c>
      <c r="I19" s="701">
        <v>0</v>
      </c>
      <c r="J19" s="701">
        <v>0</v>
      </c>
      <c r="K19" s="701">
        <v>0</v>
      </c>
      <c r="L19" s="701">
        <v>0</v>
      </c>
      <c r="M19" s="701">
        <v>0</v>
      </c>
      <c r="N19" s="701">
        <v>0</v>
      </c>
      <c r="O19" s="701">
        <v>0</v>
      </c>
      <c r="P19" s="701">
        <v>0</v>
      </c>
      <c r="Q19" s="607">
        <v>0</v>
      </c>
    </row>
    <row r="20" spans="1:17" x14ac:dyDescent="0.3">
      <c r="A20" s="580"/>
      <c r="B20" s="601"/>
      <c r="C20" s="561"/>
      <c r="D20" s="593"/>
      <c r="E20" s="593"/>
      <c r="F20" s="593"/>
      <c r="G20" s="586"/>
      <c r="H20" s="590"/>
      <c r="I20" s="602"/>
      <c r="J20" s="602"/>
      <c r="K20" s="602"/>
      <c r="L20" s="602"/>
      <c r="M20" s="602"/>
      <c r="N20" s="602"/>
      <c r="O20" s="602"/>
      <c r="P20" s="602"/>
      <c r="Q20" s="604"/>
    </row>
    <row r="21" spans="1:17" s="608" customFormat="1" x14ac:dyDescent="0.3">
      <c r="A21" s="1046" t="s">
        <v>1304</v>
      </c>
      <c r="B21" s="1046"/>
      <c r="C21" s="1046"/>
      <c r="D21" s="1046"/>
      <c r="E21" s="1046"/>
      <c r="F21" s="1046"/>
      <c r="G21" s="605" t="s">
        <v>1288</v>
      </c>
      <c r="H21" s="606">
        <v>9901</v>
      </c>
      <c r="I21" s="701">
        <v>386376.09000000072</v>
      </c>
      <c r="J21" s="701">
        <v>417920.79655733751</v>
      </c>
      <c r="K21" s="701">
        <v>2491.8172856435631</v>
      </c>
      <c r="L21" s="701">
        <v>-4160.0841116968668</v>
      </c>
      <c r="M21" s="701">
        <v>-17615.932960396047</v>
      </c>
      <c r="N21" s="701">
        <v>1074.8041089108883</v>
      </c>
      <c r="O21" s="701">
        <v>-12738.881374056942</v>
      </c>
      <c r="P21" s="701">
        <v>-596.42950574257225</v>
      </c>
      <c r="Q21" s="607">
        <v>0</v>
      </c>
    </row>
    <row r="22" spans="1:17" s="608" customFormat="1" x14ac:dyDescent="0.3">
      <c r="A22" s="609"/>
      <c r="B22" s="1041"/>
      <c r="C22" s="1041"/>
      <c r="D22" s="1041"/>
      <c r="E22" s="1041"/>
      <c r="F22" s="1041"/>
      <c r="G22" s="605"/>
      <c r="H22" s="606"/>
      <c r="I22" s="610"/>
      <c r="J22" s="610"/>
      <c r="K22" s="610"/>
      <c r="L22" s="610"/>
      <c r="M22" s="610"/>
      <c r="N22" s="610"/>
      <c r="O22" s="610"/>
      <c r="P22" s="610"/>
      <c r="Q22" s="613"/>
    </row>
    <row r="23" spans="1:17" x14ac:dyDescent="0.3">
      <c r="A23" s="614" t="s">
        <v>1305</v>
      </c>
      <c r="B23" s="615"/>
      <c r="C23" s="615"/>
      <c r="D23" s="615"/>
      <c r="E23" s="615"/>
      <c r="F23" s="615"/>
      <c r="G23" s="581"/>
      <c r="H23" s="590">
        <v>75</v>
      </c>
      <c r="I23" s="700">
        <v>1000.15</v>
      </c>
      <c r="J23" s="700">
        <v>932.84625742574258</v>
      </c>
      <c r="K23" s="700">
        <v>19.802277227722772</v>
      </c>
      <c r="L23" s="700">
        <v>17.813049504950499</v>
      </c>
      <c r="M23" s="700">
        <v>10.885752475247527</v>
      </c>
      <c r="N23" s="700">
        <v>4.9480693069306927</v>
      </c>
      <c r="O23" s="700">
        <v>5.9376831683168314</v>
      </c>
      <c r="P23" s="700">
        <v>7.9169108910891088</v>
      </c>
      <c r="Q23" s="638">
        <v>0</v>
      </c>
    </row>
    <row r="24" spans="1:17" x14ac:dyDescent="0.3">
      <c r="A24" s="614"/>
      <c r="B24" s="615"/>
      <c r="C24" s="615"/>
      <c r="D24" s="615"/>
      <c r="E24" s="615"/>
      <c r="F24" s="615"/>
      <c r="G24" s="581"/>
      <c r="H24" s="590"/>
      <c r="I24" s="610"/>
      <c r="J24" s="610"/>
      <c r="K24" s="610"/>
      <c r="L24" s="610"/>
      <c r="M24" s="610"/>
      <c r="N24" s="610"/>
      <c r="O24" s="610"/>
      <c r="P24" s="610"/>
      <c r="Q24" s="613"/>
    </row>
    <row r="25" spans="1:17" x14ac:dyDescent="0.3">
      <c r="A25" s="1038" t="s">
        <v>1306</v>
      </c>
      <c r="B25" s="1038"/>
      <c r="C25" s="1038"/>
      <c r="D25" s="1038"/>
      <c r="E25" s="1038"/>
      <c r="F25" s="1038"/>
      <c r="G25" s="581"/>
      <c r="H25" s="590">
        <v>65</v>
      </c>
      <c r="I25" s="627">
        <v>21790</v>
      </c>
      <c r="J25" s="627">
        <v>19568.730811881196</v>
      </c>
      <c r="K25" s="627">
        <v>1646.0556435643564</v>
      </c>
      <c r="L25" s="627">
        <v>431.73007920792077</v>
      </c>
      <c r="M25" s="627">
        <v>52.610603960396041</v>
      </c>
      <c r="N25" s="627">
        <v>23.91391089108911</v>
      </c>
      <c r="O25" s="627">
        <v>28.696693069306932</v>
      </c>
      <c r="P25" s="627">
        <v>38.262257425742575</v>
      </c>
      <c r="Q25" s="640">
        <v>0</v>
      </c>
    </row>
    <row r="26" spans="1:17" x14ac:dyDescent="0.3">
      <c r="A26" s="585"/>
      <c r="B26" s="588"/>
      <c r="C26" s="588"/>
      <c r="D26" s="588"/>
      <c r="E26" s="588"/>
      <c r="F26" s="588"/>
      <c r="G26" s="581"/>
      <c r="H26" s="590"/>
      <c r="I26" s="617"/>
      <c r="J26" s="617"/>
      <c r="K26" s="617"/>
      <c r="L26" s="617"/>
      <c r="M26" s="617"/>
      <c r="N26" s="617"/>
      <c r="O26" s="617"/>
      <c r="P26" s="617"/>
      <c r="Q26" s="620"/>
    </row>
    <row r="27" spans="1:17" x14ac:dyDescent="0.3">
      <c r="A27" s="1039" t="s">
        <v>1307</v>
      </c>
      <c r="B27" s="1039"/>
      <c r="C27" s="1039"/>
      <c r="D27" s="1039"/>
      <c r="E27" s="1039"/>
      <c r="F27" s="1039"/>
      <c r="G27" s="621" t="s">
        <v>1288</v>
      </c>
      <c r="H27" s="590">
        <v>9902</v>
      </c>
      <c r="I27" s="701">
        <v>365586.24000000075</v>
      </c>
      <c r="J27" s="701">
        <v>399284.91200288205</v>
      </c>
      <c r="K27" s="701">
        <v>865.56391930692939</v>
      </c>
      <c r="L27" s="701">
        <v>-4574.0011413998363</v>
      </c>
      <c r="M27" s="701">
        <v>-17657.657811881192</v>
      </c>
      <c r="N27" s="701">
        <v>1055.8382673267299</v>
      </c>
      <c r="O27" s="701">
        <v>-12761.640383957932</v>
      </c>
      <c r="P27" s="701">
        <v>-626.77485227722582</v>
      </c>
      <c r="Q27" s="607">
        <v>0</v>
      </c>
    </row>
    <row r="28" spans="1:17" x14ac:dyDescent="0.3">
      <c r="A28" s="580"/>
      <c r="G28" s="581"/>
      <c r="H28" s="590"/>
      <c r="I28" s="602"/>
      <c r="J28" s="602"/>
      <c r="K28" s="602"/>
      <c r="L28" s="602"/>
      <c r="M28" s="602"/>
      <c r="N28" s="602"/>
      <c r="O28" s="602"/>
      <c r="P28" s="602"/>
      <c r="Q28" s="604"/>
    </row>
    <row r="29" spans="1:17" x14ac:dyDescent="0.3">
      <c r="A29" s="1038" t="s">
        <v>1308</v>
      </c>
      <c r="B29" s="1038"/>
      <c r="C29" s="1038"/>
      <c r="D29" s="1038"/>
      <c r="E29" s="1038"/>
      <c r="F29" s="1038"/>
      <c r="G29" s="581"/>
      <c r="H29" s="590">
        <v>76</v>
      </c>
      <c r="I29" s="700">
        <v>57269.97</v>
      </c>
      <c r="J29" s="700">
        <v>19902.45300990099</v>
      </c>
      <c r="K29" s="700">
        <v>36266.219702970295</v>
      </c>
      <c r="L29" s="700">
        <v>1072.3927326732673</v>
      </c>
      <c r="M29" s="700">
        <v>10.598336633663367</v>
      </c>
      <c r="N29" s="700">
        <v>4.8174257425742573</v>
      </c>
      <c r="O29" s="700">
        <v>5.7809108910891087</v>
      </c>
      <c r="P29" s="700">
        <v>7.7078811881188116</v>
      </c>
      <c r="Q29" s="638">
        <v>0</v>
      </c>
    </row>
    <row r="30" spans="1:17" x14ac:dyDescent="0.3">
      <c r="A30" s="585"/>
      <c r="B30" s="588"/>
      <c r="C30" s="588"/>
      <c r="D30" s="588"/>
      <c r="E30" s="588"/>
      <c r="F30" s="588"/>
      <c r="G30" s="581"/>
      <c r="H30" s="590"/>
      <c r="I30" s="610"/>
      <c r="J30" s="610"/>
      <c r="K30" s="610"/>
      <c r="L30" s="610"/>
      <c r="M30" s="610"/>
      <c r="N30" s="610"/>
      <c r="O30" s="610"/>
      <c r="P30" s="610"/>
      <c r="Q30" s="613"/>
    </row>
    <row r="31" spans="1:17" x14ac:dyDescent="0.3">
      <c r="A31" s="1038" t="s">
        <v>1309</v>
      </c>
      <c r="B31" s="1038"/>
      <c r="C31" s="1038"/>
      <c r="D31" s="1038"/>
      <c r="E31" s="1038"/>
      <c r="F31" s="1038"/>
      <c r="G31" s="581"/>
      <c r="H31" s="590">
        <v>66</v>
      </c>
      <c r="I31" s="627">
        <v>2664.79</v>
      </c>
      <c r="J31" s="627">
        <v>2664.79</v>
      </c>
      <c r="K31" s="627">
        <v>0</v>
      </c>
      <c r="L31" s="627">
        <v>0</v>
      </c>
      <c r="M31" s="627">
        <v>0</v>
      </c>
      <c r="N31" s="627">
        <v>0</v>
      </c>
      <c r="O31" s="627">
        <v>0</v>
      </c>
      <c r="P31" s="627">
        <v>0</v>
      </c>
      <c r="Q31" s="640">
        <v>0</v>
      </c>
    </row>
    <row r="32" spans="1:17" x14ac:dyDescent="0.3">
      <c r="A32" s="580"/>
      <c r="G32" s="581"/>
      <c r="H32" s="590"/>
      <c r="I32" s="602"/>
      <c r="J32" s="602"/>
      <c r="K32" s="602"/>
      <c r="L32" s="602"/>
      <c r="M32" s="602"/>
      <c r="N32" s="602"/>
      <c r="O32" s="602"/>
      <c r="P32" s="602"/>
      <c r="Q32" s="604"/>
    </row>
    <row r="33" spans="1:17" s="608" customFormat="1" x14ac:dyDescent="0.3">
      <c r="A33" s="1040" t="s">
        <v>1310</v>
      </c>
      <c r="B33" s="1040"/>
      <c r="C33" s="1040"/>
      <c r="D33" s="1040"/>
      <c r="E33" s="1040"/>
      <c r="F33" s="1040"/>
      <c r="G33" s="622" t="s">
        <v>1288</v>
      </c>
      <c r="H33" s="606">
        <v>9904</v>
      </c>
      <c r="I33" s="701">
        <v>420191.4200000008</v>
      </c>
      <c r="J33" s="701">
        <v>416522.57501278305</v>
      </c>
      <c r="K33" s="701">
        <v>37131.783622277224</v>
      </c>
      <c r="L33" s="701">
        <v>-3501.608408726569</v>
      </c>
      <c r="M33" s="701">
        <v>-17647.05947524753</v>
      </c>
      <c r="N33" s="701">
        <v>1060.6556930693041</v>
      </c>
      <c r="O33" s="701">
        <v>-12755.859473066843</v>
      </c>
      <c r="P33" s="701">
        <v>-619.06697108910703</v>
      </c>
      <c r="Q33" s="607">
        <v>0</v>
      </c>
    </row>
    <row r="34" spans="1:17" ht="8.25" customHeight="1" thickBot="1" x14ac:dyDescent="0.35">
      <c r="A34" s="623"/>
      <c r="B34" s="624"/>
      <c r="C34" s="624"/>
      <c r="D34" s="624"/>
      <c r="E34" s="624"/>
      <c r="F34" s="624"/>
      <c r="G34" s="625"/>
      <c r="H34" s="626"/>
      <c r="I34" s="627"/>
      <c r="J34" s="628"/>
      <c r="K34" s="627"/>
      <c r="L34" s="627"/>
      <c r="M34" s="627"/>
      <c r="N34" s="627"/>
      <c r="O34" s="627"/>
      <c r="P34" s="627"/>
      <c r="Q34" s="629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Q21 I27:Q27 I33:Q33">
    <cfRule type="cellIs" dxfId="110" priority="2" stopIfTrue="1" operator="lessThan">
      <formula>0</formula>
    </cfRule>
  </conditionalFormatting>
  <conditionalFormatting sqref="I21:Q21 I27:Q27 I33:Q33">
    <cfRule type="cellIs" dxfId="109" priority="1" stopIfTrue="1" operator="greaterThanOrEqual">
      <formula>0</formula>
    </cfRule>
  </conditionalFormatting>
  <pageMargins left="0.70000000000000007" right="0.70000000000000007" top="0.75" bottom="0.75" header="0.30000000000000004" footer="0.30000000000000004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W1790"/>
  <sheetViews>
    <sheetView workbookViewId="0"/>
  </sheetViews>
  <sheetFormatPr defaultColWidth="9.109375" defaultRowHeight="14.4" x14ac:dyDescent="0.3"/>
  <cols>
    <col min="1" max="1" width="2.6640625" style="558" bestFit="1" customWidth="1"/>
    <col min="2" max="2" width="4.6640625" style="558" bestFit="1" customWidth="1"/>
    <col min="3" max="3" width="3.6640625" style="558" customWidth="1"/>
    <col min="4" max="5" width="9.109375" style="558" customWidth="1"/>
    <col min="6" max="6" width="22.5546875" style="558" customWidth="1"/>
    <col min="7" max="7" width="4.44140625" style="558" customWidth="1"/>
    <col min="8" max="8" width="6.33203125" style="558" customWidth="1"/>
    <col min="9" max="9" width="14.6640625" style="558" customWidth="1"/>
    <col min="10" max="10" width="17.5546875" style="558" customWidth="1"/>
    <col min="11" max="14" width="16.88671875" style="705" customWidth="1"/>
    <col min="15" max="23" width="16.88671875" style="558" customWidth="1"/>
    <col min="24" max="24" width="16.88671875" style="705" customWidth="1"/>
    <col min="25" max="25" width="16.88671875" style="558" customWidth="1"/>
    <col min="26" max="26" width="16.88671875" style="775" customWidth="1"/>
    <col min="27" max="28" width="16.88671875" style="558" customWidth="1"/>
    <col min="29" max="29" width="16.88671875" style="705" customWidth="1"/>
    <col min="30" max="31" width="16.88671875" style="558" customWidth="1"/>
    <col min="32" max="32" width="16.88671875" style="705" customWidth="1"/>
    <col min="33" max="35" width="16.88671875" style="558" customWidth="1"/>
    <col min="36" max="36" width="16.88671875" style="705" customWidth="1"/>
    <col min="37" max="37" width="16.88671875" style="558" customWidth="1"/>
    <col min="38" max="38" width="16.88671875" style="705" customWidth="1"/>
    <col min="39" max="40" width="16.88671875" style="558" customWidth="1"/>
    <col min="41" max="41" width="16.88671875" style="705" customWidth="1"/>
    <col min="42" max="48" width="16.88671875" style="558" customWidth="1"/>
    <col min="49" max="49" width="14" style="558" customWidth="1"/>
    <col min="50" max="50" width="9.109375" style="558" customWidth="1"/>
    <col min="51" max="16384" width="9.109375" style="558"/>
  </cols>
  <sheetData>
    <row r="1" spans="1:49" ht="17.399999999999999" x14ac:dyDescent="0.3">
      <c r="A1" s="703" t="s">
        <v>1311</v>
      </c>
      <c r="B1" s="703"/>
      <c r="C1" s="703"/>
      <c r="D1" s="703"/>
      <c r="E1" s="703"/>
      <c r="F1" s="703"/>
      <c r="G1" s="703"/>
      <c r="H1" s="704"/>
      <c r="I1" s="704"/>
      <c r="J1" s="704"/>
      <c r="Z1" s="706"/>
    </row>
    <row r="2" spans="1:49" ht="15.75" customHeight="1" x14ac:dyDescent="0.3">
      <c r="A2" s="707" t="s">
        <v>1353</v>
      </c>
      <c r="B2" s="708"/>
      <c r="C2" s="708"/>
      <c r="D2" s="709"/>
      <c r="E2" s="709"/>
      <c r="F2" s="709"/>
      <c r="G2" s="709"/>
      <c r="H2" s="709"/>
      <c r="I2" s="709"/>
      <c r="X2" s="710"/>
      <c r="Z2" s="706"/>
    </row>
    <row r="3" spans="1:49" ht="15.6" x14ac:dyDescent="0.3">
      <c r="A3" s="560"/>
      <c r="B3" s="560"/>
      <c r="C3" s="560"/>
      <c r="D3" s="561"/>
      <c r="E3" s="203"/>
      <c r="F3" s="203"/>
      <c r="G3" s="203"/>
      <c r="H3" s="203"/>
      <c r="I3" s="203"/>
      <c r="Z3" s="706"/>
    </row>
    <row r="4" spans="1:49" s="571" customFormat="1" ht="56.25" customHeight="1" thickBot="1" x14ac:dyDescent="0.35">
      <c r="A4" s="562"/>
      <c r="B4" s="563"/>
      <c r="C4" s="563"/>
      <c r="D4" s="563"/>
      <c r="E4" s="563"/>
      <c r="F4" s="563"/>
      <c r="G4" s="564"/>
      <c r="H4" s="565" t="s">
        <v>1275</v>
      </c>
      <c r="I4" s="695" t="s">
        <v>1354</v>
      </c>
      <c r="J4" s="695" t="s">
        <v>1355</v>
      </c>
      <c r="K4" s="711" t="s">
        <v>1356</v>
      </c>
      <c r="L4" s="711" t="s">
        <v>1357</v>
      </c>
      <c r="M4" s="711" t="s">
        <v>1358</v>
      </c>
      <c r="N4" s="711" t="s">
        <v>1359</v>
      </c>
      <c r="O4" s="711" t="s">
        <v>1360</v>
      </c>
      <c r="P4" s="711" t="s">
        <v>1361</v>
      </c>
      <c r="Q4" s="711" t="s">
        <v>1362</v>
      </c>
      <c r="R4" s="711" t="s">
        <v>1363</v>
      </c>
      <c r="S4" s="711" t="s">
        <v>1364</v>
      </c>
      <c r="T4" s="711" t="s">
        <v>1365</v>
      </c>
      <c r="U4" s="711" t="s">
        <v>1366</v>
      </c>
      <c r="V4" s="711" t="s">
        <v>1367</v>
      </c>
      <c r="W4" s="711" t="s">
        <v>1368</v>
      </c>
      <c r="X4" s="711" t="s">
        <v>1369</v>
      </c>
      <c r="Y4" s="711" t="s">
        <v>1370</v>
      </c>
      <c r="Z4" s="711" t="s">
        <v>1371</v>
      </c>
      <c r="AA4" s="711" t="s">
        <v>1372</v>
      </c>
      <c r="AB4" s="711" t="s">
        <v>1373</v>
      </c>
      <c r="AC4" s="711" t="s">
        <v>1374</v>
      </c>
      <c r="AD4" s="711" t="s">
        <v>1375</v>
      </c>
      <c r="AE4" s="711" t="s">
        <v>1376</v>
      </c>
      <c r="AF4" s="711" t="s">
        <v>1377</v>
      </c>
      <c r="AG4" s="711" t="s">
        <v>1378</v>
      </c>
      <c r="AH4" s="711" t="s">
        <v>1379</v>
      </c>
      <c r="AI4" s="711" t="s">
        <v>1380</v>
      </c>
      <c r="AJ4" s="711" t="s">
        <v>1381</v>
      </c>
      <c r="AK4" s="711" t="s">
        <v>1382</v>
      </c>
      <c r="AL4" s="711" t="s">
        <v>1383</v>
      </c>
      <c r="AM4" s="711" t="s">
        <v>1384</v>
      </c>
      <c r="AN4" s="711" t="s">
        <v>1385</v>
      </c>
      <c r="AO4" s="711" t="s">
        <v>1386</v>
      </c>
      <c r="AP4" s="711" t="s">
        <v>1387</v>
      </c>
      <c r="AQ4" s="711" t="s">
        <v>1388</v>
      </c>
      <c r="AR4" s="711" t="s">
        <v>1389</v>
      </c>
      <c r="AS4" s="711" t="s">
        <v>1390</v>
      </c>
      <c r="AT4" s="711" t="s">
        <v>1391</v>
      </c>
      <c r="AU4" s="711" t="s">
        <v>1392</v>
      </c>
      <c r="AV4" s="711" t="s">
        <v>1393</v>
      </c>
      <c r="AW4" s="570" t="s">
        <v>1283</v>
      </c>
    </row>
    <row r="5" spans="1:49" s="715" customFormat="1" ht="15" customHeight="1" thickBot="1" x14ac:dyDescent="0.35">
      <c r="A5" s="1066" t="s">
        <v>1284</v>
      </c>
      <c r="B5" s="1066"/>
      <c r="C5" s="1066"/>
      <c r="D5" s="1066"/>
      <c r="E5" s="1066"/>
      <c r="F5" s="1066"/>
      <c r="G5" s="1066"/>
      <c r="H5" s="1066"/>
      <c r="I5" s="712">
        <v>205.54</v>
      </c>
      <c r="J5" s="712">
        <f>I5-SUM(K5:AV5)</f>
        <v>177.38</v>
      </c>
      <c r="K5" s="712">
        <v>0.74</v>
      </c>
      <c r="L5" s="712">
        <v>0.1</v>
      </c>
      <c r="M5" s="712">
        <v>1.1000000000000001</v>
      </c>
      <c r="N5" s="712">
        <v>0</v>
      </c>
      <c r="O5" s="713">
        <v>0.7</v>
      </c>
      <c r="P5" s="713">
        <v>0.6</v>
      </c>
      <c r="Q5" s="713">
        <v>1.93</v>
      </c>
      <c r="R5" s="713">
        <v>0.83</v>
      </c>
      <c r="S5" s="713">
        <v>1</v>
      </c>
      <c r="T5" s="713">
        <v>0.5</v>
      </c>
      <c r="U5" s="713">
        <v>1</v>
      </c>
      <c r="V5" s="713">
        <v>1.5</v>
      </c>
      <c r="W5" s="713">
        <v>0.97</v>
      </c>
      <c r="X5" s="713">
        <v>0.88</v>
      </c>
      <c r="Y5" s="712">
        <v>0.5</v>
      </c>
      <c r="Z5" s="713">
        <v>0.2</v>
      </c>
      <c r="AA5" s="713">
        <v>0.8</v>
      </c>
      <c r="AB5" s="713">
        <v>0.21</v>
      </c>
      <c r="AC5" s="713">
        <v>0.5</v>
      </c>
      <c r="AD5" s="713">
        <v>0.1</v>
      </c>
      <c r="AE5" s="713">
        <v>0.1</v>
      </c>
      <c r="AF5" s="713">
        <v>2.88</v>
      </c>
      <c r="AG5" s="713">
        <v>1.1000000000000001</v>
      </c>
      <c r="AH5" s="713">
        <v>0.5</v>
      </c>
      <c r="AI5" s="713">
        <v>2.58</v>
      </c>
      <c r="AJ5" s="712">
        <v>0.54</v>
      </c>
      <c r="AK5" s="713">
        <v>1</v>
      </c>
      <c r="AL5" s="712">
        <v>2.2200000000000002</v>
      </c>
      <c r="AM5" s="713">
        <v>0.5</v>
      </c>
      <c r="AN5" s="713">
        <v>0.3</v>
      </c>
      <c r="AO5" s="712">
        <v>0.78</v>
      </c>
      <c r="AP5" s="713">
        <v>0.13</v>
      </c>
      <c r="AQ5" s="713">
        <v>0.25</v>
      </c>
      <c r="AR5" s="713">
        <v>0.25</v>
      </c>
      <c r="AS5" s="713">
        <v>0.25</v>
      </c>
      <c r="AT5" s="713">
        <v>0.19</v>
      </c>
      <c r="AU5" s="713">
        <v>0.19</v>
      </c>
      <c r="AV5" s="713">
        <v>0.24</v>
      </c>
      <c r="AW5" s="714">
        <f>I5-SUM(J5:AV5)</f>
        <v>0</v>
      </c>
    </row>
    <row r="6" spans="1:49" x14ac:dyDescent="0.3">
      <c r="A6" s="1051" t="s">
        <v>1285</v>
      </c>
      <c r="B6" s="1051"/>
      <c r="C6" s="1051"/>
      <c r="D6" s="1051"/>
      <c r="E6" s="1051"/>
      <c r="F6" s="1051"/>
      <c r="G6" s="576"/>
      <c r="I6" s="716"/>
      <c r="J6" s="717"/>
      <c r="K6" s="718"/>
      <c r="L6" s="718"/>
      <c r="M6" s="718"/>
      <c r="N6" s="718"/>
      <c r="O6" s="577"/>
      <c r="P6" s="577"/>
      <c r="Q6" s="577"/>
      <c r="R6" s="577"/>
      <c r="S6" s="577"/>
      <c r="T6" s="577"/>
      <c r="U6" s="577"/>
      <c r="V6" s="577"/>
      <c r="W6" s="577"/>
      <c r="X6" s="718"/>
      <c r="Y6" s="718"/>
      <c r="Z6" s="718"/>
      <c r="AA6" s="577"/>
      <c r="AB6" s="718"/>
      <c r="AC6" s="718"/>
      <c r="AD6" s="577"/>
      <c r="AE6" s="577"/>
      <c r="AF6" s="718"/>
      <c r="AG6" s="577"/>
      <c r="AH6" s="577"/>
      <c r="AI6" s="577"/>
      <c r="AJ6" s="718"/>
      <c r="AK6" s="577"/>
      <c r="AL6" s="718"/>
      <c r="AM6" s="577"/>
      <c r="AN6" s="577"/>
      <c r="AO6" s="718"/>
      <c r="AP6" s="718"/>
      <c r="AQ6" s="577"/>
      <c r="AR6" s="577"/>
      <c r="AS6" s="577"/>
      <c r="AT6" s="577"/>
      <c r="AU6" s="577"/>
      <c r="AV6" s="577"/>
      <c r="AW6" s="579"/>
    </row>
    <row r="7" spans="1:49" ht="8.25" customHeight="1" x14ac:dyDescent="0.3">
      <c r="A7" s="580"/>
      <c r="G7" s="581"/>
      <c r="I7" s="719"/>
      <c r="J7" s="720"/>
      <c r="K7" s="721"/>
      <c r="L7" s="721"/>
      <c r="M7" s="721"/>
      <c r="N7" s="721"/>
      <c r="O7" s="582"/>
      <c r="P7" s="582"/>
      <c r="Q7" s="582"/>
      <c r="R7" s="582"/>
      <c r="S7" s="582"/>
      <c r="T7" s="582"/>
      <c r="U7" s="582"/>
      <c r="V7" s="582"/>
      <c r="W7" s="582"/>
      <c r="X7" s="721"/>
      <c r="Y7" s="721"/>
      <c r="Z7" s="721"/>
      <c r="AA7" s="582"/>
      <c r="AB7" s="721"/>
      <c r="AC7" s="721"/>
      <c r="AD7" s="582"/>
      <c r="AE7" s="582"/>
      <c r="AF7" s="721"/>
      <c r="AG7" s="582"/>
      <c r="AH7" s="582"/>
      <c r="AI7" s="582"/>
      <c r="AJ7" s="721"/>
      <c r="AK7" s="582"/>
      <c r="AL7" s="721"/>
      <c r="AM7" s="582"/>
      <c r="AN7" s="582"/>
      <c r="AO7" s="721"/>
      <c r="AP7" s="721"/>
      <c r="AQ7" s="582"/>
      <c r="AR7" s="582"/>
      <c r="AS7" s="582"/>
      <c r="AT7" s="582"/>
      <c r="AU7" s="582"/>
      <c r="AV7" s="582"/>
      <c r="AW7" s="584"/>
    </row>
    <row r="8" spans="1:49" x14ac:dyDescent="0.3">
      <c r="A8" s="1038" t="s">
        <v>1286</v>
      </c>
      <c r="B8" s="1038"/>
      <c r="C8" s="1038"/>
      <c r="D8" s="1038"/>
      <c r="E8" s="1038"/>
      <c r="F8" s="1038"/>
      <c r="G8" s="586"/>
      <c r="I8" s="719"/>
      <c r="J8" s="720"/>
      <c r="K8" s="721"/>
      <c r="L8" s="721"/>
      <c r="M8" s="721"/>
      <c r="N8" s="721"/>
      <c r="O8" s="582"/>
      <c r="P8" s="582"/>
      <c r="Q8" s="582"/>
      <c r="R8" s="582"/>
      <c r="S8" s="582"/>
      <c r="T8" s="582"/>
      <c r="U8" s="582"/>
      <c r="V8" s="582"/>
      <c r="W8" s="582"/>
      <c r="X8" s="721"/>
      <c r="Y8" s="721"/>
      <c r="Z8" s="721"/>
      <c r="AA8" s="582"/>
      <c r="AB8" s="721"/>
      <c r="AC8" s="721"/>
      <c r="AD8" s="582"/>
      <c r="AE8" s="582"/>
      <c r="AF8" s="721"/>
      <c r="AG8" s="582"/>
      <c r="AH8" s="582"/>
      <c r="AI8" s="582"/>
      <c r="AJ8" s="721"/>
      <c r="AK8" s="582"/>
      <c r="AL8" s="721"/>
      <c r="AM8" s="582"/>
      <c r="AN8" s="582"/>
      <c r="AO8" s="721"/>
      <c r="AP8" s="721"/>
      <c r="AQ8" s="582"/>
      <c r="AR8" s="582"/>
      <c r="AS8" s="582"/>
      <c r="AT8" s="582"/>
      <c r="AU8" s="582"/>
      <c r="AV8" s="582"/>
      <c r="AW8" s="584"/>
    </row>
    <row r="9" spans="1:49" x14ac:dyDescent="0.3">
      <c r="A9" s="585"/>
      <c r="B9" s="587" t="s">
        <v>1287</v>
      </c>
      <c r="C9" s="588"/>
      <c r="D9" s="588"/>
      <c r="E9" s="588"/>
      <c r="F9" s="588"/>
      <c r="G9" s="589" t="s">
        <v>1288</v>
      </c>
      <c r="H9" s="590">
        <v>9900</v>
      </c>
      <c r="I9" s="722">
        <f t="shared" ref="I9:AV9" si="0">I10-I13</f>
        <v>13164808.92</v>
      </c>
      <c r="J9" s="722">
        <f t="shared" si="0"/>
        <v>11568148.02</v>
      </c>
      <c r="K9" s="723">
        <f t="shared" si="0"/>
        <v>4334.29</v>
      </c>
      <c r="L9" s="723">
        <f t="shared" si="0"/>
        <v>396.63999999999987</v>
      </c>
      <c r="M9" s="723">
        <f t="shared" si="0"/>
        <v>70006.599999999991</v>
      </c>
      <c r="N9" s="723">
        <f t="shared" si="0"/>
        <v>53334.820000000007</v>
      </c>
      <c r="O9" s="724">
        <f t="shared" si="0"/>
        <v>39359.75</v>
      </c>
      <c r="P9" s="724">
        <f t="shared" si="0"/>
        <v>22448.68</v>
      </c>
      <c r="Q9" s="724">
        <f t="shared" si="0"/>
        <v>117291.53</v>
      </c>
      <c r="R9" s="724">
        <f t="shared" si="0"/>
        <v>57883.960000000006</v>
      </c>
      <c r="S9" s="724">
        <f t="shared" si="0"/>
        <v>59515.62</v>
      </c>
      <c r="T9" s="724">
        <f t="shared" si="0"/>
        <v>33650.82</v>
      </c>
      <c r="U9" s="724">
        <f t="shared" si="0"/>
        <v>43056.990000000005</v>
      </c>
      <c r="V9" s="724">
        <f t="shared" si="0"/>
        <v>91070.87</v>
      </c>
      <c r="W9" s="724">
        <f t="shared" si="0"/>
        <v>57336.76</v>
      </c>
      <c r="X9" s="723">
        <f t="shared" si="0"/>
        <v>46440.56</v>
      </c>
      <c r="Y9" s="723">
        <f t="shared" si="0"/>
        <v>29520.799999999999</v>
      </c>
      <c r="Z9" s="723">
        <f t="shared" si="0"/>
        <v>10125.959999999999</v>
      </c>
      <c r="AA9" s="724">
        <f t="shared" si="0"/>
        <v>43359.19</v>
      </c>
      <c r="AB9" s="723">
        <f t="shared" si="0"/>
        <v>18449.990000000002</v>
      </c>
      <c r="AC9" s="723">
        <f t="shared" si="0"/>
        <v>31530.350000000002</v>
      </c>
      <c r="AD9" s="724">
        <f t="shared" si="0"/>
        <v>4812.46</v>
      </c>
      <c r="AE9" s="724">
        <f t="shared" si="0"/>
        <v>4395.79</v>
      </c>
      <c r="AF9" s="723">
        <f t="shared" si="0"/>
        <v>139785.11000000002</v>
      </c>
      <c r="AG9" s="724">
        <f t="shared" si="0"/>
        <v>62896.87000000001</v>
      </c>
      <c r="AH9" s="724">
        <f t="shared" si="0"/>
        <v>37994.069999999992</v>
      </c>
      <c r="AI9" s="724">
        <f t="shared" si="0"/>
        <v>112856.26000000001</v>
      </c>
      <c r="AJ9" s="723">
        <f t="shared" si="0"/>
        <v>36773.03</v>
      </c>
      <c r="AK9" s="724">
        <f t="shared" si="0"/>
        <v>39589.26</v>
      </c>
      <c r="AL9" s="723">
        <f t="shared" si="0"/>
        <v>152577.9</v>
      </c>
      <c r="AM9" s="724">
        <f t="shared" si="0"/>
        <v>24853.61</v>
      </c>
      <c r="AN9" s="724">
        <f t="shared" si="0"/>
        <v>12395</v>
      </c>
      <c r="AO9" s="723">
        <f t="shared" si="0"/>
        <v>43955.78</v>
      </c>
      <c r="AP9" s="723">
        <f t="shared" si="0"/>
        <v>6920.75</v>
      </c>
      <c r="AQ9" s="724">
        <f t="shared" si="0"/>
        <v>16171.64</v>
      </c>
      <c r="AR9" s="724">
        <f t="shared" si="0"/>
        <v>14739.93</v>
      </c>
      <c r="AS9" s="724">
        <f t="shared" si="0"/>
        <v>14738.310000000001</v>
      </c>
      <c r="AT9" s="724">
        <f t="shared" si="0"/>
        <v>13358.82</v>
      </c>
      <c r="AU9" s="724">
        <f t="shared" si="0"/>
        <v>13483.050000000001</v>
      </c>
      <c r="AV9" s="724">
        <f t="shared" si="0"/>
        <v>15249.08</v>
      </c>
      <c r="AW9" s="592">
        <f t="shared" ref="AW9:AW19" si="1">I9-SUM(J9:AV9)</f>
        <v>0</v>
      </c>
    </row>
    <row r="10" spans="1:49" x14ac:dyDescent="0.3">
      <c r="A10" s="580"/>
      <c r="B10" s="593"/>
      <c r="C10" s="1047" t="s">
        <v>1289</v>
      </c>
      <c r="D10" s="1047"/>
      <c r="E10" s="1047"/>
      <c r="F10" s="1047"/>
      <c r="G10" s="586"/>
      <c r="H10" s="590" t="s">
        <v>1290</v>
      </c>
      <c r="I10" s="725">
        <v>15971405.83</v>
      </c>
      <c r="J10" s="725">
        <f t="shared" ref="J10:J18" si="2">I10-SUM(K10:AV10)</f>
        <v>14172928.49</v>
      </c>
      <c r="K10" s="726">
        <f t="shared" ref="K10:AV10" si="3">K11+K12</f>
        <v>5040</v>
      </c>
      <c r="L10" s="726">
        <f t="shared" si="3"/>
        <v>1923.84</v>
      </c>
      <c r="M10" s="726">
        <f t="shared" si="3"/>
        <v>73335.37</v>
      </c>
      <c r="N10" s="726">
        <f t="shared" si="3"/>
        <v>53334.820000000007</v>
      </c>
      <c r="O10" s="727">
        <f t="shared" si="3"/>
        <v>47692.3</v>
      </c>
      <c r="P10" s="727">
        <f t="shared" si="3"/>
        <v>30000</v>
      </c>
      <c r="Q10" s="727">
        <f t="shared" si="3"/>
        <v>134000</v>
      </c>
      <c r="R10" s="727">
        <f t="shared" si="3"/>
        <v>64174.94</v>
      </c>
      <c r="S10" s="727">
        <f t="shared" si="3"/>
        <v>64900</v>
      </c>
      <c r="T10" s="727">
        <f t="shared" si="3"/>
        <v>39000</v>
      </c>
      <c r="U10" s="727">
        <f t="shared" si="3"/>
        <v>48623.19</v>
      </c>
      <c r="V10" s="727">
        <f t="shared" si="3"/>
        <v>94000</v>
      </c>
      <c r="W10" s="727">
        <f t="shared" si="3"/>
        <v>58715.37</v>
      </c>
      <c r="X10" s="726">
        <f t="shared" si="3"/>
        <v>49121.13</v>
      </c>
      <c r="Y10" s="726">
        <f t="shared" si="3"/>
        <v>30864.959999999999</v>
      </c>
      <c r="Z10" s="726">
        <f t="shared" si="3"/>
        <v>10555</v>
      </c>
      <c r="AA10" s="727">
        <f t="shared" si="3"/>
        <v>50000</v>
      </c>
      <c r="AB10" s="726">
        <f t="shared" si="3"/>
        <v>19087.97</v>
      </c>
      <c r="AC10" s="726">
        <f t="shared" si="3"/>
        <v>32956.97</v>
      </c>
      <c r="AD10" s="727">
        <f t="shared" si="3"/>
        <v>5000</v>
      </c>
      <c r="AE10" s="727">
        <f t="shared" si="3"/>
        <v>4583.33</v>
      </c>
      <c r="AF10" s="726">
        <f t="shared" si="3"/>
        <v>157819.41</v>
      </c>
      <c r="AG10" s="727">
        <f t="shared" si="3"/>
        <v>71858.98000000001</v>
      </c>
      <c r="AH10" s="727">
        <f t="shared" si="3"/>
        <v>46416.77</v>
      </c>
      <c r="AI10" s="727">
        <f t="shared" si="3"/>
        <v>167313.82</v>
      </c>
      <c r="AJ10" s="726">
        <f t="shared" si="3"/>
        <v>40001.11</v>
      </c>
      <c r="AK10" s="727">
        <f t="shared" si="3"/>
        <v>42450.25</v>
      </c>
      <c r="AL10" s="726">
        <f t="shared" si="3"/>
        <v>164987.03</v>
      </c>
      <c r="AM10" s="727">
        <f t="shared" si="3"/>
        <v>26280.23</v>
      </c>
      <c r="AN10" s="727">
        <f t="shared" si="3"/>
        <v>12395</v>
      </c>
      <c r="AO10" s="726">
        <f t="shared" si="3"/>
        <v>47591.44</v>
      </c>
      <c r="AP10" s="726">
        <f t="shared" si="3"/>
        <v>7790</v>
      </c>
      <c r="AQ10" s="727">
        <f t="shared" si="3"/>
        <v>17809.96</v>
      </c>
      <c r="AR10" s="727">
        <f t="shared" si="3"/>
        <v>16372.43</v>
      </c>
      <c r="AS10" s="727">
        <f t="shared" si="3"/>
        <v>16372.43</v>
      </c>
      <c r="AT10" s="727">
        <f t="shared" si="3"/>
        <v>14588.42</v>
      </c>
      <c r="AU10" s="727">
        <f t="shared" si="3"/>
        <v>14709.44</v>
      </c>
      <c r="AV10" s="727">
        <f t="shared" si="3"/>
        <v>16811.43</v>
      </c>
      <c r="AW10" s="592">
        <f t="shared" si="1"/>
        <v>0</v>
      </c>
    </row>
    <row r="11" spans="1:49" x14ac:dyDescent="0.3">
      <c r="A11" s="580"/>
      <c r="B11" s="1041"/>
      <c r="C11" s="1041"/>
      <c r="D11" s="1042" t="s">
        <v>1291</v>
      </c>
      <c r="E11" s="1042"/>
      <c r="F11" s="1042"/>
      <c r="G11" s="586"/>
      <c r="H11" s="590">
        <v>70</v>
      </c>
      <c r="I11" s="725">
        <v>1436021.43</v>
      </c>
      <c r="J11" s="725">
        <f t="shared" si="2"/>
        <v>1427059.3199999998</v>
      </c>
      <c r="K11" s="726">
        <v>0</v>
      </c>
      <c r="L11" s="726">
        <v>0</v>
      </c>
      <c r="M11" s="726">
        <v>0</v>
      </c>
      <c r="N11" s="726">
        <v>0</v>
      </c>
      <c r="O11" s="727">
        <v>0</v>
      </c>
      <c r="P11" s="727">
        <v>0</v>
      </c>
      <c r="Q11" s="727">
        <v>0</v>
      </c>
      <c r="R11" s="727">
        <v>0</v>
      </c>
      <c r="S11" s="727">
        <v>0</v>
      </c>
      <c r="T11" s="727">
        <v>0</v>
      </c>
      <c r="U11" s="727">
        <v>0</v>
      </c>
      <c r="V11" s="727">
        <v>0</v>
      </c>
      <c r="W11" s="727">
        <v>0</v>
      </c>
      <c r="X11" s="726">
        <v>0</v>
      </c>
      <c r="Y11" s="726">
        <v>0</v>
      </c>
      <c r="Z11" s="726">
        <v>0</v>
      </c>
      <c r="AA11" s="727">
        <v>0</v>
      </c>
      <c r="AB11" s="726">
        <v>0</v>
      </c>
      <c r="AC11" s="726">
        <v>0</v>
      </c>
      <c r="AD11" s="727">
        <v>0</v>
      </c>
      <c r="AE11" s="727">
        <v>0</v>
      </c>
      <c r="AF11" s="726">
        <v>0</v>
      </c>
      <c r="AG11" s="727">
        <v>8962.11</v>
      </c>
      <c r="AH11" s="727">
        <v>0</v>
      </c>
      <c r="AI11" s="727">
        <v>0</v>
      </c>
      <c r="AJ11" s="726">
        <v>0</v>
      </c>
      <c r="AK11" s="727">
        <v>0</v>
      </c>
      <c r="AL11" s="726">
        <v>0</v>
      </c>
      <c r="AM11" s="727">
        <v>0</v>
      </c>
      <c r="AN11" s="727">
        <v>0</v>
      </c>
      <c r="AO11" s="726">
        <v>0</v>
      </c>
      <c r="AP11" s="726">
        <v>0</v>
      </c>
      <c r="AQ11" s="727">
        <v>0</v>
      </c>
      <c r="AR11" s="727">
        <v>0</v>
      </c>
      <c r="AS11" s="727">
        <v>0</v>
      </c>
      <c r="AT11" s="727">
        <v>0</v>
      </c>
      <c r="AU11" s="727">
        <v>0</v>
      </c>
      <c r="AV11" s="727">
        <v>0</v>
      </c>
      <c r="AW11" s="592">
        <f t="shared" si="1"/>
        <v>0</v>
      </c>
    </row>
    <row r="12" spans="1:49" x14ac:dyDescent="0.3">
      <c r="A12" s="580"/>
      <c r="D12" s="1043" t="s">
        <v>331</v>
      </c>
      <c r="E12" s="1043"/>
      <c r="F12" s="1043"/>
      <c r="G12" s="596"/>
      <c r="H12" s="590">
        <v>73</v>
      </c>
      <c r="I12" s="728">
        <v>13892282.66</v>
      </c>
      <c r="J12" s="725">
        <f t="shared" si="2"/>
        <v>12102767.43</v>
      </c>
      <c r="K12" s="729">
        <f>5040</f>
        <v>5040</v>
      </c>
      <c r="L12" s="729">
        <v>1923.84</v>
      </c>
      <c r="M12" s="729">
        <v>73335.37</v>
      </c>
      <c r="N12" s="729">
        <f>126670.19-M12</f>
        <v>53334.820000000007</v>
      </c>
      <c r="O12" s="598">
        <v>47692.3</v>
      </c>
      <c r="P12" s="598">
        <v>30000</v>
      </c>
      <c r="Q12" s="598">
        <v>134000</v>
      </c>
      <c r="R12" s="727">
        <v>64174.94</v>
      </c>
      <c r="S12" s="727">
        <v>64900</v>
      </c>
      <c r="T12" s="727">
        <v>39000</v>
      </c>
      <c r="U12" s="727">
        <v>48623.19</v>
      </c>
      <c r="V12" s="727">
        <v>94000</v>
      </c>
      <c r="W12" s="598">
        <v>58715.37</v>
      </c>
      <c r="X12" s="729">
        <v>49121.13</v>
      </c>
      <c r="Y12" s="729">
        <v>30864.959999999999</v>
      </c>
      <c r="Z12" s="729">
        <v>10555</v>
      </c>
      <c r="AA12" s="598">
        <v>50000</v>
      </c>
      <c r="AB12" s="729">
        <v>19087.97</v>
      </c>
      <c r="AC12" s="729">
        <f>32956.97</f>
        <v>32956.97</v>
      </c>
      <c r="AD12" s="729">
        <v>5000</v>
      </c>
      <c r="AE12" s="729">
        <v>4583.33</v>
      </c>
      <c r="AF12" s="729">
        <f>157819.41</f>
        <v>157819.41</v>
      </c>
      <c r="AG12" s="598">
        <v>62896.87</v>
      </c>
      <c r="AH12" s="598">
        <v>46416.77</v>
      </c>
      <c r="AI12" s="598">
        <v>167313.82</v>
      </c>
      <c r="AJ12" s="729">
        <f>40001.11</f>
        <v>40001.11</v>
      </c>
      <c r="AK12" s="598">
        <f>42450.25</f>
        <v>42450.25</v>
      </c>
      <c r="AL12" s="729">
        <f>164987.03</f>
        <v>164987.03</v>
      </c>
      <c r="AM12" s="598">
        <f>26280.23</f>
        <v>26280.23</v>
      </c>
      <c r="AN12" s="729">
        <f>12395</f>
        <v>12395</v>
      </c>
      <c r="AO12" s="729">
        <v>47591.44</v>
      </c>
      <c r="AP12" s="729">
        <v>7790</v>
      </c>
      <c r="AQ12" s="598">
        <v>17809.96</v>
      </c>
      <c r="AR12" s="598">
        <v>16372.43</v>
      </c>
      <c r="AS12" s="598">
        <v>16372.43</v>
      </c>
      <c r="AT12" s="727">
        <f>14588.42</f>
        <v>14588.42</v>
      </c>
      <c r="AU12" s="727">
        <v>14709.44</v>
      </c>
      <c r="AV12" s="598">
        <v>16811.43</v>
      </c>
      <c r="AW12" s="592">
        <f t="shared" si="1"/>
        <v>0</v>
      </c>
    </row>
    <row r="13" spans="1:49" ht="25.5" customHeight="1" x14ac:dyDescent="0.3">
      <c r="A13" s="580"/>
      <c r="B13" s="597"/>
      <c r="C13" s="1044" t="s">
        <v>1292</v>
      </c>
      <c r="D13" s="1044"/>
      <c r="E13" s="1044"/>
      <c r="F13" s="1044"/>
      <c r="G13" s="586"/>
      <c r="H13" s="590" t="s">
        <v>1293</v>
      </c>
      <c r="I13" s="728">
        <v>2806596.91</v>
      </c>
      <c r="J13" s="725">
        <f t="shared" si="2"/>
        <v>2604780.4700000002</v>
      </c>
      <c r="K13" s="729">
        <v>705.71</v>
      </c>
      <c r="L13" s="729">
        <v>1527.2</v>
      </c>
      <c r="M13" s="729">
        <v>3328.77</v>
      </c>
      <c r="N13" s="729">
        <v>0</v>
      </c>
      <c r="O13" s="726">
        <f>132.78+3773.37+177.69+4248.71</f>
        <v>8332.5499999999993</v>
      </c>
      <c r="P13" s="726">
        <f>106.22+3018.7+177.69+4248.71</f>
        <v>7551.32</v>
      </c>
      <c r="Q13" s="726">
        <f>16708.47</f>
        <v>16708.47</v>
      </c>
      <c r="R13" s="726">
        <f>68.11+5302.19+35.54+885.14</f>
        <v>6290.98</v>
      </c>
      <c r="S13" s="726">
        <f>68.11+5316.27</f>
        <v>5384.38</v>
      </c>
      <c r="T13" s="726">
        <f>68.11+5281.07</f>
        <v>5349.1799999999994</v>
      </c>
      <c r="U13" s="726">
        <v>5566.2</v>
      </c>
      <c r="V13" s="726">
        <v>2929.13</v>
      </c>
      <c r="W13" s="726">
        <v>1378.61</v>
      </c>
      <c r="X13" s="729">
        <f>947.4+1475.61+257.56</f>
        <v>2680.5699999999997</v>
      </c>
      <c r="Y13" s="729">
        <f>321.42+1022.74</f>
        <v>1344.16</v>
      </c>
      <c r="Z13" s="729">
        <v>429.04</v>
      </c>
      <c r="AA13" s="730">
        <f>864.27+5776.54</f>
        <v>6640.8099999999995</v>
      </c>
      <c r="AB13" s="729">
        <v>637.98</v>
      </c>
      <c r="AC13" s="729">
        <f>442.16+984.46</f>
        <v>1426.6200000000001</v>
      </c>
      <c r="AD13" s="729">
        <f>64.28+123.26</f>
        <v>187.54000000000002</v>
      </c>
      <c r="AE13" s="729">
        <f>64.28+123.26</f>
        <v>187.54000000000002</v>
      </c>
      <c r="AF13" s="729">
        <f>5098.81+11513.42+1422.07</f>
        <v>18034.3</v>
      </c>
      <c r="AG13" s="730">
        <v>8962.11</v>
      </c>
      <c r="AH13" s="730">
        <v>8422.7000000000007</v>
      </c>
      <c r="AI13" s="729">
        <v>54457.56</v>
      </c>
      <c r="AJ13" s="729">
        <v>3228.08</v>
      </c>
      <c r="AK13" s="729">
        <v>2860.99</v>
      </c>
      <c r="AL13" s="729">
        <v>12409.13</v>
      </c>
      <c r="AM13" s="729">
        <f>442.16+984.46</f>
        <v>1426.6200000000001</v>
      </c>
      <c r="AN13" s="729">
        <v>0</v>
      </c>
      <c r="AO13" s="729">
        <f>31.45+1718.92+1885.29</f>
        <v>3635.66</v>
      </c>
      <c r="AP13" s="729">
        <v>869.25</v>
      </c>
      <c r="AQ13" s="726">
        <v>1638.32</v>
      </c>
      <c r="AR13" s="726">
        <v>1632.5</v>
      </c>
      <c r="AS13" s="726">
        <v>1634.12</v>
      </c>
      <c r="AT13" s="726">
        <v>1229.5999999999999</v>
      </c>
      <c r="AU13" s="726">
        <v>1226.3900000000001</v>
      </c>
      <c r="AV13" s="726">
        <v>1562.35</v>
      </c>
      <c r="AW13" s="592">
        <f t="shared" si="1"/>
        <v>0</v>
      </c>
    </row>
    <row r="14" spans="1:49" ht="26.25" customHeight="1" x14ac:dyDescent="0.3">
      <c r="A14" s="580"/>
      <c r="B14" s="1044" t="s">
        <v>1294</v>
      </c>
      <c r="C14" s="1044"/>
      <c r="D14" s="1044"/>
      <c r="E14" s="1044"/>
      <c r="F14" s="1044"/>
      <c r="G14" s="586" t="s">
        <v>1288</v>
      </c>
      <c r="H14" s="590">
        <v>62</v>
      </c>
      <c r="I14" s="725">
        <v>12371238.83</v>
      </c>
      <c r="J14" s="725">
        <f t="shared" si="2"/>
        <v>10779517.98</v>
      </c>
      <c r="K14" s="729">
        <f>28573.62+8.12</f>
        <v>28581.739999999998</v>
      </c>
      <c r="L14" s="729">
        <v>1611.09</v>
      </c>
      <c r="M14" s="729">
        <f>69842.28+36.2</f>
        <v>69878.48</v>
      </c>
      <c r="N14" s="729">
        <v>0</v>
      </c>
      <c r="O14" s="731">
        <f>28872.26+16.45+12486.92+6.58</f>
        <v>41382.21</v>
      </c>
      <c r="P14" s="731">
        <f>17819.55+13.16+8955.75+6.58</f>
        <v>26795.040000000001</v>
      </c>
      <c r="Q14" s="731">
        <f>116334.11+63.51</f>
        <v>116397.62</v>
      </c>
      <c r="R14" s="731">
        <f>47785.27+26.33+3528.77</f>
        <v>51340.369999999995</v>
      </c>
      <c r="S14" s="731">
        <f>56587.3+26.33</f>
        <v>56613.630000000005</v>
      </c>
      <c r="T14" s="731">
        <f>31219.51+16.45</f>
        <v>31235.96</v>
      </c>
      <c r="U14" s="731">
        <f>48546.01+32.91</f>
        <v>48578.920000000006</v>
      </c>
      <c r="V14" s="731">
        <f>111582.41+49.36</f>
        <v>111631.77</v>
      </c>
      <c r="W14" s="731">
        <f>58715.37+31.92</f>
        <v>58747.29</v>
      </c>
      <c r="X14" s="726">
        <f>41789.85+32.91</f>
        <v>41822.76</v>
      </c>
      <c r="Y14" s="726">
        <f>26716+17.88</f>
        <v>26733.88</v>
      </c>
      <c r="Z14" s="730">
        <f>7941.16+6.58</f>
        <v>7947.74</v>
      </c>
      <c r="AA14" s="727">
        <f>43210.45+30</f>
        <v>43240.45</v>
      </c>
      <c r="AB14" s="726">
        <f>(12465.48+3732.45+2890.04)+6.91</f>
        <v>19094.88</v>
      </c>
      <c r="AC14" s="726">
        <f>32956.97+16.45</f>
        <v>32973.42</v>
      </c>
      <c r="AD14" s="727">
        <f>6178.45</f>
        <v>6178.45</v>
      </c>
      <c r="AE14" s="727">
        <f>6178.45</f>
        <v>6178.45</v>
      </c>
      <c r="AF14" s="726">
        <f>162777.03+94.78</f>
        <v>162871.81</v>
      </c>
      <c r="AG14" s="727">
        <v>62896.87</v>
      </c>
      <c r="AH14" s="727">
        <f>35477.55+16.45</f>
        <v>35494</v>
      </c>
      <c r="AI14" s="731">
        <v>113453.67</v>
      </c>
      <c r="AJ14" s="726">
        <f>31145.27+17.77</f>
        <v>31163.040000000001</v>
      </c>
      <c r="AK14" s="727">
        <f>42450.25+32.91</f>
        <v>42483.16</v>
      </c>
      <c r="AL14" s="726">
        <f>146979.68+73.06</f>
        <v>147052.74</v>
      </c>
      <c r="AM14" s="731">
        <f>24707.88+16.45</f>
        <v>24724.33</v>
      </c>
      <c r="AN14" s="731">
        <f>15041.22</f>
        <v>15041.22</v>
      </c>
      <c r="AO14" s="726">
        <f>16982.19+18.85+32556.31+23.04</f>
        <v>49580.39</v>
      </c>
      <c r="AP14" s="726">
        <v>6654.07</v>
      </c>
      <c r="AQ14" s="731">
        <f>14086.64+8.23</f>
        <v>14094.869999999999</v>
      </c>
      <c r="AR14" s="731">
        <f>14086+8.23</f>
        <v>14094.23</v>
      </c>
      <c r="AS14" s="731">
        <f>11190.31+8.23</f>
        <v>11198.539999999999</v>
      </c>
      <c r="AT14" s="731">
        <f>6975.06+4141.65+8.23</f>
        <v>11124.939999999999</v>
      </c>
      <c r="AU14" s="731">
        <f>4232.34+6884.02+8.23</f>
        <v>11124.59</v>
      </c>
      <c r="AV14" s="726">
        <f>5033.51+6654.27+16.45</f>
        <v>11704.230000000001</v>
      </c>
      <c r="AW14" s="592">
        <f t="shared" si="1"/>
        <v>0</v>
      </c>
    </row>
    <row r="15" spans="1:49" ht="38.25" customHeight="1" x14ac:dyDescent="0.3">
      <c r="A15" s="580"/>
      <c r="B15" s="1044" t="s">
        <v>1295</v>
      </c>
      <c r="C15" s="1044"/>
      <c r="D15" s="1044"/>
      <c r="E15" s="1044"/>
      <c r="F15" s="1044"/>
      <c r="G15" s="586" t="s">
        <v>1288</v>
      </c>
      <c r="H15" s="590">
        <v>630</v>
      </c>
      <c r="I15" s="728">
        <v>641418.94999999995</v>
      </c>
      <c r="J15" s="725">
        <f t="shared" si="2"/>
        <v>612345.16999999993</v>
      </c>
      <c r="K15" s="732">
        <f>866.3-300.13</f>
        <v>566.16999999999996</v>
      </c>
      <c r="L15" s="733">
        <v>0</v>
      </c>
      <c r="M15" s="733">
        <v>2287.12</v>
      </c>
      <c r="N15" s="733">
        <v>0</v>
      </c>
      <c r="O15" s="729">
        <f>191.95+255.93</f>
        <v>447.88</v>
      </c>
      <c r="P15" s="729">
        <f>153.56+255.93</f>
        <v>409.49</v>
      </c>
      <c r="Q15" s="729">
        <v>713.32</v>
      </c>
      <c r="R15" s="729">
        <f>76.78+51.19</f>
        <v>127.97</v>
      </c>
      <c r="S15" s="729">
        <v>76.78</v>
      </c>
      <c r="T15" s="729">
        <v>76.78</v>
      </c>
      <c r="U15" s="729">
        <v>369.6</v>
      </c>
      <c r="V15" s="729">
        <v>635.91999999999996</v>
      </c>
      <c r="W15" s="729">
        <v>3456.09</v>
      </c>
      <c r="X15" s="729">
        <v>4617.8</v>
      </c>
      <c r="Y15" s="729">
        <v>0</v>
      </c>
      <c r="Z15" s="730">
        <v>369.6</v>
      </c>
      <c r="AA15" s="729">
        <v>295.68</v>
      </c>
      <c r="AB15" s="729">
        <v>77.62</v>
      </c>
      <c r="AC15" s="729">
        <f>1756.02-608.36</f>
        <v>1147.6599999999999</v>
      </c>
      <c r="AD15" s="598">
        <v>36.96</v>
      </c>
      <c r="AE15" s="598">
        <v>36.96</v>
      </c>
      <c r="AF15" s="729">
        <f>14883.85-13599.93</f>
        <v>1283.92</v>
      </c>
      <c r="AG15" s="729">
        <v>0</v>
      </c>
      <c r="AH15" s="729">
        <v>3148.23</v>
      </c>
      <c r="AI15" s="729"/>
      <c r="AJ15" s="729">
        <f>1896.5-657.03</f>
        <v>1239.47</v>
      </c>
      <c r="AK15" s="598">
        <f>3512.04-1216.72</f>
        <v>2295.3199999999997</v>
      </c>
      <c r="AL15" s="729">
        <f>4654.29-1484.4</f>
        <v>3169.89</v>
      </c>
      <c r="AM15" s="729">
        <f>1756.02-608.36</f>
        <v>1147.6599999999999</v>
      </c>
      <c r="AN15" s="729">
        <v>0</v>
      </c>
      <c r="AO15" s="729">
        <f>89.58+169.14</f>
        <v>258.71999999999997</v>
      </c>
      <c r="AP15" s="729"/>
      <c r="AQ15" s="729">
        <f>60.41+31.99</f>
        <v>92.399999999999991</v>
      </c>
      <c r="AR15" s="729">
        <v>92.4</v>
      </c>
      <c r="AS15" s="729">
        <v>92.4</v>
      </c>
      <c r="AT15" s="729">
        <f>31.99+60.41</f>
        <v>92.399999999999991</v>
      </c>
      <c r="AU15" s="729">
        <f>31.99+92.4</f>
        <v>124.39</v>
      </c>
      <c r="AV15" s="729">
        <f>184.8+102.38</f>
        <v>287.18</v>
      </c>
      <c r="AW15" s="592">
        <f t="shared" si="1"/>
        <v>0</v>
      </c>
    </row>
    <row r="16" spans="1:49" ht="39" customHeight="1" x14ac:dyDescent="0.3">
      <c r="A16" s="580"/>
      <c r="B16" s="1044" t="s">
        <v>1296</v>
      </c>
      <c r="C16" s="1044"/>
      <c r="D16" s="1044"/>
      <c r="E16" s="1044"/>
      <c r="F16" s="1044"/>
      <c r="G16" s="586" t="s">
        <v>1288</v>
      </c>
      <c r="H16" s="590" t="s">
        <v>1297</v>
      </c>
      <c r="I16" s="728">
        <v>51749.37</v>
      </c>
      <c r="J16" s="725">
        <f t="shared" si="2"/>
        <v>51749.37</v>
      </c>
      <c r="K16" s="729">
        <v>0</v>
      </c>
      <c r="L16" s="729">
        <v>0</v>
      </c>
      <c r="M16" s="729">
        <v>0</v>
      </c>
      <c r="N16" s="729">
        <v>0</v>
      </c>
      <c r="O16" s="598">
        <v>0</v>
      </c>
      <c r="P16" s="598">
        <v>0</v>
      </c>
      <c r="Q16" s="598">
        <v>0</v>
      </c>
      <c r="R16" s="598">
        <v>0</v>
      </c>
      <c r="S16" s="598">
        <v>0</v>
      </c>
      <c r="T16" s="598">
        <v>0</v>
      </c>
      <c r="U16" s="598">
        <v>0</v>
      </c>
      <c r="V16" s="598">
        <v>0</v>
      </c>
      <c r="W16" s="598">
        <v>0</v>
      </c>
      <c r="X16" s="729">
        <v>0</v>
      </c>
      <c r="Y16" s="729">
        <v>0</v>
      </c>
      <c r="Z16" s="730">
        <v>0</v>
      </c>
      <c r="AA16" s="598">
        <v>0</v>
      </c>
      <c r="AB16" s="729">
        <v>0</v>
      </c>
      <c r="AC16" s="729">
        <v>0</v>
      </c>
      <c r="AD16" s="598">
        <v>0</v>
      </c>
      <c r="AE16" s="598">
        <v>0</v>
      </c>
      <c r="AF16" s="729">
        <v>0</v>
      </c>
      <c r="AG16" s="598">
        <v>0</v>
      </c>
      <c r="AH16" s="598">
        <v>0</v>
      </c>
      <c r="AI16" s="598">
        <v>0</v>
      </c>
      <c r="AJ16" s="729">
        <v>0</v>
      </c>
      <c r="AK16" s="598">
        <v>0</v>
      </c>
      <c r="AL16" s="729">
        <v>0</v>
      </c>
      <c r="AM16" s="598">
        <v>0</v>
      </c>
      <c r="AN16" s="598">
        <v>0</v>
      </c>
      <c r="AO16" s="729">
        <v>0</v>
      </c>
      <c r="AP16" s="729">
        <v>0</v>
      </c>
      <c r="AQ16" s="598">
        <v>0</v>
      </c>
      <c r="AR16" s="598">
        <v>0</v>
      </c>
      <c r="AS16" s="598">
        <v>0</v>
      </c>
      <c r="AT16" s="598">
        <v>0</v>
      </c>
      <c r="AU16" s="598">
        <v>0</v>
      </c>
      <c r="AV16" s="598">
        <v>0</v>
      </c>
      <c r="AW16" s="592">
        <f t="shared" si="1"/>
        <v>0</v>
      </c>
    </row>
    <row r="17" spans="1:49" ht="24.75" customHeight="1" x14ac:dyDescent="0.3">
      <c r="A17" s="580"/>
      <c r="B17" s="1044" t="s">
        <v>1298</v>
      </c>
      <c r="C17" s="1044"/>
      <c r="D17" s="1044"/>
      <c r="E17" s="1044"/>
      <c r="F17" s="1044"/>
      <c r="G17" s="586" t="s">
        <v>1288</v>
      </c>
      <c r="H17" s="590" t="s">
        <v>1299</v>
      </c>
      <c r="I17" s="728">
        <v>-37034.629999999997</v>
      </c>
      <c r="J17" s="725">
        <f t="shared" si="2"/>
        <v>-37034.629999999997</v>
      </c>
      <c r="K17" s="729">
        <v>0</v>
      </c>
      <c r="L17" s="729">
        <v>0</v>
      </c>
      <c r="M17" s="729">
        <v>0</v>
      </c>
      <c r="N17" s="729">
        <v>0</v>
      </c>
      <c r="O17" s="598">
        <v>0</v>
      </c>
      <c r="P17" s="598">
        <v>0</v>
      </c>
      <c r="Q17" s="598">
        <v>0</v>
      </c>
      <c r="R17" s="598">
        <v>0</v>
      </c>
      <c r="S17" s="598">
        <v>0</v>
      </c>
      <c r="T17" s="598">
        <v>0</v>
      </c>
      <c r="U17" s="598">
        <v>0</v>
      </c>
      <c r="V17" s="598">
        <v>0</v>
      </c>
      <c r="W17" s="598">
        <v>0</v>
      </c>
      <c r="X17" s="729">
        <v>0</v>
      </c>
      <c r="Y17" s="729">
        <v>0</v>
      </c>
      <c r="Z17" s="730">
        <v>0</v>
      </c>
      <c r="AA17" s="598">
        <v>0</v>
      </c>
      <c r="AB17" s="729">
        <v>0</v>
      </c>
      <c r="AC17" s="729">
        <v>0</v>
      </c>
      <c r="AD17" s="598">
        <v>0</v>
      </c>
      <c r="AE17" s="598">
        <v>0</v>
      </c>
      <c r="AF17" s="729">
        <v>0</v>
      </c>
      <c r="AG17" s="598">
        <v>0</v>
      </c>
      <c r="AH17" s="598">
        <v>0</v>
      </c>
      <c r="AI17" s="598">
        <v>0</v>
      </c>
      <c r="AJ17" s="729">
        <v>0</v>
      </c>
      <c r="AK17" s="598">
        <v>0</v>
      </c>
      <c r="AL17" s="729">
        <v>0</v>
      </c>
      <c r="AM17" s="598">
        <v>0</v>
      </c>
      <c r="AN17" s="598">
        <v>0</v>
      </c>
      <c r="AO17" s="729">
        <v>0</v>
      </c>
      <c r="AP17" s="729">
        <v>0</v>
      </c>
      <c r="AQ17" s="598">
        <v>0</v>
      </c>
      <c r="AR17" s="598">
        <v>0</v>
      </c>
      <c r="AS17" s="598">
        <v>0</v>
      </c>
      <c r="AT17" s="598">
        <v>0</v>
      </c>
      <c r="AU17" s="598">
        <v>0</v>
      </c>
      <c r="AV17" s="598">
        <v>0</v>
      </c>
      <c r="AW17" s="592">
        <f t="shared" si="1"/>
        <v>0</v>
      </c>
    </row>
    <row r="18" spans="1:49" ht="12.75" customHeight="1" x14ac:dyDescent="0.3">
      <c r="A18" s="580"/>
      <c r="B18" s="1045" t="s">
        <v>1300</v>
      </c>
      <c r="C18" s="1045"/>
      <c r="D18" s="1045"/>
      <c r="E18" s="1045"/>
      <c r="F18" s="1045"/>
      <c r="G18" s="586"/>
      <c r="H18" s="590" t="s">
        <v>1301</v>
      </c>
      <c r="I18" s="728">
        <v>197397.95</v>
      </c>
      <c r="J18" s="725">
        <f t="shared" si="2"/>
        <v>170779.78</v>
      </c>
      <c r="K18" s="729">
        <v>0</v>
      </c>
      <c r="L18" s="729">
        <v>0</v>
      </c>
      <c r="M18" s="729">
        <v>364.89</v>
      </c>
      <c r="N18" s="729">
        <v>0</v>
      </c>
      <c r="O18" s="730">
        <v>0</v>
      </c>
      <c r="P18" s="730">
        <v>0</v>
      </c>
      <c r="Q18" s="730">
        <v>393.03</v>
      </c>
      <c r="R18" s="730">
        <v>6500</v>
      </c>
      <c r="S18" s="730">
        <v>8500</v>
      </c>
      <c r="T18" s="730">
        <v>0</v>
      </c>
      <c r="U18" s="730">
        <v>0</v>
      </c>
      <c r="V18" s="730">
        <v>0</v>
      </c>
      <c r="W18" s="730">
        <v>0</v>
      </c>
      <c r="X18" s="729">
        <v>0</v>
      </c>
      <c r="Y18" s="729"/>
      <c r="Z18" s="730">
        <v>0</v>
      </c>
      <c r="AA18" s="598"/>
      <c r="AB18" s="729">
        <v>0</v>
      </c>
      <c r="AC18" s="729">
        <v>0</v>
      </c>
      <c r="AD18" s="598">
        <v>0</v>
      </c>
      <c r="AE18" s="598">
        <v>0</v>
      </c>
      <c r="AF18" s="729">
        <v>0</v>
      </c>
      <c r="AG18" s="598"/>
      <c r="AH18" s="598">
        <v>0</v>
      </c>
      <c r="AI18" s="730">
        <v>0</v>
      </c>
      <c r="AJ18" s="729">
        <v>8649.32</v>
      </c>
      <c r="AK18" s="598">
        <v>0</v>
      </c>
      <c r="AL18" s="729">
        <v>1185.5</v>
      </c>
      <c r="AM18" s="598">
        <v>0</v>
      </c>
      <c r="AN18" s="598">
        <v>0</v>
      </c>
      <c r="AO18" s="729">
        <f>206.63+68.83</f>
        <v>275.45999999999998</v>
      </c>
      <c r="AP18" s="729">
        <v>0</v>
      </c>
      <c r="AQ18" s="730">
        <f>83.33+83.33</f>
        <v>166.66</v>
      </c>
      <c r="AR18" s="730">
        <v>83.33</v>
      </c>
      <c r="AS18" s="730">
        <v>83.33</v>
      </c>
      <c r="AT18" s="730">
        <f>83.33+83.33</f>
        <v>166.66</v>
      </c>
      <c r="AU18" s="730">
        <v>83.33</v>
      </c>
      <c r="AV18" s="730">
        <f>83.33+83.33</f>
        <v>166.66</v>
      </c>
      <c r="AW18" s="592">
        <f t="shared" si="1"/>
        <v>0</v>
      </c>
    </row>
    <row r="19" spans="1:49" ht="24.75" customHeight="1" x14ac:dyDescent="0.3">
      <c r="A19" s="580"/>
      <c r="B19" s="1044" t="s">
        <v>1302</v>
      </c>
      <c r="C19" s="1044"/>
      <c r="D19" s="1044"/>
      <c r="E19" s="1044"/>
      <c r="F19" s="1044"/>
      <c r="G19" s="586" t="s">
        <v>1303</v>
      </c>
      <c r="H19" s="590">
        <v>649</v>
      </c>
      <c r="I19" s="728">
        <v>0</v>
      </c>
      <c r="J19" s="725">
        <f>I19-SUM(M19:AV19)</f>
        <v>0</v>
      </c>
      <c r="K19" s="729">
        <v>0</v>
      </c>
      <c r="L19" s="729">
        <v>0</v>
      </c>
      <c r="M19" s="729">
        <v>0</v>
      </c>
      <c r="N19" s="729">
        <v>0</v>
      </c>
      <c r="O19" s="598">
        <v>0</v>
      </c>
      <c r="P19" s="598">
        <v>0</v>
      </c>
      <c r="Q19" s="598">
        <v>0</v>
      </c>
      <c r="R19" s="598">
        <v>0</v>
      </c>
      <c r="S19" s="598">
        <v>0</v>
      </c>
      <c r="T19" s="598">
        <v>0</v>
      </c>
      <c r="U19" s="598">
        <v>0</v>
      </c>
      <c r="V19" s="598">
        <v>0</v>
      </c>
      <c r="W19" s="598">
        <v>0</v>
      </c>
      <c r="X19" s="729">
        <v>0</v>
      </c>
      <c r="Y19" s="729">
        <v>0</v>
      </c>
      <c r="Z19" s="730">
        <v>0</v>
      </c>
      <c r="AA19" s="598">
        <v>0</v>
      </c>
      <c r="AB19" s="729">
        <v>0</v>
      </c>
      <c r="AC19" s="729">
        <v>0</v>
      </c>
      <c r="AD19" s="598">
        <v>0</v>
      </c>
      <c r="AE19" s="598">
        <v>0</v>
      </c>
      <c r="AF19" s="729">
        <v>0</v>
      </c>
      <c r="AG19" s="598">
        <v>0</v>
      </c>
      <c r="AH19" s="598">
        <v>0</v>
      </c>
      <c r="AI19" s="598">
        <v>0</v>
      </c>
      <c r="AJ19" s="729">
        <v>0</v>
      </c>
      <c r="AK19" s="598">
        <v>0</v>
      </c>
      <c r="AL19" s="729">
        <v>0</v>
      </c>
      <c r="AM19" s="598">
        <v>0</v>
      </c>
      <c r="AN19" s="598">
        <v>0</v>
      </c>
      <c r="AO19" s="729">
        <v>0</v>
      </c>
      <c r="AP19" s="729">
        <v>0</v>
      </c>
      <c r="AQ19" s="598">
        <v>0</v>
      </c>
      <c r="AR19" s="598">
        <v>0</v>
      </c>
      <c r="AS19" s="598">
        <v>0</v>
      </c>
      <c r="AT19" s="598">
        <v>0</v>
      </c>
      <c r="AU19" s="598">
        <v>0</v>
      </c>
      <c r="AV19" s="598">
        <v>0</v>
      </c>
      <c r="AW19" s="592">
        <f t="shared" si="1"/>
        <v>0</v>
      </c>
    </row>
    <row r="20" spans="1:49" x14ac:dyDescent="0.3">
      <c r="A20" s="580"/>
      <c r="B20" s="601"/>
      <c r="C20" s="561"/>
      <c r="D20" s="593"/>
      <c r="E20" s="593"/>
      <c r="F20" s="593"/>
      <c r="G20" s="586"/>
      <c r="H20" s="590"/>
      <c r="I20" s="734"/>
      <c r="J20" s="735"/>
      <c r="K20" s="736"/>
      <c r="L20" s="736"/>
      <c r="M20" s="736"/>
      <c r="N20" s="736"/>
      <c r="O20" s="737"/>
      <c r="P20" s="737"/>
      <c r="Q20" s="737"/>
      <c r="R20" s="737"/>
      <c r="S20" s="737"/>
      <c r="T20" s="737"/>
      <c r="U20" s="737"/>
      <c r="V20" s="737"/>
      <c r="W20" s="737"/>
      <c r="X20" s="736"/>
      <c r="Y20" s="736"/>
      <c r="Z20" s="738"/>
      <c r="AA20" s="737"/>
      <c r="AB20" s="736"/>
      <c r="AC20" s="736"/>
      <c r="AD20" s="737"/>
      <c r="AE20" s="737"/>
      <c r="AF20" s="736"/>
      <c r="AG20" s="737"/>
      <c r="AH20" s="737"/>
      <c r="AI20" s="737"/>
      <c r="AJ20" s="736"/>
      <c r="AK20" s="737"/>
      <c r="AL20" s="736"/>
      <c r="AM20" s="737"/>
      <c r="AN20" s="737"/>
      <c r="AO20" s="736"/>
      <c r="AP20" s="736"/>
      <c r="AQ20" s="737"/>
      <c r="AR20" s="737"/>
      <c r="AS20" s="737"/>
      <c r="AT20" s="737"/>
      <c r="AU20" s="737"/>
      <c r="AV20" s="737"/>
      <c r="AW20" s="604"/>
    </row>
    <row r="21" spans="1:49" s="608" customFormat="1" x14ac:dyDescent="0.3">
      <c r="A21" s="1046" t="s">
        <v>1304</v>
      </c>
      <c r="B21" s="1046"/>
      <c r="C21" s="1046"/>
      <c r="D21" s="1046"/>
      <c r="E21" s="1046"/>
      <c r="F21" s="1046"/>
      <c r="G21" s="605" t="s">
        <v>1288</v>
      </c>
      <c r="H21" s="606">
        <v>9901</v>
      </c>
      <c r="I21" s="728">
        <f t="shared" ref="I21:AV21" si="4">I9-I14-I15-I16-I17-I18-I19</f>
        <v>-59961.550000000105</v>
      </c>
      <c r="J21" s="739">
        <f t="shared" si="4"/>
        <v>-9209.6500000008091</v>
      </c>
      <c r="K21" s="729">
        <f t="shared" si="4"/>
        <v>-24813.619999999995</v>
      </c>
      <c r="L21" s="729">
        <f t="shared" si="4"/>
        <v>-1214.45</v>
      </c>
      <c r="M21" s="729">
        <f t="shared" si="4"/>
        <v>-2523.8900000000044</v>
      </c>
      <c r="N21" s="729">
        <f t="shared" si="4"/>
        <v>53334.820000000007</v>
      </c>
      <c r="O21" s="729">
        <f t="shared" si="4"/>
        <v>-2470.3399999999992</v>
      </c>
      <c r="P21" s="729">
        <f t="shared" si="4"/>
        <v>-4755.8500000000004</v>
      </c>
      <c r="Q21" s="598">
        <f t="shared" si="4"/>
        <v>-212.43999999999653</v>
      </c>
      <c r="R21" s="729">
        <f t="shared" si="4"/>
        <v>-84.379999999989195</v>
      </c>
      <c r="S21" s="729">
        <f t="shared" si="4"/>
        <v>-5674.7900000000027</v>
      </c>
      <c r="T21" s="729">
        <f t="shared" si="4"/>
        <v>2338.0800000000004</v>
      </c>
      <c r="U21" s="729">
        <f t="shared" si="4"/>
        <v>-5891.5300000000007</v>
      </c>
      <c r="V21" s="729">
        <f t="shared" si="4"/>
        <v>-21196.820000000007</v>
      </c>
      <c r="W21" s="729">
        <f t="shared" si="4"/>
        <v>-4866.619999999999</v>
      </c>
      <c r="X21" s="729">
        <f t="shared" si="4"/>
        <v>-4.5474735088646412E-12</v>
      </c>
      <c r="Y21" s="729">
        <f t="shared" si="4"/>
        <v>2786.9199999999983</v>
      </c>
      <c r="Z21" s="729">
        <f t="shared" si="4"/>
        <v>1808.6199999999994</v>
      </c>
      <c r="AA21" s="729">
        <f t="shared" si="4"/>
        <v>-176.93999999999477</v>
      </c>
      <c r="AB21" s="729">
        <f t="shared" si="4"/>
        <v>-722.50999999999942</v>
      </c>
      <c r="AC21" s="729">
        <f t="shared" si="4"/>
        <v>-2590.7299999999959</v>
      </c>
      <c r="AD21" s="729">
        <f t="shared" si="4"/>
        <v>-1402.9499999999998</v>
      </c>
      <c r="AE21" s="729">
        <f t="shared" si="4"/>
        <v>-1819.62</v>
      </c>
      <c r="AF21" s="729">
        <f t="shared" si="4"/>
        <v>-24370.619999999981</v>
      </c>
      <c r="AG21" s="729">
        <f t="shared" si="4"/>
        <v>7.2759576141834259E-12</v>
      </c>
      <c r="AH21" s="729">
        <f t="shared" si="4"/>
        <v>-648.16000000000759</v>
      </c>
      <c r="AI21" s="729">
        <f t="shared" si="4"/>
        <v>-597.40999999998894</v>
      </c>
      <c r="AJ21" s="729">
        <f t="shared" si="4"/>
        <v>-4278.800000000002</v>
      </c>
      <c r="AK21" s="729">
        <f t="shared" si="4"/>
        <v>-5189.2200000000012</v>
      </c>
      <c r="AL21" s="729">
        <f t="shared" si="4"/>
        <v>1169.7700000000036</v>
      </c>
      <c r="AM21" s="598">
        <f t="shared" si="4"/>
        <v>-1018.380000000001</v>
      </c>
      <c r="AN21" s="598">
        <f t="shared" si="4"/>
        <v>-2646.2199999999993</v>
      </c>
      <c r="AO21" s="729">
        <f t="shared" si="4"/>
        <v>-6158.7900000000009</v>
      </c>
      <c r="AP21" s="729">
        <f t="shared" si="4"/>
        <v>266.68000000000029</v>
      </c>
      <c r="AQ21" s="598">
        <f t="shared" si="4"/>
        <v>1817.7100000000003</v>
      </c>
      <c r="AR21" s="598">
        <f t="shared" si="4"/>
        <v>469.97000000000077</v>
      </c>
      <c r="AS21" s="598">
        <f t="shared" si="4"/>
        <v>3364.0400000000022</v>
      </c>
      <c r="AT21" s="598">
        <f t="shared" si="4"/>
        <v>1974.8200000000008</v>
      </c>
      <c r="AU21" s="598">
        <f t="shared" si="4"/>
        <v>2150.7400000000011</v>
      </c>
      <c r="AV21" s="598">
        <f t="shared" si="4"/>
        <v>3091.0099999999989</v>
      </c>
      <c r="AW21" s="592">
        <f>I21-SUM(J21:AV21)</f>
        <v>6.6211214289069176E-10</v>
      </c>
    </row>
    <row r="22" spans="1:49" s="608" customFormat="1" x14ac:dyDescent="0.3">
      <c r="A22" s="609"/>
      <c r="B22" s="1041"/>
      <c r="C22" s="1041"/>
      <c r="D22" s="1041"/>
      <c r="E22" s="1041"/>
      <c r="F22" s="1041"/>
      <c r="G22" s="605"/>
      <c r="H22" s="606"/>
      <c r="I22" s="740"/>
      <c r="J22" s="741"/>
      <c r="K22" s="742"/>
      <c r="L22" s="742"/>
      <c r="M22" s="742"/>
      <c r="N22" s="742"/>
      <c r="O22" s="743"/>
      <c r="P22" s="743"/>
      <c r="Q22" s="743"/>
      <c r="R22" s="743"/>
      <c r="S22" s="743"/>
      <c r="T22" s="743"/>
      <c r="U22" s="743"/>
      <c r="V22" s="743"/>
      <c r="W22" s="743"/>
      <c r="X22" s="742"/>
      <c r="Y22" s="742"/>
      <c r="Z22" s="744"/>
      <c r="AA22" s="743"/>
      <c r="AB22" s="742"/>
      <c r="AC22" s="742"/>
      <c r="AD22" s="743"/>
      <c r="AE22" s="743"/>
      <c r="AF22" s="742"/>
      <c r="AG22" s="743"/>
      <c r="AH22" s="743"/>
      <c r="AI22" s="743"/>
      <c r="AJ22" s="742"/>
      <c r="AK22" s="743"/>
      <c r="AL22" s="742"/>
      <c r="AM22" s="743"/>
      <c r="AN22" s="743"/>
      <c r="AO22" s="742"/>
      <c r="AP22" s="742"/>
      <c r="AQ22" s="743"/>
      <c r="AR22" s="743"/>
      <c r="AS22" s="743"/>
      <c r="AT22" s="743"/>
      <c r="AU22" s="743"/>
      <c r="AV22" s="743"/>
      <c r="AW22" s="592">
        <f>I22-SUM(J22:AV22)</f>
        <v>0</v>
      </c>
    </row>
    <row r="23" spans="1:49" x14ac:dyDescent="0.3">
      <c r="A23" s="614" t="s">
        <v>1305</v>
      </c>
      <c r="B23" s="615"/>
      <c r="C23" s="615"/>
      <c r="D23" s="615"/>
      <c r="E23" s="615"/>
      <c r="F23" s="615"/>
      <c r="G23" s="581"/>
      <c r="H23" s="590">
        <v>75</v>
      </c>
      <c r="I23" s="725">
        <v>18057.560000000001</v>
      </c>
      <c r="J23" s="725">
        <f>I23-SUM(K23:AV23)</f>
        <v>18057.560000000001</v>
      </c>
      <c r="K23" s="726">
        <v>0</v>
      </c>
      <c r="L23" s="726">
        <v>0</v>
      </c>
      <c r="M23" s="726">
        <v>0</v>
      </c>
      <c r="N23" s="726">
        <v>0</v>
      </c>
      <c r="O23" s="727">
        <v>0</v>
      </c>
      <c r="P23" s="727">
        <v>0</v>
      </c>
      <c r="Q23" s="727">
        <v>0</v>
      </c>
      <c r="R23" s="727">
        <v>0</v>
      </c>
      <c r="S23" s="727">
        <v>0</v>
      </c>
      <c r="T23" s="727">
        <v>0</v>
      </c>
      <c r="U23" s="727">
        <v>0</v>
      </c>
      <c r="V23" s="727">
        <v>0</v>
      </c>
      <c r="W23" s="727">
        <v>0</v>
      </c>
      <c r="X23" s="726">
        <v>0</v>
      </c>
      <c r="Y23" s="726">
        <v>0</v>
      </c>
      <c r="Z23" s="731">
        <v>0</v>
      </c>
      <c r="AA23" s="727">
        <v>0</v>
      </c>
      <c r="AB23" s="726">
        <v>0</v>
      </c>
      <c r="AC23" s="726">
        <v>0</v>
      </c>
      <c r="AD23" s="727">
        <v>0</v>
      </c>
      <c r="AE23" s="727">
        <v>0</v>
      </c>
      <c r="AF23" s="726">
        <v>0</v>
      </c>
      <c r="AG23" s="727">
        <v>0</v>
      </c>
      <c r="AH23" s="727">
        <v>0</v>
      </c>
      <c r="AI23" s="727">
        <v>0</v>
      </c>
      <c r="AJ23" s="726">
        <v>0</v>
      </c>
      <c r="AK23" s="727">
        <v>0</v>
      </c>
      <c r="AL23" s="726">
        <v>0</v>
      </c>
      <c r="AM23" s="727">
        <v>0</v>
      </c>
      <c r="AN23" s="727">
        <v>0</v>
      </c>
      <c r="AO23" s="726">
        <v>0</v>
      </c>
      <c r="AP23" s="726">
        <v>0</v>
      </c>
      <c r="AQ23" s="727">
        <v>0</v>
      </c>
      <c r="AR23" s="727">
        <v>0</v>
      </c>
      <c r="AS23" s="727">
        <v>0</v>
      </c>
      <c r="AT23" s="727">
        <v>0</v>
      </c>
      <c r="AU23" s="727">
        <v>0</v>
      </c>
      <c r="AV23" s="727">
        <v>0</v>
      </c>
      <c r="AW23" s="638">
        <f>I23-SUM(J23:AV23)</f>
        <v>0</v>
      </c>
    </row>
    <row r="24" spans="1:49" x14ac:dyDescent="0.3">
      <c r="A24" s="614"/>
      <c r="B24" s="615"/>
      <c r="C24" s="615"/>
      <c r="D24" s="615"/>
      <c r="E24" s="615"/>
      <c r="F24" s="615"/>
      <c r="G24" s="581"/>
      <c r="H24" s="590"/>
      <c r="I24" s="740"/>
      <c r="J24" s="741"/>
      <c r="K24" s="742"/>
      <c r="L24" s="742"/>
      <c r="M24" s="742"/>
      <c r="N24" s="742"/>
      <c r="O24" s="743"/>
      <c r="P24" s="743"/>
      <c r="Q24" s="743"/>
      <c r="R24" s="743"/>
      <c r="S24" s="743"/>
      <c r="T24" s="743"/>
      <c r="U24" s="743"/>
      <c r="V24" s="743"/>
      <c r="W24" s="743"/>
      <c r="X24" s="742"/>
      <c r="Y24" s="742"/>
      <c r="Z24" s="744"/>
      <c r="AA24" s="743"/>
      <c r="AB24" s="742"/>
      <c r="AC24" s="742"/>
      <c r="AD24" s="743"/>
      <c r="AE24" s="743"/>
      <c r="AF24" s="742"/>
      <c r="AG24" s="743"/>
      <c r="AH24" s="743"/>
      <c r="AI24" s="743"/>
      <c r="AJ24" s="742"/>
      <c r="AK24" s="743"/>
      <c r="AL24" s="742"/>
      <c r="AM24" s="743"/>
      <c r="AN24" s="743"/>
      <c r="AO24" s="742"/>
      <c r="AP24" s="742"/>
      <c r="AQ24" s="743"/>
      <c r="AR24" s="743"/>
      <c r="AS24" s="743"/>
      <c r="AT24" s="743"/>
      <c r="AU24" s="743"/>
      <c r="AV24" s="743"/>
      <c r="AW24" s="638"/>
    </row>
    <row r="25" spans="1:49" x14ac:dyDescent="0.3">
      <c r="A25" s="1038" t="s">
        <v>1306</v>
      </c>
      <c r="B25" s="1038"/>
      <c r="C25" s="1038"/>
      <c r="D25" s="1038"/>
      <c r="E25" s="1038"/>
      <c r="F25" s="1038"/>
      <c r="G25" s="581"/>
      <c r="H25" s="590">
        <v>65</v>
      </c>
      <c r="I25" s="745">
        <v>131742.34</v>
      </c>
      <c r="J25" s="725">
        <f>I25-SUM(M25:AV25)</f>
        <v>131742.34</v>
      </c>
      <c r="K25" s="746">
        <v>0</v>
      </c>
      <c r="L25" s="746">
        <v>0</v>
      </c>
      <c r="M25" s="746">
        <v>0</v>
      </c>
      <c r="N25" s="746">
        <v>0</v>
      </c>
      <c r="O25" s="747">
        <v>0</v>
      </c>
      <c r="P25" s="747">
        <v>0</v>
      </c>
      <c r="Q25" s="747">
        <v>0</v>
      </c>
      <c r="R25" s="747">
        <v>0</v>
      </c>
      <c r="S25" s="747">
        <v>0</v>
      </c>
      <c r="T25" s="747">
        <v>0</v>
      </c>
      <c r="U25" s="747">
        <v>0</v>
      </c>
      <c r="V25" s="747">
        <v>0</v>
      </c>
      <c r="W25" s="747">
        <v>0</v>
      </c>
      <c r="X25" s="746">
        <v>0</v>
      </c>
      <c r="Y25" s="746">
        <v>0</v>
      </c>
      <c r="Z25" s="748">
        <v>0</v>
      </c>
      <c r="AA25" s="747">
        <v>0</v>
      </c>
      <c r="AB25" s="746">
        <v>0</v>
      </c>
      <c r="AC25" s="746">
        <v>0</v>
      </c>
      <c r="AD25" s="747">
        <v>0</v>
      </c>
      <c r="AE25" s="747">
        <v>0</v>
      </c>
      <c r="AF25" s="746">
        <v>0</v>
      </c>
      <c r="AG25" s="747">
        <v>0</v>
      </c>
      <c r="AH25" s="747">
        <v>0</v>
      </c>
      <c r="AI25" s="747">
        <v>0</v>
      </c>
      <c r="AJ25" s="746">
        <v>0</v>
      </c>
      <c r="AK25" s="747">
        <v>0</v>
      </c>
      <c r="AL25" s="746">
        <v>0</v>
      </c>
      <c r="AM25" s="747">
        <v>0</v>
      </c>
      <c r="AN25" s="747">
        <v>0</v>
      </c>
      <c r="AO25" s="746">
        <v>0</v>
      </c>
      <c r="AP25" s="746">
        <v>0</v>
      </c>
      <c r="AQ25" s="747">
        <v>0</v>
      </c>
      <c r="AR25" s="747">
        <v>0</v>
      </c>
      <c r="AS25" s="747">
        <v>0</v>
      </c>
      <c r="AT25" s="747">
        <v>0</v>
      </c>
      <c r="AU25" s="747">
        <v>0</v>
      </c>
      <c r="AV25" s="747">
        <v>0</v>
      </c>
      <c r="AW25" s="592">
        <f>I25-SUM(J25:AV25)</f>
        <v>0</v>
      </c>
    </row>
    <row r="26" spans="1:49" x14ac:dyDescent="0.3">
      <c r="A26" s="585"/>
      <c r="B26" s="588"/>
      <c r="C26" s="588"/>
      <c r="D26" s="588"/>
      <c r="E26" s="588"/>
      <c r="F26" s="588"/>
      <c r="G26" s="581"/>
      <c r="H26" s="590"/>
      <c r="I26" s="749"/>
      <c r="J26" s="750"/>
      <c r="K26" s="751"/>
      <c r="L26" s="751"/>
      <c r="M26" s="751"/>
      <c r="N26" s="751"/>
      <c r="O26" s="752"/>
      <c r="P26" s="752"/>
      <c r="Q26" s="752"/>
      <c r="R26" s="752"/>
      <c r="S26" s="752"/>
      <c r="T26" s="752"/>
      <c r="U26" s="752"/>
      <c r="V26" s="752"/>
      <c r="W26" s="752"/>
      <c r="X26" s="751"/>
      <c r="Y26" s="751"/>
      <c r="Z26" s="753"/>
      <c r="AA26" s="752"/>
      <c r="AB26" s="751"/>
      <c r="AC26" s="751"/>
      <c r="AD26" s="752"/>
      <c r="AE26" s="752"/>
      <c r="AF26" s="751"/>
      <c r="AG26" s="752"/>
      <c r="AH26" s="752"/>
      <c r="AI26" s="752"/>
      <c r="AJ26" s="751"/>
      <c r="AK26" s="752"/>
      <c r="AL26" s="751"/>
      <c r="AM26" s="752"/>
      <c r="AN26" s="752"/>
      <c r="AO26" s="751"/>
      <c r="AP26" s="751"/>
      <c r="AQ26" s="752"/>
      <c r="AR26" s="752"/>
      <c r="AS26" s="752"/>
      <c r="AT26" s="752"/>
      <c r="AU26" s="752"/>
      <c r="AV26" s="752"/>
      <c r="AW26" s="620"/>
    </row>
    <row r="27" spans="1:49" x14ac:dyDescent="0.3">
      <c r="A27" s="1039" t="s">
        <v>1307</v>
      </c>
      <c r="B27" s="1039"/>
      <c r="C27" s="1039"/>
      <c r="D27" s="1039"/>
      <c r="E27" s="1039"/>
      <c r="F27" s="1039"/>
      <c r="G27" s="621" t="s">
        <v>1288</v>
      </c>
      <c r="H27" s="590">
        <v>9902</v>
      </c>
      <c r="I27" s="728">
        <f t="shared" ref="I27:AV27" si="5">I21+I23-I25</f>
        <v>-173646.3300000001</v>
      </c>
      <c r="J27" s="739">
        <f t="shared" si="5"/>
        <v>-122894.43000000081</v>
      </c>
      <c r="K27" s="729">
        <f t="shared" si="5"/>
        <v>-24813.619999999995</v>
      </c>
      <c r="L27" s="729">
        <f t="shared" si="5"/>
        <v>-1214.45</v>
      </c>
      <c r="M27" s="729">
        <f t="shared" si="5"/>
        <v>-2523.8900000000044</v>
      </c>
      <c r="N27" s="729">
        <f t="shared" si="5"/>
        <v>53334.820000000007</v>
      </c>
      <c r="O27" s="598">
        <f t="shared" si="5"/>
        <v>-2470.3399999999992</v>
      </c>
      <c r="P27" s="598">
        <f t="shared" si="5"/>
        <v>-4755.8500000000004</v>
      </c>
      <c r="Q27" s="598">
        <f t="shared" si="5"/>
        <v>-212.43999999999653</v>
      </c>
      <c r="R27" s="598">
        <f t="shared" si="5"/>
        <v>-84.379999999989195</v>
      </c>
      <c r="S27" s="598">
        <f t="shared" si="5"/>
        <v>-5674.7900000000027</v>
      </c>
      <c r="T27" s="598">
        <f t="shared" si="5"/>
        <v>2338.0800000000004</v>
      </c>
      <c r="U27" s="598">
        <f t="shared" si="5"/>
        <v>-5891.5300000000007</v>
      </c>
      <c r="V27" s="598">
        <f t="shared" si="5"/>
        <v>-21196.820000000007</v>
      </c>
      <c r="W27" s="598">
        <f t="shared" si="5"/>
        <v>-4866.619999999999</v>
      </c>
      <c r="X27" s="729">
        <f t="shared" si="5"/>
        <v>-4.5474735088646412E-12</v>
      </c>
      <c r="Y27" s="729">
        <f t="shared" si="5"/>
        <v>2786.9199999999983</v>
      </c>
      <c r="Z27" s="730">
        <f t="shared" si="5"/>
        <v>1808.6199999999994</v>
      </c>
      <c r="AA27" s="598">
        <f t="shared" si="5"/>
        <v>-176.93999999999477</v>
      </c>
      <c r="AB27" s="729">
        <f t="shared" si="5"/>
        <v>-722.50999999999942</v>
      </c>
      <c r="AC27" s="729">
        <f t="shared" si="5"/>
        <v>-2590.7299999999959</v>
      </c>
      <c r="AD27" s="598">
        <f t="shared" si="5"/>
        <v>-1402.9499999999998</v>
      </c>
      <c r="AE27" s="598">
        <f t="shared" si="5"/>
        <v>-1819.62</v>
      </c>
      <c r="AF27" s="729">
        <f t="shared" si="5"/>
        <v>-24370.619999999981</v>
      </c>
      <c r="AG27" s="598">
        <f t="shared" si="5"/>
        <v>7.2759576141834259E-12</v>
      </c>
      <c r="AH27" s="598">
        <f t="shared" si="5"/>
        <v>-648.16000000000759</v>
      </c>
      <c r="AI27" s="598">
        <f t="shared" si="5"/>
        <v>-597.40999999998894</v>
      </c>
      <c r="AJ27" s="729">
        <f t="shared" si="5"/>
        <v>-4278.800000000002</v>
      </c>
      <c r="AK27" s="598">
        <f t="shared" si="5"/>
        <v>-5189.2200000000012</v>
      </c>
      <c r="AL27" s="729">
        <f t="shared" si="5"/>
        <v>1169.7700000000036</v>
      </c>
      <c r="AM27" s="598">
        <f t="shared" si="5"/>
        <v>-1018.380000000001</v>
      </c>
      <c r="AN27" s="598">
        <f t="shared" si="5"/>
        <v>-2646.2199999999993</v>
      </c>
      <c r="AO27" s="729">
        <f t="shared" si="5"/>
        <v>-6158.7900000000009</v>
      </c>
      <c r="AP27" s="729">
        <f t="shared" si="5"/>
        <v>266.68000000000029</v>
      </c>
      <c r="AQ27" s="598">
        <f t="shared" si="5"/>
        <v>1817.7100000000003</v>
      </c>
      <c r="AR27" s="598">
        <f t="shared" si="5"/>
        <v>469.97000000000077</v>
      </c>
      <c r="AS27" s="598">
        <f t="shared" si="5"/>
        <v>3364.0400000000022</v>
      </c>
      <c r="AT27" s="598">
        <f t="shared" si="5"/>
        <v>1974.8200000000008</v>
      </c>
      <c r="AU27" s="598">
        <f t="shared" si="5"/>
        <v>2150.7400000000011</v>
      </c>
      <c r="AV27" s="598">
        <f t="shared" si="5"/>
        <v>3091.0099999999989</v>
      </c>
      <c r="AW27" s="592">
        <f>I27-SUM(J27:AV27)</f>
        <v>7.5669959187507629E-10</v>
      </c>
    </row>
    <row r="28" spans="1:49" x14ac:dyDescent="0.3">
      <c r="A28" s="580"/>
      <c r="G28" s="581"/>
      <c r="H28" s="590"/>
      <c r="I28" s="754"/>
      <c r="J28" s="735"/>
      <c r="K28" s="736"/>
      <c r="L28" s="736"/>
      <c r="M28" s="736"/>
      <c r="N28" s="736"/>
      <c r="O28" s="737"/>
      <c r="P28" s="737"/>
      <c r="Q28" s="737"/>
      <c r="R28" s="737"/>
      <c r="S28" s="737"/>
      <c r="T28" s="737"/>
      <c r="U28" s="737"/>
      <c r="V28" s="737"/>
      <c r="W28" s="737"/>
      <c r="X28" s="736"/>
      <c r="Y28" s="736"/>
      <c r="Z28" s="738"/>
      <c r="AA28" s="737"/>
      <c r="AB28" s="736"/>
      <c r="AC28" s="736"/>
      <c r="AD28" s="737"/>
      <c r="AE28" s="737"/>
      <c r="AF28" s="736"/>
      <c r="AG28" s="737"/>
      <c r="AH28" s="737"/>
      <c r="AI28" s="737"/>
      <c r="AJ28" s="736"/>
      <c r="AK28" s="737"/>
      <c r="AL28" s="736"/>
      <c r="AM28" s="737"/>
      <c r="AN28" s="737"/>
      <c r="AO28" s="736"/>
      <c r="AP28" s="736"/>
      <c r="AQ28" s="737"/>
      <c r="AR28" s="737"/>
      <c r="AS28" s="737"/>
      <c r="AT28" s="737"/>
      <c r="AU28" s="737"/>
      <c r="AV28" s="737"/>
      <c r="AW28" s="604"/>
    </row>
    <row r="29" spans="1:49" x14ac:dyDescent="0.3">
      <c r="A29" s="1038" t="s">
        <v>1308</v>
      </c>
      <c r="B29" s="1038"/>
      <c r="C29" s="1038"/>
      <c r="D29" s="1038"/>
      <c r="E29" s="1038"/>
      <c r="F29" s="1038"/>
      <c r="G29" s="581"/>
      <c r="H29" s="590">
        <v>76</v>
      </c>
      <c r="I29" s="725">
        <v>0</v>
      </c>
      <c r="J29" s="725">
        <f>I29-SUM(K29:AV29)</f>
        <v>0</v>
      </c>
      <c r="K29" s="726">
        <v>0</v>
      </c>
      <c r="L29" s="726">
        <v>0</v>
      </c>
      <c r="M29" s="726">
        <v>0</v>
      </c>
      <c r="N29" s="726">
        <v>0</v>
      </c>
      <c r="O29" s="727">
        <v>0</v>
      </c>
      <c r="P29" s="727">
        <v>0</v>
      </c>
      <c r="Q29" s="727">
        <v>0</v>
      </c>
      <c r="R29" s="727">
        <v>0</v>
      </c>
      <c r="S29" s="727">
        <v>0</v>
      </c>
      <c r="T29" s="727">
        <v>0</v>
      </c>
      <c r="U29" s="727">
        <v>0</v>
      </c>
      <c r="V29" s="727">
        <v>0</v>
      </c>
      <c r="W29" s="727">
        <v>0</v>
      </c>
      <c r="X29" s="726">
        <v>0</v>
      </c>
      <c r="Y29" s="726">
        <v>0</v>
      </c>
      <c r="Z29" s="731">
        <v>0</v>
      </c>
      <c r="AA29" s="727">
        <v>0</v>
      </c>
      <c r="AB29" s="726">
        <v>0</v>
      </c>
      <c r="AC29" s="726">
        <v>0</v>
      </c>
      <c r="AD29" s="727">
        <v>0</v>
      </c>
      <c r="AE29" s="727">
        <v>0</v>
      </c>
      <c r="AF29" s="726">
        <v>0</v>
      </c>
      <c r="AG29" s="727">
        <v>0</v>
      </c>
      <c r="AH29" s="727">
        <v>0</v>
      </c>
      <c r="AI29" s="727">
        <v>0</v>
      </c>
      <c r="AJ29" s="726">
        <v>0</v>
      </c>
      <c r="AK29" s="727">
        <v>0</v>
      </c>
      <c r="AL29" s="726">
        <v>0</v>
      </c>
      <c r="AM29" s="727">
        <v>0</v>
      </c>
      <c r="AN29" s="727">
        <v>0</v>
      </c>
      <c r="AO29" s="726">
        <v>0</v>
      </c>
      <c r="AP29" s="726">
        <v>0</v>
      </c>
      <c r="AQ29" s="727">
        <v>0</v>
      </c>
      <c r="AR29" s="727">
        <v>0</v>
      </c>
      <c r="AS29" s="727">
        <v>0</v>
      </c>
      <c r="AT29" s="727">
        <v>0</v>
      </c>
      <c r="AU29" s="727">
        <v>0</v>
      </c>
      <c r="AV29" s="727">
        <v>0</v>
      </c>
      <c r="AW29" s="592">
        <f>I29-SUM(J29:AV29)</f>
        <v>0</v>
      </c>
    </row>
    <row r="30" spans="1:49" x14ac:dyDescent="0.3">
      <c r="A30" s="585"/>
      <c r="B30" s="588"/>
      <c r="C30" s="588"/>
      <c r="D30" s="588"/>
      <c r="E30" s="588"/>
      <c r="F30" s="588"/>
      <c r="G30" s="581"/>
      <c r="H30" s="590"/>
      <c r="I30" s="740"/>
      <c r="J30" s="741"/>
      <c r="K30" s="742"/>
      <c r="L30" s="742"/>
      <c r="M30" s="742"/>
      <c r="N30" s="742"/>
      <c r="O30" s="743"/>
      <c r="P30" s="743"/>
      <c r="Q30" s="743"/>
      <c r="R30" s="743"/>
      <c r="S30" s="743"/>
      <c r="T30" s="743"/>
      <c r="U30" s="743"/>
      <c r="V30" s="743"/>
      <c r="W30" s="743"/>
      <c r="X30" s="742"/>
      <c r="Y30" s="742"/>
      <c r="Z30" s="744"/>
      <c r="AA30" s="743"/>
      <c r="AB30" s="742"/>
      <c r="AC30" s="742"/>
      <c r="AD30" s="743"/>
      <c r="AE30" s="743"/>
      <c r="AF30" s="742"/>
      <c r="AG30" s="743"/>
      <c r="AH30" s="743"/>
      <c r="AI30" s="743"/>
      <c r="AJ30" s="742"/>
      <c r="AK30" s="743"/>
      <c r="AL30" s="742"/>
      <c r="AM30" s="743"/>
      <c r="AN30" s="743"/>
      <c r="AO30" s="742"/>
      <c r="AP30" s="742"/>
      <c r="AQ30" s="743"/>
      <c r="AR30" s="743"/>
      <c r="AS30" s="743"/>
      <c r="AT30" s="743"/>
      <c r="AU30" s="743"/>
      <c r="AV30" s="743"/>
      <c r="AW30" s="638"/>
    </row>
    <row r="31" spans="1:49" x14ac:dyDescent="0.3">
      <c r="A31" s="1038" t="s">
        <v>1309</v>
      </c>
      <c r="B31" s="1038"/>
      <c r="C31" s="1038"/>
      <c r="D31" s="1038"/>
      <c r="E31" s="1038"/>
      <c r="F31" s="1038"/>
      <c r="G31" s="581"/>
      <c r="H31" s="590">
        <v>66</v>
      </c>
      <c r="I31" s="745">
        <v>0</v>
      </c>
      <c r="J31" s="725">
        <f>I31-SUM(K31:AV31)</f>
        <v>0</v>
      </c>
      <c r="K31" s="746">
        <v>0</v>
      </c>
      <c r="L31" s="746">
        <v>0</v>
      </c>
      <c r="M31" s="746">
        <v>0</v>
      </c>
      <c r="N31" s="746">
        <v>0</v>
      </c>
      <c r="O31" s="747">
        <v>0</v>
      </c>
      <c r="P31" s="747">
        <v>0</v>
      </c>
      <c r="Q31" s="747">
        <v>0</v>
      </c>
      <c r="R31" s="747">
        <v>0</v>
      </c>
      <c r="S31" s="747">
        <v>0</v>
      </c>
      <c r="T31" s="747">
        <v>0</v>
      </c>
      <c r="U31" s="747">
        <v>0</v>
      </c>
      <c r="V31" s="747">
        <v>0</v>
      </c>
      <c r="W31" s="747">
        <v>0</v>
      </c>
      <c r="X31" s="746">
        <v>0</v>
      </c>
      <c r="Y31" s="746">
        <v>0</v>
      </c>
      <c r="Z31" s="748">
        <v>0</v>
      </c>
      <c r="AA31" s="747">
        <v>0</v>
      </c>
      <c r="AB31" s="746">
        <v>0</v>
      </c>
      <c r="AC31" s="746">
        <v>0</v>
      </c>
      <c r="AD31" s="747">
        <v>0</v>
      </c>
      <c r="AE31" s="747">
        <v>0</v>
      </c>
      <c r="AF31" s="746">
        <v>0</v>
      </c>
      <c r="AG31" s="747">
        <v>0</v>
      </c>
      <c r="AH31" s="747">
        <v>0</v>
      </c>
      <c r="AI31" s="747">
        <v>0</v>
      </c>
      <c r="AJ31" s="746">
        <v>0</v>
      </c>
      <c r="AK31" s="747">
        <v>0</v>
      </c>
      <c r="AL31" s="746">
        <v>0</v>
      </c>
      <c r="AM31" s="747">
        <v>0</v>
      </c>
      <c r="AN31" s="747">
        <v>0</v>
      </c>
      <c r="AO31" s="746">
        <v>0</v>
      </c>
      <c r="AP31" s="746">
        <v>0</v>
      </c>
      <c r="AQ31" s="747">
        <v>0</v>
      </c>
      <c r="AR31" s="747">
        <v>0</v>
      </c>
      <c r="AS31" s="747">
        <v>0</v>
      </c>
      <c r="AT31" s="747">
        <v>0</v>
      </c>
      <c r="AU31" s="747">
        <v>0</v>
      </c>
      <c r="AV31" s="747">
        <v>0</v>
      </c>
      <c r="AW31" s="592">
        <f>I31-SUM(J31:AV31)</f>
        <v>0</v>
      </c>
    </row>
    <row r="32" spans="1:49" x14ac:dyDescent="0.3">
      <c r="A32" s="585"/>
      <c r="B32" s="588"/>
      <c r="C32" s="588"/>
      <c r="D32" s="588"/>
      <c r="E32" s="588"/>
      <c r="F32" s="588"/>
      <c r="G32" s="581"/>
      <c r="H32" s="590"/>
      <c r="I32" s="754"/>
      <c r="J32" s="754"/>
      <c r="K32" s="736"/>
      <c r="L32" s="736"/>
      <c r="M32" s="736"/>
      <c r="N32" s="736"/>
      <c r="O32" s="737"/>
      <c r="P32" s="737"/>
      <c r="Q32" s="737"/>
      <c r="R32" s="737"/>
      <c r="S32" s="737"/>
      <c r="T32" s="737"/>
      <c r="U32" s="737"/>
      <c r="V32" s="737"/>
      <c r="W32" s="737"/>
      <c r="X32" s="736"/>
      <c r="Y32" s="736"/>
      <c r="Z32" s="738"/>
      <c r="AA32" s="737"/>
      <c r="AB32" s="736"/>
      <c r="AC32" s="736"/>
      <c r="AD32" s="737"/>
      <c r="AE32" s="737"/>
      <c r="AF32" s="736"/>
      <c r="AG32" s="737"/>
      <c r="AH32" s="737"/>
      <c r="AI32" s="737"/>
      <c r="AJ32" s="736"/>
      <c r="AK32" s="737"/>
      <c r="AL32" s="736"/>
      <c r="AM32" s="737"/>
      <c r="AN32" s="737"/>
      <c r="AO32" s="736"/>
      <c r="AP32" s="736"/>
      <c r="AQ32" s="737"/>
      <c r="AR32" s="737"/>
      <c r="AS32" s="737"/>
      <c r="AT32" s="737"/>
      <c r="AU32" s="737"/>
      <c r="AV32" s="737"/>
      <c r="AW32" s="592"/>
    </row>
    <row r="33" spans="1:49" x14ac:dyDescent="0.3">
      <c r="A33" s="1038" t="s">
        <v>1394</v>
      </c>
      <c r="B33" s="1038"/>
      <c r="C33" s="1038"/>
      <c r="D33" s="1038"/>
      <c r="E33" s="1038"/>
      <c r="F33" s="1038"/>
      <c r="G33" s="581"/>
      <c r="H33" s="590">
        <v>67</v>
      </c>
      <c r="I33" s="745">
        <v>0</v>
      </c>
      <c r="J33" s="725">
        <f>I33-SUM(K33:AV33)</f>
        <v>0</v>
      </c>
      <c r="K33" s="746">
        <v>0</v>
      </c>
      <c r="L33" s="746">
        <v>0</v>
      </c>
      <c r="M33" s="746">
        <v>0</v>
      </c>
      <c r="N33" s="746">
        <v>0</v>
      </c>
      <c r="O33" s="747">
        <v>0</v>
      </c>
      <c r="P33" s="747">
        <v>0</v>
      </c>
      <c r="Q33" s="747">
        <v>0</v>
      </c>
      <c r="R33" s="747">
        <v>0</v>
      </c>
      <c r="S33" s="747">
        <v>0</v>
      </c>
      <c r="T33" s="747">
        <v>0</v>
      </c>
      <c r="U33" s="747">
        <v>0</v>
      </c>
      <c r="V33" s="747">
        <v>0</v>
      </c>
      <c r="W33" s="747">
        <v>0</v>
      </c>
      <c r="X33" s="746">
        <v>0</v>
      </c>
      <c r="Y33" s="746">
        <v>0</v>
      </c>
      <c r="Z33" s="748">
        <v>0</v>
      </c>
      <c r="AA33" s="747">
        <v>0</v>
      </c>
      <c r="AB33" s="746">
        <v>0</v>
      </c>
      <c r="AC33" s="746">
        <v>0</v>
      </c>
      <c r="AD33" s="747">
        <v>0</v>
      </c>
      <c r="AE33" s="747">
        <v>0</v>
      </c>
      <c r="AF33" s="746">
        <v>0</v>
      </c>
      <c r="AG33" s="747">
        <v>0</v>
      </c>
      <c r="AH33" s="747">
        <v>0</v>
      </c>
      <c r="AI33" s="747">
        <v>0</v>
      </c>
      <c r="AJ33" s="746">
        <v>0</v>
      </c>
      <c r="AK33" s="747">
        <v>0</v>
      </c>
      <c r="AL33" s="746">
        <v>0</v>
      </c>
      <c r="AM33" s="747">
        <v>0</v>
      </c>
      <c r="AN33" s="747">
        <v>0</v>
      </c>
      <c r="AO33" s="746">
        <v>0</v>
      </c>
      <c r="AP33" s="746">
        <v>0</v>
      </c>
      <c r="AQ33" s="747">
        <v>0</v>
      </c>
      <c r="AR33" s="747">
        <v>0</v>
      </c>
      <c r="AS33" s="747">
        <v>0</v>
      </c>
      <c r="AT33" s="747">
        <v>0</v>
      </c>
      <c r="AU33" s="747">
        <v>0</v>
      </c>
      <c r="AV33" s="747">
        <v>0</v>
      </c>
      <c r="AW33" s="592">
        <f>I33-SUM(J33:AV33)</f>
        <v>0</v>
      </c>
    </row>
    <row r="34" spans="1:49" x14ac:dyDescent="0.3">
      <c r="A34" s="580"/>
      <c r="G34" s="581"/>
      <c r="H34" s="590"/>
      <c r="I34" s="754"/>
      <c r="J34" s="735"/>
      <c r="K34" s="736"/>
      <c r="L34" s="736"/>
      <c r="M34" s="736"/>
      <c r="N34" s="736"/>
      <c r="O34" s="737"/>
      <c r="P34" s="737"/>
      <c r="Q34" s="737"/>
      <c r="R34" s="737"/>
      <c r="S34" s="737"/>
      <c r="T34" s="737"/>
      <c r="U34" s="737"/>
      <c r="V34" s="737"/>
      <c r="W34" s="737"/>
      <c r="X34" s="736"/>
      <c r="Y34" s="736"/>
      <c r="Z34" s="738"/>
      <c r="AA34" s="737"/>
      <c r="AB34" s="736"/>
      <c r="AC34" s="736"/>
      <c r="AD34" s="737"/>
      <c r="AE34" s="737"/>
      <c r="AF34" s="736"/>
      <c r="AG34" s="737"/>
      <c r="AH34" s="737"/>
      <c r="AI34" s="737"/>
      <c r="AJ34" s="736"/>
      <c r="AK34" s="737"/>
      <c r="AL34" s="736"/>
      <c r="AM34" s="737"/>
      <c r="AN34" s="737"/>
      <c r="AO34" s="736"/>
      <c r="AP34" s="736"/>
      <c r="AQ34" s="737"/>
      <c r="AR34" s="737"/>
      <c r="AS34" s="737"/>
      <c r="AT34" s="737"/>
      <c r="AU34" s="737"/>
      <c r="AV34" s="737"/>
      <c r="AW34" s="604"/>
    </row>
    <row r="35" spans="1:49" s="608" customFormat="1" x14ac:dyDescent="0.3">
      <c r="A35" s="1040" t="s">
        <v>1395</v>
      </c>
      <c r="B35" s="1040"/>
      <c r="C35" s="1040"/>
      <c r="D35" s="1040"/>
      <c r="E35" s="1040"/>
      <c r="F35" s="1040"/>
      <c r="G35" s="622" t="s">
        <v>1288</v>
      </c>
      <c r="H35" s="606">
        <v>9904</v>
      </c>
      <c r="I35" s="728">
        <f>I27+I29-I31-I33</f>
        <v>-173646.3300000001</v>
      </c>
      <c r="J35" s="739">
        <f>J27+J29-J31-J33</f>
        <v>-122894.43000000081</v>
      </c>
      <c r="K35" s="729">
        <f t="shared" ref="K35:AV35" si="6">K27+K29-K31</f>
        <v>-24813.619999999995</v>
      </c>
      <c r="L35" s="729">
        <f t="shared" si="6"/>
        <v>-1214.45</v>
      </c>
      <c r="M35" s="729">
        <f t="shared" si="6"/>
        <v>-2523.8900000000044</v>
      </c>
      <c r="N35" s="729">
        <f t="shared" si="6"/>
        <v>53334.820000000007</v>
      </c>
      <c r="O35" s="598">
        <f t="shared" si="6"/>
        <v>-2470.3399999999992</v>
      </c>
      <c r="P35" s="598">
        <f t="shared" si="6"/>
        <v>-4755.8500000000004</v>
      </c>
      <c r="Q35" s="598">
        <f t="shared" si="6"/>
        <v>-212.43999999999653</v>
      </c>
      <c r="R35" s="598">
        <f t="shared" si="6"/>
        <v>-84.379999999989195</v>
      </c>
      <c r="S35" s="598">
        <f t="shared" si="6"/>
        <v>-5674.7900000000027</v>
      </c>
      <c r="T35" s="598">
        <f t="shared" si="6"/>
        <v>2338.0800000000004</v>
      </c>
      <c r="U35" s="598">
        <f t="shared" si="6"/>
        <v>-5891.5300000000007</v>
      </c>
      <c r="V35" s="598">
        <f t="shared" si="6"/>
        <v>-21196.820000000007</v>
      </c>
      <c r="W35" s="598">
        <f t="shared" si="6"/>
        <v>-4866.619999999999</v>
      </c>
      <c r="X35" s="729">
        <f t="shared" si="6"/>
        <v>-4.5474735088646412E-12</v>
      </c>
      <c r="Y35" s="729">
        <f t="shared" si="6"/>
        <v>2786.9199999999983</v>
      </c>
      <c r="Z35" s="730">
        <f t="shared" si="6"/>
        <v>1808.6199999999994</v>
      </c>
      <c r="AA35" s="598">
        <f t="shared" si="6"/>
        <v>-176.93999999999477</v>
      </c>
      <c r="AB35" s="729">
        <f t="shared" si="6"/>
        <v>-722.50999999999942</v>
      </c>
      <c r="AC35" s="729">
        <f t="shared" si="6"/>
        <v>-2590.7299999999959</v>
      </c>
      <c r="AD35" s="598">
        <f t="shared" si="6"/>
        <v>-1402.9499999999998</v>
      </c>
      <c r="AE35" s="598">
        <f t="shared" si="6"/>
        <v>-1819.62</v>
      </c>
      <c r="AF35" s="729">
        <f t="shared" si="6"/>
        <v>-24370.619999999981</v>
      </c>
      <c r="AG35" s="598">
        <f t="shared" si="6"/>
        <v>7.2759576141834259E-12</v>
      </c>
      <c r="AH35" s="598">
        <f t="shared" si="6"/>
        <v>-648.16000000000759</v>
      </c>
      <c r="AI35" s="598">
        <f t="shared" si="6"/>
        <v>-597.40999999998894</v>
      </c>
      <c r="AJ35" s="729">
        <f t="shared" si="6"/>
        <v>-4278.800000000002</v>
      </c>
      <c r="AK35" s="598">
        <f t="shared" si="6"/>
        <v>-5189.2200000000012</v>
      </c>
      <c r="AL35" s="729">
        <f t="shared" si="6"/>
        <v>1169.7700000000036</v>
      </c>
      <c r="AM35" s="598">
        <f t="shared" si="6"/>
        <v>-1018.380000000001</v>
      </c>
      <c r="AN35" s="598">
        <f t="shared" si="6"/>
        <v>-2646.2199999999993</v>
      </c>
      <c r="AO35" s="729">
        <f t="shared" si="6"/>
        <v>-6158.7900000000009</v>
      </c>
      <c r="AP35" s="729">
        <f t="shared" si="6"/>
        <v>266.68000000000029</v>
      </c>
      <c r="AQ35" s="598">
        <f t="shared" si="6"/>
        <v>1817.7100000000003</v>
      </c>
      <c r="AR35" s="598">
        <f t="shared" si="6"/>
        <v>469.97000000000077</v>
      </c>
      <c r="AS35" s="598">
        <f t="shared" si="6"/>
        <v>3364.0400000000022</v>
      </c>
      <c r="AT35" s="598">
        <f t="shared" si="6"/>
        <v>1974.8200000000008</v>
      </c>
      <c r="AU35" s="598">
        <f t="shared" si="6"/>
        <v>2150.7400000000011</v>
      </c>
      <c r="AV35" s="598">
        <f t="shared" si="6"/>
        <v>3091.0099999999989</v>
      </c>
      <c r="AW35" s="592">
        <f>I35-SUM(J35:AV35)</f>
        <v>7.5669959187507629E-10</v>
      </c>
    </row>
    <row r="36" spans="1:49" ht="8.25" customHeight="1" thickBot="1" x14ac:dyDescent="0.35">
      <c r="A36" s="623"/>
      <c r="B36" s="624"/>
      <c r="C36" s="624"/>
      <c r="D36" s="624"/>
      <c r="E36" s="624"/>
      <c r="F36" s="624"/>
      <c r="G36" s="625"/>
      <c r="H36" s="626"/>
      <c r="I36" s="755"/>
      <c r="J36" s="756"/>
      <c r="K36" s="757"/>
      <c r="L36" s="757"/>
      <c r="M36" s="757"/>
      <c r="N36" s="757"/>
      <c r="O36" s="758"/>
      <c r="P36" s="758"/>
      <c r="Q36" s="758"/>
      <c r="R36" s="758"/>
      <c r="S36" s="758"/>
      <c r="T36" s="758"/>
      <c r="U36" s="758"/>
      <c r="V36" s="758"/>
      <c r="W36" s="758"/>
      <c r="X36" s="757"/>
      <c r="Y36" s="757"/>
      <c r="Z36" s="759"/>
      <c r="AA36" s="758"/>
      <c r="AB36" s="757"/>
      <c r="AC36" s="757"/>
      <c r="AD36" s="758"/>
      <c r="AE36" s="758"/>
      <c r="AF36" s="757"/>
      <c r="AG36" s="758"/>
      <c r="AH36" s="758"/>
      <c r="AI36" s="758"/>
      <c r="AJ36" s="757"/>
      <c r="AK36" s="758"/>
      <c r="AL36" s="757"/>
      <c r="AM36" s="758"/>
      <c r="AN36" s="758"/>
      <c r="AO36" s="757"/>
      <c r="AP36" s="757"/>
      <c r="AQ36" s="758"/>
      <c r="AR36" s="758"/>
      <c r="AS36" s="758"/>
      <c r="AT36" s="758"/>
      <c r="AU36" s="758"/>
      <c r="AV36" s="758"/>
      <c r="AW36" s="629"/>
    </row>
    <row r="37" spans="1:49" x14ac:dyDescent="0.3">
      <c r="G37" s="581"/>
      <c r="H37" s="760"/>
      <c r="I37" s="761"/>
      <c r="J37" s="761"/>
      <c r="K37" s="762"/>
      <c r="L37" s="762"/>
      <c r="M37" s="762"/>
      <c r="N37" s="762"/>
      <c r="O37" s="763"/>
      <c r="P37" s="763"/>
      <c r="Q37" s="763"/>
      <c r="R37" s="763"/>
      <c r="S37" s="763"/>
      <c r="T37" s="763"/>
      <c r="U37" s="763"/>
      <c r="V37" s="763"/>
      <c r="W37" s="763"/>
      <c r="X37" s="762"/>
      <c r="Y37" s="762"/>
      <c r="Z37" s="764"/>
      <c r="AA37" s="763"/>
      <c r="AB37" s="762"/>
      <c r="AC37" s="762"/>
      <c r="AD37" s="763"/>
      <c r="AE37" s="763"/>
      <c r="AF37" s="762"/>
      <c r="AG37" s="763"/>
      <c r="AH37" s="763"/>
      <c r="AI37" s="763"/>
      <c r="AJ37" s="762"/>
      <c r="AK37" s="763"/>
      <c r="AL37" s="762"/>
      <c r="AM37" s="763"/>
      <c r="AN37" s="763"/>
      <c r="AO37" s="762"/>
      <c r="AP37" s="762"/>
      <c r="AQ37" s="763"/>
      <c r="AR37" s="763"/>
      <c r="AS37" s="763"/>
      <c r="AT37" s="763"/>
      <c r="AU37" s="763"/>
      <c r="AV37" s="763"/>
      <c r="AW37" s="765"/>
    </row>
    <row r="38" spans="1:49" x14ac:dyDescent="0.3">
      <c r="A38" s="1038" t="s">
        <v>1396</v>
      </c>
      <c r="B38" s="1038"/>
      <c r="C38" s="1038"/>
      <c r="D38" s="1038"/>
      <c r="E38" s="1038"/>
      <c r="F38" s="1038"/>
      <c r="G38" s="581"/>
      <c r="H38" s="590">
        <v>69</v>
      </c>
      <c r="I38" s="745">
        <v>0</v>
      </c>
      <c r="J38" s="725">
        <f>I38-SUM(K38:AV38)</f>
        <v>0</v>
      </c>
      <c r="K38" s="746">
        <v>0</v>
      </c>
      <c r="L38" s="746">
        <v>0</v>
      </c>
      <c r="M38" s="746">
        <v>0</v>
      </c>
      <c r="N38" s="746">
        <v>0</v>
      </c>
      <c r="O38" s="747">
        <v>0</v>
      </c>
      <c r="P38" s="747">
        <v>0</v>
      </c>
      <c r="Q38" s="747">
        <v>0</v>
      </c>
      <c r="R38" s="747">
        <v>0</v>
      </c>
      <c r="S38" s="747">
        <v>0</v>
      </c>
      <c r="T38" s="747">
        <v>0</v>
      </c>
      <c r="U38" s="747">
        <v>0</v>
      </c>
      <c r="V38" s="747">
        <v>0</v>
      </c>
      <c r="W38" s="747">
        <v>0</v>
      </c>
      <c r="X38" s="746">
        <v>0</v>
      </c>
      <c r="Y38" s="746">
        <v>0</v>
      </c>
      <c r="Z38" s="748">
        <v>0</v>
      </c>
      <c r="AA38" s="747">
        <v>0</v>
      </c>
      <c r="AB38" s="746">
        <v>0</v>
      </c>
      <c r="AC38" s="746">
        <v>0</v>
      </c>
      <c r="AD38" s="747">
        <v>0</v>
      </c>
      <c r="AE38" s="747">
        <v>0</v>
      </c>
      <c r="AF38" s="746">
        <v>0</v>
      </c>
      <c r="AG38" s="747">
        <v>0</v>
      </c>
      <c r="AH38" s="747">
        <v>0</v>
      </c>
      <c r="AI38" s="747">
        <v>0</v>
      </c>
      <c r="AJ38" s="746">
        <v>0</v>
      </c>
      <c r="AK38" s="747">
        <v>0</v>
      </c>
      <c r="AL38" s="746">
        <v>0</v>
      </c>
      <c r="AM38" s="747">
        <v>0</v>
      </c>
      <c r="AN38" s="747">
        <v>0</v>
      </c>
      <c r="AO38" s="746">
        <v>0</v>
      </c>
      <c r="AP38" s="746">
        <v>0</v>
      </c>
      <c r="AQ38" s="747">
        <v>0</v>
      </c>
      <c r="AR38" s="747">
        <v>0</v>
      </c>
      <c r="AS38" s="747">
        <v>0</v>
      </c>
      <c r="AT38" s="747">
        <v>0</v>
      </c>
      <c r="AU38" s="747">
        <v>0</v>
      </c>
      <c r="AV38" s="747">
        <v>0</v>
      </c>
      <c r="AW38" s="592">
        <f>I38-SUM(J38:AV38)</f>
        <v>0</v>
      </c>
    </row>
    <row r="39" spans="1:49" x14ac:dyDescent="0.3">
      <c r="A39" s="585"/>
      <c r="B39" s="588"/>
      <c r="C39" s="588"/>
      <c r="D39" s="588"/>
      <c r="E39" s="588"/>
      <c r="F39" s="588"/>
      <c r="G39" s="581"/>
      <c r="H39" s="590"/>
      <c r="I39" s="766"/>
      <c r="J39" s="767"/>
      <c r="K39" s="736"/>
      <c r="L39" s="736"/>
      <c r="M39" s="736"/>
      <c r="N39" s="736"/>
      <c r="O39" s="737"/>
      <c r="P39" s="737"/>
      <c r="Q39" s="737"/>
      <c r="R39" s="737"/>
      <c r="S39" s="737"/>
      <c r="T39" s="737"/>
      <c r="U39" s="737"/>
      <c r="V39" s="737"/>
      <c r="W39" s="737"/>
      <c r="X39" s="736"/>
      <c r="Y39" s="736"/>
      <c r="Z39" s="738"/>
      <c r="AA39" s="737"/>
      <c r="AB39" s="736"/>
      <c r="AC39" s="736"/>
      <c r="AD39" s="737"/>
      <c r="AE39" s="737"/>
      <c r="AF39" s="736"/>
      <c r="AG39" s="737"/>
      <c r="AH39" s="737"/>
      <c r="AI39" s="737"/>
      <c r="AJ39" s="736"/>
      <c r="AK39" s="737"/>
      <c r="AL39" s="736"/>
      <c r="AM39" s="737"/>
      <c r="AN39" s="737"/>
      <c r="AO39" s="736"/>
      <c r="AP39" s="736"/>
      <c r="AQ39" s="737"/>
      <c r="AR39" s="737"/>
      <c r="AS39" s="737"/>
      <c r="AT39" s="737"/>
      <c r="AU39" s="737"/>
      <c r="AV39" s="737"/>
      <c r="AW39" s="592"/>
    </row>
    <row r="40" spans="1:49" x14ac:dyDescent="0.3">
      <c r="A40" s="1038" t="s">
        <v>1397</v>
      </c>
      <c r="B40" s="1038"/>
      <c r="C40" s="1038"/>
      <c r="D40" s="1038"/>
      <c r="E40" s="1038"/>
      <c r="F40" s="1038"/>
      <c r="G40" s="581"/>
      <c r="H40" s="590">
        <v>79</v>
      </c>
      <c r="I40" s="745">
        <v>181655.29</v>
      </c>
      <c r="J40" s="725">
        <f>I40-SUM(K40:AV40)</f>
        <v>181655.29</v>
      </c>
      <c r="K40" s="746">
        <v>0</v>
      </c>
      <c r="L40" s="746">
        <v>0</v>
      </c>
      <c r="M40" s="746">
        <v>0</v>
      </c>
      <c r="N40" s="746">
        <v>0</v>
      </c>
      <c r="O40" s="747">
        <v>0</v>
      </c>
      <c r="P40" s="747">
        <v>0</v>
      </c>
      <c r="Q40" s="747">
        <v>0</v>
      </c>
      <c r="R40" s="747">
        <v>0</v>
      </c>
      <c r="S40" s="747">
        <v>0</v>
      </c>
      <c r="T40" s="747">
        <v>0</v>
      </c>
      <c r="U40" s="747">
        <v>0</v>
      </c>
      <c r="V40" s="747">
        <v>0</v>
      </c>
      <c r="W40" s="747">
        <v>0</v>
      </c>
      <c r="X40" s="746">
        <v>0</v>
      </c>
      <c r="Y40" s="746">
        <v>0</v>
      </c>
      <c r="Z40" s="748">
        <v>0</v>
      </c>
      <c r="AA40" s="747">
        <v>0</v>
      </c>
      <c r="AB40" s="746">
        <v>0</v>
      </c>
      <c r="AC40" s="746">
        <v>0</v>
      </c>
      <c r="AD40" s="747">
        <v>0</v>
      </c>
      <c r="AE40" s="747">
        <v>0</v>
      </c>
      <c r="AF40" s="746">
        <v>0</v>
      </c>
      <c r="AG40" s="747">
        <v>0</v>
      </c>
      <c r="AH40" s="747">
        <v>0</v>
      </c>
      <c r="AI40" s="747">
        <v>0</v>
      </c>
      <c r="AJ40" s="746">
        <v>0</v>
      </c>
      <c r="AK40" s="747">
        <v>0</v>
      </c>
      <c r="AL40" s="746">
        <v>0</v>
      </c>
      <c r="AM40" s="747">
        <v>0</v>
      </c>
      <c r="AN40" s="747">
        <v>0</v>
      </c>
      <c r="AO40" s="746">
        <v>0</v>
      </c>
      <c r="AP40" s="746">
        <v>0</v>
      </c>
      <c r="AQ40" s="747">
        <v>0</v>
      </c>
      <c r="AR40" s="747">
        <v>0</v>
      </c>
      <c r="AS40" s="747">
        <v>0</v>
      </c>
      <c r="AT40" s="747">
        <v>0</v>
      </c>
      <c r="AU40" s="747">
        <v>0</v>
      </c>
      <c r="AV40" s="747">
        <v>0</v>
      </c>
      <c r="AW40" s="592">
        <f>I40-SUM(J40:AV40)</f>
        <v>0</v>
      </c>
    </row>
    <row r="41" spans="1:49" x14ac:dyDescent="0.3">
      <c r="A41" s="580"/>
      <c r="G41" s="581"/>
      <c r="H41" s="590"/>
      <c r="I41" s="768"/>
      <c r="J41" s="735"/>
      <c r="K41" s="736"/>
      <c r="L41" s="736"/>
      <c r="M41" s="736"/>
      <c r="N41" s="736"/>
      <c r="O41" s="737"/>
      <c r="P41" s="737"/>
      <c r="Q41" s="737"/>
      <c r="R41" s="737"/>
      <c r="S41" s="737"/>
      <c r="T41" s="737"/>
      <c r="U41" s="737"/>
      <c r="V41" s="737"/>
      <c r="W41" s="737"/>
      <c r="X41" s="736"/>
      <c r="Y41" s="736"/>
      <c r="Z41" s="738"/>
      <c r="AA41" s="737"/>
      <c r="AB41" s="736"/>
      <c r="AC41" s="736"/>
      <c r="AD41" s="737"/>
      <c r="AE41" s="737"/>
      <c r="AF41" s="736"/>
      <c r="AG41" s="737"/>
      <c r="AH41" s="737"/>
      <c r="AI41" s="737"/>
      <c r="AJ41" s="736"/>
      <c r="AK41" s="737"/>
      <c r="AL41" s="736"/>
      <c r="AM41" s="737"/>
      <c r="AN41" s="737"/>
      <c r="AO41" s="736"/>
      <c r="AP41" s="736"/>
      <c r="AQ41" s="737"/>
      <c r="AR41" s="737"/>
      <c r="AS41" s="737"/>
      <c r="AT41" s="737"/>
      <c r="AU41" s="737"/>
      <c r="AV41" s="737"/>
      <c r="AW41" s="604"/>
    </row>
    <row r="42" spans="1:49" x14ac:dyDescent="0.3">
      <c r="A42" s="1040" t="s">
        <v>1398</v>
      </c>
      <c r="B42" s="1040"/>
      <c r="C42" s="1040"/>
      <c r="D42" s="1040"/>
      <c r="E42" s="1040"/>
      <c r="F42" s="1040"/>
      <c r="G42" s="622"/>
      <c r="H42" s="606"/>
      <c r="I42" s="769">
        <f>I35-I38+I40</f>
        <v>8008.9599999999045</v>
      </c>
      <c r="J42" s="728">
        <f>J35-J38+J40</f>
        <v>58760.8599999992</v>
      </c>
      <c r="K42" s="729">
        <f t="shared" ref="K42:AV42" si="7">K35</f>
        <v>-24813.619999999995</v>
      </c>
      <c r="L42" s="729">
        <f t="shared" si="7"/>
        <v>-1214.45</v>
      </c>
      <c r="M42" s="729">
        <f t="shared" si="7"/>
        <v>-2523.8900000000044</v>
      </c>
      <c r="N42" s="729">
        <f t="shared" si="7"/>
        <v>53334.820000000007</v>
      </c>
      <c r="O42" s="598">
        <f t="shared" si="7"/>
        <v>-2470.3399999999992</v>
      </c>
      <c r="P42" s="598">
        <f t="shared" si="7"/>
        <v>-4755.8500000000004</v>
      </c>
      <c r="Q42" s="598">
        <f t="shared" si="7"/>
        <v>-212.43999999999653</v>
      </c>
      <c r="R42" s="598">
        <f t="shared" si="7"/>
        <v>-84.379999999989195</v>
      </c>
      <c r="S42" s="598">
        <f t="shared" si="7"/>
        <v>-5674.7900000000027</v>
      </c>
      <c r="T42" s="598">
        <f t="shared" si="7"/>
        <v>2338.0800000000004</v>
      </c>
      <c r="U42" s="598">
        <f t="shared" si="7"/>
        <v>-5891.5300000000007</v>
      </c>
      <c r="V42" s="598">
        <f t="shared" si="7"/>
        <v>-21196.820000000007</v>
      </c>
      <c r="W42" s="598">
        <f t="shared" si="7"/>
        <v>-4866.619999999999</v>
      </c>
      <c r="X42" s="729">
        <f t="shared" si="7"/>
        <v>-4.5474735088646412E-12</v>
      </c>
      <c r="Y42" s="729">
        <f t="shared" si="7"/>
        <v>2786.9199999999983</v>
      </c>
      <c r="Z42" s="730">
        <f t="shared" si="7"/>
        <v>1808.6199999999994</v>
      </c>
      <c r="AA42" s="598">
        <f t="shared" si="7"/>
        <v>-176.93999999999477</v>
      </c>
      <c r="AB42" s="729">
        <f t="shared" si="7"/>
        <v>-722.50999999999942</v>
      </c>
      <c r="AC42" s="729">
        <f t="shared" si="7"/>
        <v>-2590.7299999999959</v>
      </c>
      <c r="AD42" s="598">
        <f t="shared" si="7"/>
        <v>-1402.9499999999998</v>
      </c>
      <c r="AE42" s="598">
        <f t="shared" si="7"/>
        <v>-1819.62</v>
      </c>
      <c r="AF42" s="729">
        <f t="shared" si="7"/>
        <v>-24370.619999999981</v>
      </c>
      <c r="AG42" s="598">
        <f t="shared" si="7"/>
        <v>7.2759576141834259E-12</v>
      </c>
      <c r="AH42" s="598">
        <f t="shared" si="7"/>
        <v>-648.16000000000759</v>
      </c>
      <c r="AI42" s="598">
        <f t="shared" si="7"/>
        <v>-597.40999999998894</v>
      </c>
      <c r="AJ42" s="729">
        <f t="shared" si="7"/>
        <v>-4278.800000000002</v>
      </c>
      <c r="AK42" s="598">
        <f t="shared" si="7"/>
        <v>-5189.2200000000012</v>
      </c>
      <c r="AL42" s="729">
        <f t="shared" si="7"/>
        <v>1169.7700000000036</v>
      </c>
      <c r="AM42" s="598">
        <f t="shared" si="7"/>
        <v>-1018.380000000001</v>
      </c>
      <c r="AN42" s="598">
        <f t="shared" si="7"/>
        <v>-2646.2199999999993</v>
      </c>
      <c r="AO42" s="729">
        <f t="shared" si="7"/>
        <v>-6158.7900000000009</v>
      </c>
      <c r="AP42" s="729">
        <f t="shared" si="7"/>
        <v>266.68000000000029</v>
      </c>
      <c r="AQ42" s="598">
        <f t="shared" si="7"/>
        <v>1817.7100000000003</v>
      </c>
      <c r="AR42" s="598">
        <f t="shared" si="7"/>
        <v>469.97000000000077</v>
      </c>
      <c r="AS42" s="598">
        <f t="shared" si="7"/>
        <v>3364.0400000000022</v>
      </c>
      <c r="AT42" s="598">
        <f t="shared" si="7"/>
        <v>1974.8200000000008</v>
      </c>
      <c r="AU42" s="598">
        <f t="shared" si="7"/>
        <v>2150.7400000000011</v>
      </c>
      <c r="AV42" s="598">
        <f t="shared" si="7"/>
        <v>3091.0099999999989</v>
      </c>
      <c r="AW42" s="592">
        <f>I42-SUM(J42:AV42)</f>
        <v>6.5847416408360004E-10</v>
      </c>
    </row>
    <row r="43" spans="1:49" ht="15" thickBot="1" x14ac:dyDescent="0.35">
      <c r="A43" s="623"/>
      <c r="B43" s="624"/>
      <c r="C43" s="624"/>
      <c r="D43" s="624"/>
      <c r="E43" s="624"/>
      <c r="F43" s="624"/>
      <c r="G43" s="625"/>
      <c r="H43" s="626"/>
      <c r="I43" s="770"/>
      <c r="J43" s="758"/>
      <c r="K43" s="757"/>
      <c r="L43" s="757"/>
      <c r="M43" s="757"/>
      <c r="N43" s="757"/>
      <c r="O43" s="758"/>
      <c r="P43" s="758"/>
      <c r="Q43" s="758"/>
      <c r="R43" s="758"/>
      <c r="S43" s="758"/>
      <c r="T43" s="758"/>
      <c r="U43" s="758"/>
      <c r="V43" s="758"/>
      <c r="W43" s="758"/>
      <c r="X43" s="757"/>
      <c r="Y43" s="757"/>
      <c r="Z43" s="759"/>
      <c r="AA43" s="758"/>
      <c r="AB43" s="757"/>
      <c r="AC43" s="757"/>
      <c r="AD43" s="758"/>
      <c r="AE43" s="758"/>
      <c r="AF43" s="757"/>
      <c r="AG43" s="758"/>
      <c r="AH43" s="758"/>
      <c r="AI43" s="758"/>
      <c r="AJ43" s="757"/>
      <c r="AK43" s="758"/>
      <c r="AL43" s="757"/>
      <c r="AM43" s="758"/>
      <c r="AN43" s="758"/>
      <c r="AO43" s="757"/>
      <c r="AP43" s="757"/>
      <c r="AQ43" s="758"/>
      <c r="AR43" s="758"/>
      <c r="AS43" s="758"/>
      <c r="AT43" s="758"/>
      <c r="AU43" s="758"/>
      <c r="AV43" s="758"/>
      <c r="AW43" s="629"/>
    </row>
    <row r="44" spans="1:49" x14ac:dyDescent="0.3">
      <c r="I44" s="771"/>
      <c r="J44" s="771"/>
      <c r="K44" s="772"/>
      <c r="L44" s="772"/>
      <c r="M44" s="772"/>
      <c r="N44" s="772"/>
      <c r="O44" s="771"/>
      <c r="P44" s="771"/>
      <c r="Q44" s="771"/>
      <c r="R44" s="771"/>
      <c r="S44" s="771"/>
      <c r="T44" s="771"/>
      <c r="U44" s="771"/>
      <c r="V44" s="771"/>
      <c r="W44" s="771"/>
      <c r="X44" s="772"/>
      <c r="Y44" s="771"/>
      <c r="Z44" s="773"/>
      <c r="AA44" s="771"/>
      <c r="AB44" s="771"/>
      <c r="AC44" s="772"/>
      <c r="AD44" s="771"/>
      <c r="AE44" s="771"/>
      <c r="AF44" s="772"/>
      <c r="AG44" s="771"/>
      <c r="AH44" s="771"/>
      <c r="AI44" s="771"/>
      <c r="AJ44" s="772"/>
      <c r="AK44" s="771"/>
      <c r="AL44" s="772"/>
      <c r="AM44" s="771"/>
      <c r="AN44" s="771"/>
      <c r="AO44" s="772"/>
      <c r="AP44" s="771"/>
      <c r="AQ44" s="771"/>
      <c r="AR44" s="771"/>
      <c r="AS44" s="771"/>
      <c r="AT44" s="771"/>
      <c r="AU44" s="771"/>
      <c r="AV44" s="771"/>
    </row>
    <row r="45" spans="1:49" x14ac:dyDescent="0.3">
      <c r="Z45" s="706"/>
      <c r="AL45" s="774" t="s">
        <v>619</v>
      </c>
    </row>
    <row r="46" spans="1:49" x14ac:dyDescent="0.3">
      <c r="Z46" s="706"/>
    </row>
    <row r="47" spans="1:49" x14ac:dyDescent="0.3">
      <c r="Z47" s="706"/>
    </row>
    <row r="48" spans="1:49" x14ac:dyDescent="0.3">
      <c r="Z48" s="706"/>
    </row>
    <row r="49" spans="26:26" x14ac:dyDescent="0.3">
      <c r="Z49" s="706"/>
    </row>
    <row r="50" spans="26:26" x14ac:dyDescent="0.3">
      <c r="Z50" s="706"/>
    </row>
    <row r="51" spans="26:26" x14ac:dyDescent="0.3">
      <c r="Z51" s="706"/>
    </row>
    <row r="52" spans="26:26" x14ac:dyDescent="0.3">
      <c r="Z52" s="706"/>
    </row>
    <row r="53" spans="26:26" x14ac:dyDescent="0.3">
      <c r="Z53" s="706"/>
    </row>
    <row r="54" spans="26:26" x14ac:dyDescent="0.3">
      <c r="Z54" s="706"/>
    </row>
    <row r="55" spans="26:26" x14ac:dyDescent="0.3">
      <c r="Z55" s="706"/>
    </row>
    <row r="56" spans="26:26" x14ac:dyDescent="0.3">
      <c r="Z56" s="706"/>
    </row>
    <row r="57" spans="26:26" x14ac:dyDescent="0.3">
      <c r="Z57" s="706"/>
    </row>
    <row r="58" spans="26:26" x14ac:dyDescent="0.3">
      <c r="Z58" s="706"/>
    </row>
    <row r="59" spans="26:26" x14ac:dyDescent="0.3">
      <c r="Z59" s="706"/>
    </row>
    <row r="60" spans="26:26" x14ac:dyDescent="0.3">
      <c r="Z60" s="706"/>
    </row>
    <row r="61" spans="26:26" x14ac:dyDescent="0.3">
      <c r="Z61" s="706"/>
    </row>
    <row r="62" spans="26:26" x14ac:dyDescent="0.3">
      <c r="Z62" s="706"/>
    </row>
    <row r="63" spans="26:26" x14ac:dyDescent="0.3">
      <c r="Z63" s="706"/>
    </row>
    <row r="64" spans="26:26" x14ac:dyDescent="0.3">
      <c r="Z64" s="706"/>
    </row>
    <row r="65" spans="26:26" x14ac:dyDescent="0.3">
      <c r="Z65" s="706"/>
    </row>
    <row r="66" spans="26:26" x14ac:dyDescent="0.3">
      <c r="Z66" s="706"/>
    </row>
    <row r="67" spans="26:26" x14ac:dyDescent="0.3">
      <c r="Z67" s="706"/>
    </row>
    <row r="68" spans="26:26" x14ac:dyDescent="0.3">
      <c r="Z68" s="706"/>
    </row>
    <row r="69" spans="26:26" x14ac:dyDescent="0.3">
      <c r="Z69" s="706"/>
    </row>
    <row r="70" spans="26:26" x14ac:dyDescent="0.3">
      <c r="Z70" s="706"/>
    </row>
    <row r="71" spans="26:26" x14ac:dyDescent="0.3">
      <c r="Z71" s="706"/>
    </row>
    <row r="72" spans="26:26" x14ac:dyDescent="0.3">
      <c r="Z72" s="706"/>
    </row>
    <row r="73" spans="26:26" x14ac:dyDescent="0.3">
      <c r="Z73" s="706"/>
    </row>
    <row r="74" spans="26:26" x14ac:dyDescent="0.3">
      <c r="Z74" s="706"/>
    </row>
    <row r="75" spans="26:26" x14ac:dyDescent="0.3">
      <c r="Z75" s="706"/>
    </row>
    <row r="76" spans="26:26" x14ac:dyDescent="0.3">
      <c r="Z76" s="706"/>
    </row>
    <row r="77" spans="26:26" x14ac:dyDescent="0.3">
      <c r="Z77" s="706"/>
    </row>
    <row r="78" spans="26:26" x14ac:dyDescent="0.3">
      <c r="Z78" s="706"/>
    </row>
    <row r="79" spans="26:26" x14ac:dyDescent="0.3">
      <c r="Z79" s="706"/>
    </row>
    <row r="80" spans="26:26" x14ac:dyDescent="0.3">
      <c r="Z80" s="706"/>
    </row>
    <row r="81" spans="26:26" x14ac:dyDescent="0.3">
      <c r="Z81" s="706"/>
    </row>
    <row r="82" spans="26:26" x14ac:dyDescent="0.3">
      <c r="Z82" s="706"/>
    </row>
    <row r="83" spans="26:26" x14ac:dyDescent="0.3">
      <c r="Z83" s="706"/>
    </row>
    <row r="84" spans="26:26" x14ac:dyDescent="0.3">
      <c r="Z84" s="706"/>
    </row>
    <row r="85" spans="26:26" x14ac:dyDescent="0.3">
      <c r="Z85" s="706"/>
    </row>
    <row r="86" spans="26:26" x14ac:dyDescent="0.3">
      <c r="Z86" s="706"/>
    </row>
    <row r="87" spans="26:26" x14ac:dyDescent="0.3">
      <c r="Z87" s="706"/>
    </row>
    <row r="88" spans="26:26" x14ac:dyDescent="0.3">
      <c r="Z88" s="706"/>
    </row>
    <row r="89" spans="26:26" x14ac:dyDescent="0.3">
      <c r="Z89" s="706"/>
    </row>
    <row r="90" spans="26:26" x14ac:dyDescent="0.3">
      <c r="Z90" s="706"/>
    </row>
    <row r="91" spans="26:26" x14ac:dyDescent="0.3">
      <c r="Z91" s="706"/>
    </row>
    <row r="92" spans="26:26" x14ac:dyDescent="0.3">
      <c r="Z92" s="706"/>
    </row>
    <row r="93" spans="26:26" x14ac:dyDescent="0.3">
      <c r="Z93" s="706"/>
    </row>
    <row r="94" spans="26:26" x14ac:dyDescent="0.3">
      <c r="Z94" s="706"/>
    </row>
    <row r="95" spans="26:26" x14ac:dyDescent="0.3">
      <c r="Z95" s="706"/>
    </row>
    <row r="96" spans="26:26" x14ac:dyDescent="0.3">
      <c r="Z96" s="706"/>
    </row>
    <row r="97" spans="26:26" x14ac:dyDescent="0.3">
      <c r="Z97" s="706"/>
    </row>
    <row r="98" spans="26:26" x14ac:dyDescent="0.3">
      <c r="Z98" s="706"/>
    </row>
    <row r="99" spans="26:26" x14ac:dyDescent="0.3">
      <c r="Z99" s="706"/>
    </row>
    <row r="100" spans="26:26" x14ac:dyDescent="0.3">
      <c r="Z100" s="706"/>
    </row>
    <row r="101" spans="26:26" x14ac:dyDescent="0.3">
      <c r="Z101" s="706"/>
    </row>
    <row r="102" spans="26:26" x14ac:dyDescent="0.3">
      <c r="Z102" s="706"/>
    </row>
    <row r="103" spans="26:26" x14ac:dyDescent="0.3">
      <c r="Z103" s="706"/>
    </row>
    <row r="104" spans="26:26" x14ac:dyDescent="0.3">
      <c r="Z104" s="706"/>
    </row>
    <row r="105" spans="26:26" x14ac:dyDescent="0.3">
      <c r="Z105" s="706"/>
    </row>
    <row r="106" spans="26:26" x14ac:dyDescent="0.3">
      <c r="Z106" s="706"/>
    </row>
    <row r="107" spans="26:26" x14ac:dyDescent="0.3">
      <c r="Z107" s="706"/>
    </row>
    <row r="108" spans="26:26" x14ac:dyDescent="0.3">
      <c r="Z108" s="706"/>
    </row>
    <row r="109" spans="26:26" x14ac:dyDescent="0.3">
      <c r="Z109" s="706"/>
    </row>
    <row r="110" spans="26:26" x14ac:dyDescent="0.3">
      <c r="Z110" s="706"/>
    </row>
    <row r="111" spans="26:26" x14ac:dyDescent="0.3">
      <c r="Z111" s="706"/>
    </row>
    <row r="112" spans="26:26" x14ac:dyDescent="0.3">
      <c r="Z112" s="706"/>
    </row>
    <row r="113" spans="26:26" x14ac:dyDescent="0.3">
      <c r="Z113" s="706"/>
    </row>
    <row r="114" spans="26:26" x14ac:dyDescent="0.3">
      <c r="Z114" s="706"/>
    </row>
    <row r="115" spans="26:26" x14ac:dyDescent="0.3">
      <c r="Z115" s="706"/>
    </row>
    <row r="116" spans="26:26" x14ac:dyDescent="0.3">
      <c r="Z116" s="706"/>
    </row>
    <row r="117" spans="26:26" x14ac:dyDescent="0.3">
      <c r="Z117" s="706"/>
    </row>
    <row r="118" spans="26:26" x14ac:dyDescent="0.3">
      <c r="Z118" s="706"/>
    </row>
    <row r="119" spans="26:26" x14ac:dyDescent="0.3">
      <c r="Z119" s="706"/>
    </row>
    <row r="120" spans="26:26" x14ac:dyDescent="0.3">
      <c r="Z120" s="706"/>
    </row>
    <row r="121" spans="26:26" x14ac:dyDescent="0.3">
      <c r="Z121" s="706"/>
    </row>
    <row r="122" spans="26:26" x14ac:dyDescent="0.3">
      <c r="Z122" s="706"/>
    </row>
    <row r="123" spans="26:26" x14ac:dyDescent="0.3">
      <c r="Z123" s="706"/>
    </row>
    <row r="124" spans="26:26" x14ac:dyDescent="0.3">
      <c r="Z124" s="706"/>
    </row>
    <row r="125" spans="26:26" x14ac:dyDescent="0.3">
      <c r="Z125" s="706"/>
    </row>
    <row r="126" spans="26:26" x14ac:dyDescent="0.3">
      <c r="Z126" s="706"/>
    </row>
    <row r="127" spans="26:26" x14ac:dyDescent="0.3">
      <c r="Z127" s="706"/>
    </row>
    <row r="128" spans="26:26" x14ac:dyDescent="0.3">
      <c r="Z128" s="706"/>
    </row>
    <row r="129" spans="26:26" x14ac:dyDescent="0.3">
      <c r="Z129" s="706"/>
    </row>
    <row r="130" spans="26:26" x14ac:dyDescent="0.3">
      <c r="Z130" s="706"/>
    </row>
    <row r="131" spans="26:26" x14ac:dyDescent="0.3">
      <c r="Z131" s="706"/>
    </row>
    <row r="132" spans="26:26" x14ac:dyDescent="0.3">
      <c r="Z132" s="706"/>
    </row>
    <row r="133" spans="26:26" x14ac:dyDescent="0.3">
      <c r="Z133" s="706"/>
    </row>
    <row r="134" spans="26:26" x14ac:dyDescent="0.3">
      <c r="Z134" s="706"/>
    </row>
    <row r="135" spans="26:26" x14ac:dyDescent="0.3">
      <c r="Z135" s="706"/>
    </row>
    <row r="136" spans="26:26" x14ac:dyDescent="0.3">
      <c r="Z136" s="706"/>
    </row>
    <row r="137" spans="26:26" x14ac:dyDescent="0.3">
      <c r="Z137" s="706"/>
    </row>
    <row r="138" spans="26:26" x14ac:dyDescent="0.3">
      <c r="Z138" s="706"/>
    </row>
    <row r="139" spans="26:26" x14ac:dyDescent="0.3">
      <c r="Z139" s="706"/>
    </row>
    <row r="140" spans="26:26" x14ac:dyDescent="0.3">
      <c r="Z140" s="706"/>
    </row>
    <row r="141" spans="26:26" x14ac:dyDescent="0.3">
      <c r="Z141" s="706"/>
    </row>
    <row r="142" spans="26:26" x14ac:dyDescent="0.3">
      <c r="Z142" s="706"/>
    </row>
    <row r="143" spans="26:26" x14ac:dyDescent="0.3">
      <c r="Z143" s="706"/>
    </row>
    <row r="144" spans="26:26" x14ac:dyDescent="0.3">
      <c r="Z144" s="706"/>
    </row>
    <row r="145" spans="26:26" x14ac:dyDescent="0.3">
      <c r="Z145" s="706"/>
    </row>
    <row r="146" spans="26:26" x14ac:dyDescent="0.3">
      <c r="Z146" s="706"/>
    </row>
    <row r="147" spans="26:26" x14ac:dyDescent="0.3">
      <c r="Z147" s="706"/>
    </row>
    <row r="148" spans="26:26" x14ac:dyDescent="0.3">
      <c r="Z148" s="706"/>
    </row>
    <row r="149" spans="26:26" x14ac:dyDescent="0.3">
      <c r="Z149" s="706"/>
    </row>
    <row r="150" spans="26:26" x14ac:dyDescent="0.3">
      <c r="Z150" s="706"/>
    </row>
    <row r="151" spans="26:26" x14ac:dyDescent="0.3">
      <c r="Z151" s="706"/>
    </row>
    <row r="152" spans="26:26" x14ac:dyDescent="0.3">
      <c r="Z152" s="706"/>
    </row>
    <row r="153" spans="26:26" x14ac:dyDescent="0.3">
      <c r="Z153" s="706"/>
    </row>
    <row r="154" spans="26:26" x14ac:dyDescent="0.3">
      <c r="Z154" s="706"/>
    </row>
    <row r="155" spans="26:26" x14ac:dyDescent="0.3">
      <c r="Z155" s="706"/>
    </row>
    <row r="156" spans="26:26" x14ac:dyDescent="0.3">
      <c r="Z156" s="706"/>
    </row>
    <row r="157" spans="26:26" x14ac:dyDescent="0.3">
      <c r="Z157" s="706"/>
    </row>
    <row r="158" spans="26:26" x14ac:dyDescent="0.3">
      <c r="Z158" s="706"/>
    </row>
    <row r="159" spans="26:26" x14ac:dyDescent="0.3">
      <c r="Z159" s="706"/>
    </row>
    <row r="160" spans="26:26" x14ac:dyDescent="0.3">
      <c r="Z160" s="706"/>
    </row>
    <row r="161" spans="26:26" x14ac:dyDescent="0.3">
      <c r="Z161" s="706"/>
    </row>
    <row r="162" spans="26:26" x14ac:dyDescent="0.3">
      <c r="Z162" s="706"/>
    </row>
    <row r="163" spans="26:26" x14ac:dyDescent="0.3">
      <c r="Z163" s="706"/>
    </row>
    <row r="164" spans="26:26" x14ac:dyDescent="0.3">
      <c r="Z164" s="706"/>
    </row>
    <row r="165" spans="26:26" x14ac:dyDescent="0.3">
      <c r="Z165" s="706"/>
    </row>
    <row r="166" spans="26:26" x14ac:dyDescent="0.3">
      <c r="Z166" s="706"/>
    </row>
    <row r="167" spans="26:26" x14ac:dyDescent="0.3">
      <c r="Z167" s="706"/>
    </row>
    <row r="168" spans="26:26" x14ac:dyDescent="0.3">
      <c r="Z168" s="706"/>
    </row>
    <row r="169" spans="26:26" x14ac:dyDescent="0.3">
      <c r="Z169" s="706"/>
    </row>
    <row r="170" spans="26:26" x14ac:dyDescent="0.3">
      <c r="Z170" s="706"/>
    </row>
    <row r="171" spans="26:26" x14ac:dyDescent="0.3">
      <c r="Z171" s="706"/>
    </row>
    <row r="172" spans="26:26" x14ac:dyDescent="0.3">
      <c r="Z172" s="706"/>
    </row>
    <row r="173" spans="26:26" x14ac:dyDescent="0.3">
      <c r="Z173" s="706"/>
    </row>
    <row r="174" spans="26:26" x14ac:dyDescent="0.3">
      <c r="Z174" s="706"/>
    </row>
    <row r="175" spans="26:26" x14ac:dyDescent="0.3">
      <c r="Z175" s="706"/>
    </row>
    <row r="176" spans="26:26" x14ac:dyDescent="0.3">
      <c r="Z176" s="706"/>
    </row>
    <row r="177" spans="26:26" x14ac:dyDescent="0.3">
      <c r="Z177" s="706"/>
    </row>
    <row r="178" spans="26:26" x14ac:dyDescent="0.3">
      <c r="Z178" s="706"/>
    </row>
    <row r="179" spans="26:26" x14ac:dyDescent="0.3">
      <c r="Z179" s="706"/>
    </row>
    <row r="180" spans="26:26" x14ac:dyDescent="0.3">
      <c r="Z180" s="706"/>
    </row>
    <row r="181" spans="26:26" x14ac:dyDescent="0.3">
      <c r="Z181" s="706"/>
    </row>
    <row r="182" spans="26:26" x14ac:dyDescent="0.3">
      <c r="Z182" s="706"/>
    </row>
    <row r="183" spans="26:26" x14ac:dyDescent="0.3">
      <c r="Z183" s="706"/>
    </row>
    <row r="184" spans="26:26" x14ac:dyDescent="0.3">
      <c r="Z184" s="706"/>
    </row>
    <row r="185" spans="26:26" x14ac:dyDescent="0.3">
      <c r="Z185" s="706"/>
    </row>
    <row r="186" spans="26:26" x14ac:dyDescent="0.3">
      <c r="Z186" s="706"/>
    </row>
    <row r="187" spans="26:26" x14ac:dyDescent="0.3">
      <c r="Z187" s="706"/>
    </row>
    <row r="188" spans="26:26" x14ac:dyDescent="0.3">
      <c r="Z188" s="706"/>
    </row>
    <row r="189" spans="26:26" x14ac:dyDescent="0.3">
      <c r="Z189" s="706"/>
    </row>
    <row r="190" spans="26:26" x14ac:dyDescent="0.3">
      <c r="Z190" s="706"/>
    </row>
    <row r="191" spans="26:26" x14ac:dyDescent="0.3">
      <c r="Z191" s="706"/>
    </row>
    <row r="192" spans="26:26" x14ac:dyDescent="0.3">
      <c r="Z192" s="706"/>
    </row>
    <row r="193" spans="26:26" x14ac:dyDescent="0.3">
      <c r="Z193" s="706"/>
    </row>
    <row r="194" spans="26:26" x14ac:dyDescent="0.3">
      <c r="Z194" s="706"/>
    </row>
    <row r="195" spans="26:26" x14ac:dyDescent="0.3">
      <c r="Z195" s="706"/>
    </row>
    <row r="196" spans="26:26" x14ac:dyDescent="0.3">
      <c r="Z196" s="706"/>
    </row>
    <row r="197" spans="26:26" x14ac:dyDescent="0.3">
      <c r="Z197" s="706"/>
    </row>
    <row r="198" spans="26:26" x14ac:dyDescent="0.3">
      <c r="Z198" s="706"/>
    </row>
    <row r="199" spans="26:26" x14ac:dyDescent="0.3">
      <c r="Z199" s="706"/>
    </row>
    <row r="200" spans="26:26" x14ac:dyDescent="0.3">
      <c r="Z200" s="706"/>
    </row>
    <row r="201" spans="26:26" x14ac:dyDescent="0.3">
      <c r="Z201" s="706"/>
    </row>
    <row r="202" spans="26:26" x14ac:dyDescent="0.3">
      <c r="Z202" s="706"/>
    </row>
    <row r="203" spans="26:26" x14ac:dyDescent="0.3">
      <c r="Z203" s="706"/>
    </row>
    <row r="204" spans="26:26" x14ac:dyDescent="0.3">
      <c r="Z204" s="706"/>
    </row>
    <row r="205" spans="26:26" x14ac:dyDescent="0.3">
      <c r="Z205" s="706"/>
    </row>
    <row r="206" spans="26:26" x14ac:dyDescent="0.3">
      <c r="Z206" s="706"/>
    </row>
    <row r="207" spans="26:26" x14ac:dyDescent="0.3">
      <c r="Z207" s="706"/>
    </row>
    <row r="208" spans="26:26" x14ac:dyDescent="0.3">
      <c r="Z208" s="706"/>
    </row>
    <row r="209" spans="26:26" x14ac:dyDescent="0.3">
      <c r="Z209" s="706"/>
    </row>
    <row r="210" spans="26:26" x14ac:dyDescent="0.3">
      <c r="Z210" s="706"/>
    </row>
    <row r="211" spans="26:26" x14ac:dyDescent="0.3">
      <c r="Z211" s="706"/>
    </row>
    <row r="212" spans="26:26" x14ac:dyDescent="0.3">
      <c r="Z212" s="706"/>
    </row>
    <row r="213" spans="26:26" x14ac:dyDescent="0.3">
      <c r="Z213" s="706"/>
    </row>
    <row r="214" spans="26:26" x14ac:dyDescent="0.3">
      <c r="Z214" s="706"/>
    </row>
    <row r="215" spans="26:26" x14ac:dyDescent="0.3">
      <c r="Z215" s="706"/>
    </row>
    <row r="216" spans="26:26" x14ac:dyDescent="0.3">
      <c r="Z216" s="706"/>
    </row>
    <row r="217" spans="26:26" x14ac:dyDescent="0.3">
      <c r="Z217" s="706"/>
    </row>
    <row r="218" spans="26:26" x14ac:dyDescent="0.3">
      <c r="Z218" s="706"/>
    </row>
    <row r="219" spans="26:26" x14ac:dyDescent="0.3">
      <c r="Z219" s="706"/>
    </row>
    <row r="220" spans="26:26" x14ac:dyDescent="0.3">
      <c r="Z220" s="706"/>
    </row>
    <row r="221" spans="26:26" x14ac:dyDescent="0.3">
      <c r="Z221" s="706"/>
    </row>
    <row r="222" spans="26:26" x14ac:dyDescent="0.3">
      <c r="Z222" s="706"/>
    </row>
    <row r="223" spans="26:26" x14ac:dyDescent="0.3">
      <c r="Z223" s="706"/>
    </row>
    <row r="224" spans="26:26" x14ac:dyDescent="0.3">
      <c r="Z224" s="706"/>
    </row>
    <row r="225" spans="26:26" x14ac:dyDescent="0.3">
      <c r="Z225" s="706"/>
    </row>
    <row r="226" spans="26:26" x14ac:dyDescent="0.3">
      <c r="Z226" s="706"/>
    </row>
    <row r="227" spans="26:26" x14ac:dyDescent="0.3">
      <c r="Z227" s="706"/>
    </row>
    <row r="228" spans="26:26" x14ac:dyDescent="0.3">
      <c r="Z228" s="706"/>
    </row>
    <row r="229" spans="26:26" x14ac:dyDescent="0.3">
      <c r="Z229" s="706"/>
    </row>
    <row r="230" spans="26:26" x14ac:dyDescent="0.3">
      <c r="Z230" s="706"/>
    </row>
    <row r="231" spans="26:26" x14ac:dyDescent="0.3">
      <c r="Z231" s="706"/>
    </row>
    <row r="232" spans="26:26" x14ac:dyDescent="0.3">
      <c r="Z232" s="706"/>
    </row>
    <row r="233" spans="26:26" x14ac:dyDescent="0.3">
      <c r="Z233" s="706"/>
    </row>
    <row r="234" spans="26:26" x14ac:dyDescent="0.3">
      <c r="Z234" s="706"/>
    </row>
    <row r="235" spans="26:26" x14ac:dyDescent="0.3">
      <c r="Z235" s="706"/>
    </row>
    <row r="236" spans="26:26" x14ac:dyDescent="0.3">
      <c r="Z236" s="706"/>
    </row>
    <row r="237" spans="26:26" x14ac:dyDescent="0.3">
      <c r="Z237" s="706"/>
    </row>
    <row r="238" spans="26:26" x14ac:dyDescent="0.3">
      <c r="Z238" s="706"/>
    </row>
    <row r="239" spans="26:26" x14ac:dyDescent="0.3">
      <c r="Z239" s="706"/>
    </row>
    <row r="240" spans="26:26" x14ac:dyDescent="0.3">
      <c r="Z240" s="706"/>
    </row>
    <row r="241" spans="26:26" x14ac:dyDescent="0.3">
      <c r="Z241" s="706"/>
    </row>
    <row r="242" spans="26:26" x14ac:dyDescent="0.3">
      <c r="Z242" s="706"/>
    </row>
    <row r="243" spans="26:26" x14ac:dyDescent="0.3">
      <c r="Z243" s="706"/>
    </row>
    <row r="244" spans="26:26" x14ac:dyDescent="0.3">
      <c r="Z244" s="706"/>
    </row>
    <row r="245" spans="26:26" x14ac:dyDescent="0.3">
      <c r="Z245" s="706"/>
    </row>
    <row r="246" spans="26:26" x14ac:dyDescent="0.3">
      <c r="Z246" s="706"/>
    </row>
    <row r="247" spans="26:26" x14ac:dyDescent="0.3">
      <c r="Z247" s="706"/>
    </row>
    <row r="248" spans="26:26" x14ac:dyDescent="0.3">
      <c r="Z248" s="706"/>
    </row>
    <row r="249" spans="26:26" x14ac:dyDescent="0.3">
      <c r="Z249" s="706"/>
    </row>
    <row r="250" spans="26:26" x14ac:dyDescent="0.3">
      <c r="Z250" s="706"/>
    </row>
    <row r="251" spans="26:26" x14ac:dyDescent="0.3">
      <c r="Z251" s="706"/>
    </row>
    <row r="252" spans="26:26" x14ac:dyDescent="0.3">
      <c r="Z252" s="706"/>
    </row>
    <row r="253" spans="26:26" x14ac:dyDescent="0.3">
      <c r="Z253" s="706"/>
    </row>
    <row r="254" spans="26:26" x14ac:dyDescent="0.3">
      <c r="Z254" s="706"/>
    </row>
    <row r="255" spans="26:26" x14ac:dyDescent="0.3">
      <c r="Z255" s="706"/>
    </row>
    <row r="256" spans="26:26" x14ac:dyDescent="0.3">
      <c r="Z256" s="706"/>
    </row>
    <row r="257" spans="26:26" x14ac:dyDescent="0.3">
      <c r="Z257" s="706"/>
    </row>
    <row r="258" spans="26:26" x14ac:dyDescent="0.3">
      <c r="Z258" s="706"/>
    </row>
    <row r="259" spans="26:26" x14ac:dyDescent="0.3">
      <c r="Z259" s="706"/>
    </row>
    <row r="260" spans="26:26" x14ac:dyDescent="0.3">
      <c r="Z260" s="706"/>
    </row>
    <row r="261" spans="26:26" x14ac:dyDescent="0.3">
      <c r="Z261" s="706"/>
    </row>
    <row r="262" spans="26:26" x14ac:dyDescent="0.3">
      <c r="Z262" s="706"/>
    </row>
    <row r="263" spans="26:26" x14ac:dyDescent="0.3">
      <c r="Z263" s="706"/>
    </row>
    <row r="264" spans="26:26" x14ac:dyDescent="0.3">
      <c r="Z264" s="706"/>
    </row>
    <row r="265" spans="26:26" x14ac:dyDescent="0.3">
      <c r="Z265" s="706"/>
    </row>
    <row r="266" spans="26:26" x14ac:dyDescent="0.3">
      <c r="Z266" s="706"/>
    </row>
    <row r="267" spans="26:26" x14ac:dyDescent="0.3">
      <c r="Z267" s="706"/>
    </row>
    <row r="268" spans="26:26" x14ac:dyDescent="0.3">
      <c r="Z268" s="706"/>
    </row>
    <row r="269" spans="26:26" x14ac:dyDescent="0.3">
      <c r="Z269" s="706"/>
    </row>
    <row r="270" spans="26:26" x14ac:dyDescent="0.3">
      <c r="Z270" s="706"/>
    </row>
    <row r="271" spans="26:26" x14ac:dyDescent="0.3">
      <c r="Z271" s="706"/>
    </row>
    <row r="272" spans="26:26" x14ac:dyDescent="0.3">
      <c r="Z272" s="706"/>
    </row>
    <row r="273" spans="26:26" x14ac:dyDescent="0.3">
      <c r="Z273" s="706"/>
    </row>
    <row r="274" spans="26:26" x14ac:dyDescent="0.3">
      <c r="Z274" s="706"/>
    </row>
    <row r="275" spans="26:26" x14ac:dyDescent="0.3">
      <c r="Z275" s="706"/>
    </row>
    <row r="276" spans="26:26" x14ac:dyDescent="0.3">
      <c r="Z276" s="706"/>
    </row>
    <row r="277" spans="26:26" x14ac:dyDescent="0.3">
      <c r="Z277" s="706"/>
    </row>
    <row r="278" spans="26:26" x14ac:dyDescent="0.3">
      <c r="Z278" s="706"/>
    </row>
    <row r="279" spans="26:26" x14ac:dyDescent="0.3">
      <c r="Z279" s="706"/>
    </row>
    <row r="280" spans="26:26" x14ac:dyDescent="0.3">
      <c r="Z280" s="706"/>
    </row>
    <row r="281" spans="26:26" x14ac:dyDescent="0.3">
      <c r="Z281" s="706"/>
    </row>
    <row r="282" spans="26:26" x14ac:dyDescent="0.3">
      <c r="Z282" s="706"/>
    </row>
    <row r="283" spans="26:26" x14ac:dyDescent="0.3">
      <c r="Z283" s="706"/>
    </row>
    <row r="284" spans="26:26" x14ac:dyDescent="0.3">
      <c r="Z284" s="706"/>
    </row>
    <row r="285" spans="26:26" x14ac:dyDescent="0.3">
      <c r="Z285" s="706"/>
    </row>
    <row r="286" spans="26:26" x14ac:dyDescent="0.3">
      <c r="Z286" s="706"/>
    </row>
    <row r="287" spans="26:26" x14ac:dyDescent="0.3">
      <c r="Z287" s="706"/>
    </row>
    <row r="288" spans="26:26" x14ac:dyDescent="0.3">
      <c r="Z288" s="706"/>
    </row>
    <row r="289" spans="26:26" x14ac:dyDescent="0.3">
      <c r="Z289" s="706"/>
    </row>
    <row r="290" spans="26:26" x14ac:dyDescent="0.3">
      <c r="Z290" s="706"/>
    </row>
    <row r="291" spans="26:26" x14ac:dyDescent="0.3">
      <c r="Z291" s="706"/>
    </row>
    <row r="292" spans="26:26" x14ac:dyDescent="0.3">
      <c r="Z292" s="706"/>
    </row>
    <row r="293" spans="26:26" x14ac:dyDescent="0.3">
      <c r="Z293" s="706"/>
    </row>
    <row r="294" spans="26:26" x14ac:dyDescent="0.3">
      <c r="Z294" s="706"/>
    </row>
    <row r="295" spans="26:26" x14ac:dyDescent="0.3">
      <c r="Z295" s="706"/>
    </row>
    <row r="296" spans="26:26" x14ac:dyDescent="0.3">
      <c r="Z296" s="706"/>
    </row>
    <row r="297" spans="26:26" x14ac:dyDescent="0.3">
      <c r="Z297" s="706"/>
    </row>
    <row r="298" spans="26:26" x14ac:dyDescent="0.3">
      <c r="Z298" s="706"/>
    </row>
    <row r="299" spans="26:26" x14ac:dyDescent="0.3">
      <c r="Z299" s="706"/>
    </row>
    <row r="300" spans="26:26" x14ac:dyDescent="0.3">
      <c r="Z300" s="706"/>
    </row>
    <row r="301" spans="26:26" x14ac:dyDescent="0.3">
      <c r="Z301" s="706"/>
    </row>
    <row r="302" spans="26:26" x14ac:dyDescent="0.3">
      <c r="Z302" s="706"/>
    </row>
    <row r="303" spans="26:26" x14ac:dyDescent="0.3">
      <c r="Z303" s="706"/>
    </row>
    <row r="304" spans="26:26" x14ac:dyDescent="0.3">
      <c r="Z304" s="706"/>
    </row>
    <row r="305" spans="26:26" x14ac:dyDescent="0.3">
      <c r="Z305" s="706"/>
    </row>
    <row r="306" spans="26:26" x14ac:dyDescent="0.3">
      <c r="Z306" s="706"/>
    </row>
    <row r="307" spans="26:26" x14ac:dyDescent="0.3">
      <c r="Z307" s="706"/>
    </row>
    <row r="308" spans="26:26" x14ac:dyDescent="0.3">
      <c r="Z308" s="706"/>
    </row>
    <row r="309" spans="26:26" x14ac:dyDescent="0.3">
      <c r="Z309" s="706"/>
    </row>
    <row r="310" spans="26:26" x14ac:dyDescent="0.3">
      <c r="Z310" s="706"/>
    </row>
    <row r="311" spans="26:26" x14ac:dyDescent="0.3">
      <c r="Z311" s="706"/>
    </row>
    <row r="312" spans="26:26" x14ac:dyDescent="0.3">
      <c r="Z312" s="706"/>
    </row>
    <row r="313" spans="26:26" x14ac:dyDescent="0.3">
      <c r="Z313" s="706"/>
    </row>
    <row r="314" spans="26:26" x14ac:dyDescent="0.3">
      <c r="Z314" s="706"/>
    </row>
    <row r="315" spans="26:26" x14ac:dyDescent="0.3">
      <c r="Z315" s="706"/>
    </row>
    <row r="316" spans="26:26" x14ac:dyDescent="0.3">
      <c r="Z316" s="706"/>
    </row>
    <row r="317" spans="26:26" x14ac:dyDescent="0.3">
      <c r="Z317" s="706"/>
    </row>
    <row r="318" spans="26:26" x14ac:dyDescent="0.3">
      <c r="Z318" s="706"/>
    </row>
    <row r="319" spans="26:26" x14ac:dyDescent="0.3">
      <c r="Z319" s="706"/>
    </row>
    <row r="320" spans="26:26" x14ac:dyDescent="0.3">
      <c r="Z320" s="706"/>
    </row>
    <row r="321" spans="26:26" x14ac:dyDescent="0.3">
      <c r="Z321" s="706"/>
    </row>
    <row r="322" spans="26:26" x14ac:dyDescent="0.3">
      <c r="Z322" s="706"/>
    </row>
    <row r="323" spans="26:26" x14ac:dyDescent="0.3">
      <c r="Z323" s="706"/>
    </row>
    <row r="324" spans="26:26" x14ac:dyDescent="0.3">
      <c r="Z324" s="706"/>
    </row>
    <row r="325" spans="26:26" x14ac:dyDescent="0.3">
      <c r="Z325" s="706"/>
    </row>
    <row r="326" spans="26:26" x14ac:dyDescent="0.3">
      <c r="Z326" s="706"/>
    </row>
    <row r="327" spans="26:26" x14ac:dyDescent="0.3">
      <c r="Z327" s="706"/>
    </row>
    <row r="328" spans="26:26" x14ac:dyDescent="0.3">
      <c r="Z328" s="706"/>
    </row>
    <row r="329" spans="26:26" x14ac:dyDescent="0.3">
      <c r="Z329" s="706"/>
    </row>
    <row r="330" spans="26:26" x14ac:dyDescent="0.3">
      <c r="Z330" s="706"/>
    </row>
    <row r="331" spans="26:26" x14ac:dyDescent="0.3">
      <c r="Z331" s="706"/>
    </row>
    <row r="332" spans="26:26" x14ac:dyDescent="0.3">
      <c r="Z332" s="706"/>
    </row>
    <row r="333" spans="26:26" x14ac:dyDescent="0.3">
      <c r="Z333" s="706"/>
    </row>
    <row r="334" spans="26:26" x14ac:dyDescent="0.3">
      <c r="Z334" s="706"/>
    </row>
    <row r="335" spans="26:26" x14ac:dyDescent="0.3">
      <c r="Z335" s="706"/>
    </row>
    <row r="336" spans="26:26" x14ac:dyDescent="0.3">
      <c r="Z336" s="706"/>
    </row>
    <row r="337" spans="26:26" x14ac:dyDescent="0.3">
      <c r="Z337" s="706"/>
    </row>
    <row r="338" spans="26:26" x14ac:dyDescent="0.3">
      <c r="Z338" s="706"/>
    </row>
    <row r="339" spans="26:26" x14ac:dyDescent="0.3">
      <c r="Z339" s="706"/>
    </row>
    <row r="340" spans="26:26" x14ac:dyDescent="0.3">
      <c r="Z340" s="706"/>
    </row>
    <row r="341" spans="26:26" x14ac:dyDescent="0.3">
      <c r="Z341" s="706"/>
    </row>
    <row r="342" spans="26:26" x14ac:dyDescent="0.3">
      <c r="Z342" s="706"/>
    </row>
    <row r="343" spans="26:26" x14ac:dyDescent="0.3">
      <c r="Z343" s="706"/>
    </row>
    <row r="344" spans="26:26" x14ac:dyDescent="0.3">
      <c r="Z344" s="706"/>
    </row>
    <row r="345" spans="26:26" x14ac:dyDescent="0.3">
      <c r="Z345" s="706"/>
    </row>
    <row r="346" spans="26:26" x14ac:dyDescent="0.3">
      <c r="Z346" s="706"/>
    </row>
    <row r="347" spans="26:26" x14ac:dyDescent="0.3">
      <c r="Z347" s="706"/>
    </row>
    <row r="348" spans="26:26" x14ac:dyDescent="0.3">
      <c r="Z348" s="706"/>
    </row>
    <row r="349" spans="26:26" x14ac:dyDescent="0.3">
      <c r="Z349" s="706"/>
    </row>
    <row r="350" spans="26:26" x14ac:dyDescent="0.3">
      <c r="Z350" s="706"/>
    </row>
    <row r="351" spans="26:26" x14ac:dyDescent="0.3">
      <c r="Z351" s="706"/>
    </row>
    <row r="352" spans="26:26" x14ac:dyDescent="0.3">
      <c r="Z352" s="706"/>
    </row>
    <row r="353" spans="26:26" x14ac:dyDescent="0.3">
      <c r="Z353" s="706"/>
    </row>
    <row r="354" spans="26:26" x14ac:dyDescent="0.3">
      <c r="Z354" s="706"/>
    </row>
    <row r="355" spans="26:26" x14ac:dyDescent="0.3">
      <c r="Z355" s="706"/>
    </row>
    <row r="356" spans="26:26" x14ac:dyDescent="0.3">
      <c r="Z356" s="706"/>
    </row>
    <row r="357" spans="26:26" x14ac:dyDescent="0.3">
      <c r="Z357" s="706"/>
    </row>
    <row r="358" spans="26:26" x14ac:dyDescent="0.3">
      <c r="Z358" s="706"/>
    </row>
    <row r="359" spans="26:26" x14ac:dyDescent="0.3">
      <c r="Z359" s="706"/>
    </row>
    <row r="360" spans="26:26" x14ac:dyDescent="0.3">
      <c r="Z360" s="706"/>
    </row>
    <row r="361" spans="26:26" x14ac:dyDescent="0.3">
      <c r="Z361" s="706"/>
    </row>
    <row r="362" spans="26:26" x14ac:dyDescent="0.3">
      <c r="Z362" s="706"/>
    </row>
    <row r="363" spans="26:26" x14ac:dyDescent="0.3">
      <c r="Z363" s="706"/>
    </row>
    <row r="364" spans="26:26" x14ac:dyDescent="0.3">
      <c r="Z364" s="706"/>
    </row>
    <row r="365" spans="26:26" x14ac:dyDescent="0.3">
      <c r="Z365" s="706"/>
    </row>
    <row r="366" spans="26:26" x14ac:dyDescent="0.3">
      <c r="Z366" s="706"/>
    </row>
    <row r="367" spans="26:26" x14ac:dyDescent="0.3">
      <c r="Z367" s="706"/>
    </row>
    <row r="368" spans="26:26" x14ac:dyDescent="0.3">
      <c r="Z368" s="706"/>
    </row>
    <row r="369" spans="26:26" x14ac:dyDescent="0.3">
      <c r="Z369" s="706"/>
    </row>
    <row r="370" spans="26:26" x14ac:dyDescent="0.3">
      <c r="Z370" s="706"/>
    </row>
    <row r="371" spans="26:26" x14ac:dyDescent="0.3">
      <c r="Z371" s="706"/>
    </row>
    <row r="372" spans="26:26" x14ac:dyDescent="0.3">
      <c r="Z372" s="706"/>
    </row>
    <row r="373" spans="26:26" x14ac:dyDescent="0.3">
      <c r="Z373" s="706"/>
    </row>
    <row r="374" spans="26:26" x14ac:dyDescent="0.3">
      <c r="Z374" s="706"/>
    </row>
    <row r="375" spans="26:26" x14ac:dyDescent="0.3">
      <c r="Z375" s="706"/>
    </row>
    <row r="376" spans="26:26" x14ac:dyDescent="0.3">
      <c r="Z376" s="706"/>
    </row>
    <row r="377" spans="26:26" x14ac:dyDescent="0.3">
      <c r="Z377" s="706"/>
    </row>
    <row r="378" spans="26:26" x14ac:dyDescent="0.3">
      <c r="Z378" s="706"/>
    </row>
    <row r="379" spans="26:26" x14ac:dyDescent="0.3">
      <c r="Z379" s="706"/>
    </row>
    <row r="380" spans="26:26" x14ac:dyDescent="0.3">
      <c r="Z380" s="706"/>
    </row>
    <row r="381" spans="26:26" x14ac:dyDescent="0.3">
      <c r="Z381" s="706"/>
    </row>
    <row r="382" spans="26:26" x14ac:dyDescent="0.3">
      <c r="Z382" s="706"/>
    </row>
    <row r="383" spans="26:26" x14ac:dyDescent="0.3">
      <c r="Z383" s="706"/>
    </row>
    <row r="384" spans="26:26" x14ac:dyDescent="0.3">
      <c r="Z384" s="706"/>
    </row>
    <row r="385" spans="26:26" x14ac:dyDescent="0.3">
      <c r="Z385" s="706"/>
    </row>
    <row r="386" spans="26:26" x14ac:dyDescent="0.3">
      <c r="Z386" s="706"/>
    </row>
    <row r="387" spans="26:26" x14ac:dyDescent="0.3">
      <c r="Z387" s="706"/>
    </row>
    <row r="388" spans="26:26" x14ac:dyDescent="0.3">
      <c r="Z388" s="706"/>
    </row>
    <row r="389" spans="26:26" x14ac:dyDescent="0.3">
      <c r="Z389" s="706"/>
    </row>
    <row r="390" spans="26:26" x14ac:dyDescent="0.3">
      <c r="Z390" s="706"/>
    </row>
    <row r="391" spans="26:26" x14ac:dyDescent="0.3">
      <c r="Z391" s="706"/>
    </row>
    <row r="392" spans="26:26" x14ac:dyDescent="0.3">
      <c r="Z392" s="706"/>
    </row>
    <row r="393" spans="26:26" x14ac:dyDescent="0.3">
      <c r="Z393" s="706"/>
    </row>
    <row r="394" spans="26:26" x14ac:dyDescent="0.3">
      <c r="Z394" s="706"/>
    </row>
    <row r="395" spans="26:26" x14ac:dyDescent="0.3">
      <c r="Z395" s="706"/>
    </row>
    <row r="396" spans="26:26" x14ac:dyDescent="0.3">
      <c r="Z396" s="706"/>
    </row>
    <row r="397" spans="26:26" x14ac:dyDescent="0.3">
      <c r="Z397" s="706"/>
    </row>
    <row r="398" spans="26:26" x14ac:dyDescent="0.3">
      <c r="Z398" s="706"/>
    </row>
    <row r="399" spans="26:26" x14ac:dyDescent="0.3">
      <c r="Z399" s="706"/>
    </row>
    <row r="400" spans="26:26" x14ac:dyDescent="0.3">
      <c r="Z400" s="706"/>
    </row>
    <row r="401" spans="26:26" x14ac:dyDescent="0.3">
      <c r="Z401" s="706"/>
    </row>
    <row r="402" spans="26:26" x14ac:dyDescent="0.3">
      <c r="Z402" s="706"/>
    </row>
    <row r="403" spans="26:26" x14ac:dyDescent="0.3">
      <c r="Z403" s="706"/>
    </row>
    <row r="404" spans="26:26" x14ac:dyDescent="0.3">
      <c r="Z404" s="706"/>
    </row>
    <row r="405" spans="26:26" x14ac:dyDescent="0.3">
      <c r="Z405" s="706"/>
    </row>
    <row r="406" spans="26:26" x14ac:dyDescent="0.3">
      <c r="Z406" s="706"/>
    </row>
    <row r="407" spans="26:26" x14ac:dyDescent="0.3">
      <c r="Z407" s="706"/>
    </row>
    <row r="408" spans="26:26" x14ac:dyDescent="0.3">
      <c r="Z408" s="706"/>
    </row>
    <row r="409" spans="26:26" x14ac:dyDescent="0.3">
      <c r="Z409" s="706"/>
    </row>
    <row r="410" spans="26:26" x14ac:dyDescent="0.3">
      <c r="Z410" s="706"/>
    </row>
    <row r="411" spans="26:26" x14ac:dyDescent="0.3">
      <c r="Z411" s="706"/>
    </row>
    <row r="412" spans="26:26" x14ac:dyDescent="0.3">
      <c r="Z412" s="706"/>
    </row>
    <row r="413" spans="26:26" x14ac:dyDescent="0.3">
      <c r="Z413" s="706"/>
    </row>
    <row r="414" spans="26:26" x14ac:dyDescent="0.3">
      <c r="Z414" s="706"/>
    </row>
    <row r="415" spans="26:26" x14ac:dyDescent="0.3">
      <c r="Z415" s="706"/>
    </row>
    <row r="416" spans="26:26" x14ac:dyDescent="0.3">
      <c r="Z416" s="706"/>
    </row>
    <row r="417" spans="26:26" x14ac:dyDescent="0.3">
      <c r="Z417" s="706"/>
    </row>
    <row r="418" spans="26:26" x14ac:dyDescent="0.3">
      <c r="Z418" s="706"/>
    </row>
    <row r="419" spans="26:26" x14ac:dyDescent="0.3">
      <c r="Z419" s="706"/>
    </row>
    <row r="420" spans="26:26" x14ac:dyDescent="0.3">
      <c r="Z420" s="706"/>
    </row>
    <row r="421" spans="26:26" x14ac:dyDescent="0.3">
      <c r="Z421" s="706"/>
    </row>
    <row r="422" spans="26:26" x14ac:dyDescent="0.3">
      <c r="Z422" s="706"/>
    </row>
    <row r="423" spans="26:26" x14ac:dyDescent="0.3">
      <c r="Z423" s="706"/>
    </row>
    <row r="424" spans="26:26" x14ac:dyDescent="0.3">
      <c r="Z424" s="706"/>
    </row>
    <row r="425" spans="26:26" x14ac:dyDescent="0.3">
      <c r="Z425" s="706"/>
    </row>
    <row r="426" spans="26:26" x14ac:dyDescent="0.3">
      <c r="Z426" s="706"/>
    </row>
    <row r="427" spans="26:26" x14ac:dyDescent="0.3">
      <c r="Z427" s="706"/>
    </row>
    <row r="428" spans="26:26" x14ac:dyDescent="0.3">
      <c r="Z428" s="706"/>
    </row>
    <row r="429" spans="26:26" x14ac:dyDescent="0.3">
      <c r="Z429" s="706"/>
    </row>
    <row r="430" spans="26:26" x14ac:dyDescent="0.3">
      <c r="Z430" s="706"/>
    </row>
    <row r="431" spans="26:26" x14ac:dyDescent="0.3">
      <c r="Z431" s="706"/>
    </row>
    <row r="432" spans="26:26" x14ac:dyDescent="0.3">
      <c r="Z432" s="706"/>
    </row>
    <row r="433" spans="26:26" x14ac:dyDescent="0.3">
      <c r="Z433" s="706"/>
    </row>
    <row r="434" spans="26:26" x14ac:dyDescent="0.3">
      <c r="Z434" s="706"/>
    </row>
    <row r="435" spans="26:26" x14ac:dyDescent="0.3">
      <c r="Z435" s="706"/>
    </row>
    <row r="436" spans="26:26" x14ac:dyDescent="0.3">
      <c r="Z436" s="706"/>
    </row>
    <row r="437" spans="26:26" x14ac:dyDescent="0.3">
      <c r="Z437" s="706"/>
    </row>
    <row r="438" spans="26:26" x14ac:dyDescent="0.3">
      <c r="Z438" s="706"/>
    </row>
    <row r="439" spans="26:26" x14ac:dyDescent="0.3">
      <c r="Z439" s="706"/>
    </row>
    <row r="440" spans="26:26" x14ac:dyDescent="0.3">
      <c r="Z440" s="706"/>
    </row>
    <row r="441" spans="26:26" x14ac:dyDescent="0.3">
      <c r="Z441" s="706"/>
    </row>
    <row r="442" spans="26:26" x14ac:dyDescent="0.3">
      <c r="Z442" s="706"/>
    </row>
    <row r="443" spans="26:26" x14ac:dyDescent="0.3">
      <c r="Z443" s="706"/>
    </row>
    <row r="444" spans="26:26" x14ac:dyDescent="0.3">
      <c r="Z444" s="706"/>
    </row>
    <row r="445" spans="26:26" x14ac:dyDescent="0.3">
      <c r="Z445" s="706"/>
    </row>
    <row r="446" spans="26:26" x14ac:dyDescent="0.3">
      <c r="Z446" s="706"/>
    </row>
    <row r="447" spans="26:26" x14ac:dyDescent="0.3">
      <c r="Z447" s="706"/>
    </row>
    <row r="448" spans="26:26" x14ac:dyDescent="0.3">
      <c r="Z448" s="706"/>
    </row>
    <row r="449" spans="26:26" x14ac:dyDescent="0.3">
      <c r="Z449" s="706"/>
    </row>
    <row r="450" spans="26:26" x14ac:dyDescent="0.3">
      <c r="Z450" s="706"/>
    </row>
    <row r="451" spans="26:26" x14ac:dyDescent="0.3">
      <c r="Z451" s="706"/>
    </row>
    <row r="452" spans="26:26" x14ac:dyDescent="0.3">
      <c r="Z452" s="706"/>
    </row>
    <row r="453" spans="26:26" x14ac:dyDescent="0.3">
      <c r="Z453" s="706"/>
    </row>
    <row r="454" spans="26:26" x14ac:dyDescent="0.3">
      <c r="Z454" s="706"/>
    </row>
    <row r="455" spans="26:26" x14ac:dyDescent="0.3">
      <c r="Z455" s="706"/>
    </row>
    <row r="456" spans="26:26" x14ac:dyDescent="0.3">
      <c r="Z456" s="706"/>
    </row>
    <row r="457" spans="26:26" x14ac:dyDescent="0.3">
      <c r="Z457" s="706"/>
    </row>
    <row r="458" spans="26:26" x14ac:dyDescent="0.3">
      <c r="Z458" s="706"/>
    </row>
    <row r="459" spans="26:26" x14ac:dyDescent="0.3">
      <c r="Z459" s="706"/>
    </row>
    <row r="460" spans="26:26" x14ac:dyDescent="0.3">
      <c r="Z460" s="706"/>
    </row>
    <row r="461" spans="26:26" x14ac:dyDescent="0.3">
      <c r="Z461" s="706"/>
    </row>
    <row r="462" spans="26:26" x14ac:dyDescent="0.3">
      <c r="Z462" s="706"/>
    </row>
    <row r="463" spans="26:26" x14ac:dyDescent="0.3">
      <c r="Z463" s="706"/>
    </row>
    <row r="464" spans="26:26" x14ac:dyDescent="0.3">
      <c r="Z464" s="706"/>
    </row>
    <row r="465" spans="26:26" x14ac:dyDescent="0.3">
      <c r="Z465" s="706"/>
    </row>
    <row r="466" spans="26:26" x14ac:dyDescent="0.3">
      <c r="Z466" s="706"/>
    </row>
    <row r="467" spans="26:26" x14ac:dyDescent="0.3">
      <c r="Z467" s="706"/>
    </row>
    <row r="468" spans="26:26" x14ac:dyDescent="0.3">
      <c r="Z468" s="706"/>
    </row>
    <row r="469" spans="26:26" x14ac:dyDescent="0.3">
      <c r="Z469" s="706"/>
    </row>
    <row r="470" spans="26:26" x14ac:dyDescent="0.3">
      <c r="Z470" s="706"/>
    </row>
    <row r="471" spans="26:26" x14ac:dyDescent="0.3">
      <c r="Z471" s="706"/>
    </row>
    <row r="472" spans="26:26" x14ac:dyDescent="0.3">
      <c r="Z472" s="706"/>
    </row>
    <row r="473" spans="26:26" x14ac:dyDescent="0.3">
      <c r="Z473" s="706"/>
    </row>
    <row r="474" spans="26:26" x14ac:dyDescent="0.3">
      <c r="Z474" s="706"/>
    </row>
    <row r="475" spans="26:26" x14ac:dyDescent="0.3">
      <c r="Z475" s="706"/>
    </row>
    <row r="476" spans="26:26" x14ac:dyDescent="0.3">
      <c r="Z476" s="706"/>
    </row>
    <row r="477" spans="26:26" x14ac:dyDescent="0.3">
      <c r="Z477" s="706"/>
    </row>
    <row r="478" spans="26:26" x14ac:dyDescent="0.3">
      <c r="Z478" s="706"/>
    </row>
    <row r="479" spans="26:26" x14ac:dyDescent="0.3">
      <c r="Z479" s="706"/>
    </row>
    <row r="480" spans="26:26" x14ac:dyDescent="0.3">
      <c r="Z480" s="706"/>
    </row>
    <row r="481" spans="26:26" x14ac:dyDescent="0.3">
      <c r="Z481" s="706"/>
    </row>
    <row r="482" spans="26:26" x14ac:dyDescent="0.3">
      <c r="Z482" s="706"/>
    </row>
    <row r="483" spans="26:26" x14ac:dyDescent="0.3">
      <c r="Z483" s="706"/>
    </row>
    <row r="484" spans="26:26" x14ac:dyDescent="0.3">
      <c r="Z484" s="706"/>
    </row>
    <row r="485" spans="26:26" x14ac:dyDescent="0.3">
      <c r="Z485" s="706"/>
    </row>
    <row r="486" spans="26:26" x14ac:dyDescent="0.3">
      <c r="Z486" s="706"/>
    </row>
    <row r="487" spans="26:26" x14ac:dyDescent="0.3">
      <c r="Z487" s="706"/>
    </row>
    <row r="488" spans="26:26" x14ac:dyDescent="0.3">
      <c r="Z488" s="706"/>
    </row>
    <row r="489" spans="26:26" x14ac:dyDescent="0.3">
      <c r="Z489" s="706"/>
    </row>
    <row r="490" spans="26:26" x14ac:dyDescent="0.3">
      <c r="Z490" s="706"/>
    </row>
    <row r="491" spans="26:26" x14ac:dyDescent="0.3">
      <c r="Z491" s="706"/>
    </row>
    <row r="492" spans="26:26" x14ac:dyDescent="0.3">
      <c r="Z492" s="706"/>
    </row>
    <row r="493" spans="26:26" x14ac:dyDescent="0.3">
      <c r="Z493" s="706"/>
    </row>
    <row r="494" spans="26:26" x14ac:dyDescent="0.3">
      <c r="Z494" s="706"/>
    </row>
    <row r="495" spans="26:26" x14ac:dyDescent="0.3">
      <c r="Z495" s="706"/>
    </row>
    <row r="496" spans="26:26" x14ac:dyDescent="0.3">
      <c r="Z496" s="706"/>
    </row>
    <row r="497" spans="26:26" x14ac:dyDescent="0.3">
      <c r="Z497" s="706"/>
    </row>
    <row r="498" spans="26:26" x14ac:dyDescent="0.3">
      <c r="Z498" s="706"/>
    </row>
    <row r="499" spans="26:26" x14ac:dyDescent="0.3">
      <c r="Z499" s="706"/>
    </row>
    <row r="500" spans="26:26" x14ac:dyDescent="0.3">
      <c r="Z500" s="706"/>
    </row>
    <row r="501" spans="26:26" x14ac:dyDescent="0.3">
      <c r="Z501" s="706"/>
    </row>
    <row r="502" spans="26:26" x14ac:dyDescent="0.3">
      <c r="Z502" s="706"/>
    </row>
    <row r="503" spans="26:26" x14ac:dyDescent="0.3">
      <c r="Z503" s="706"/>
    </row>
    <row r="504" spans="26:26" x14ac:dyDescent="0.3">
      <c r="Z504" s="706"/>
    </row>
    <row r="505" spans="26:26" x14ac:dyDescent="0.3">
      <c r="Z505" s="706"/>
    </row>
    <row r="506" spans="26:26" x14ac:dyDescent="0.3">
      <c r="Z506" s="706"/>
    </row>
    <row r="507" spans="26:26" x14ac:dyDescent="0.3">
      <c r="Z507" s="706"/>
    </row>
    <row r="508" spans="26:26" x14ac:dyDescent="0.3">
      <c r="Z508" s="706"/>
    </row>
    <row r="509" spans="26:26" x14ac:dyDescent="0.3">
      <c r="Z509" s="706"/>
    </row>
    <row r="510" spans="26:26" x14ac:dyDescent="0.3">
      <c r="Z510" s="706"/>
    </row>
    <row r="511" spans="26:26" x14ac:dyDescent="0.3">
      <c r="Z511" s="706"/>
    </row>
    <row r="512" spans="26:26" x14ac:dyDescent="0.3">
      <c r="Z512" s="706"/>
    </row>
    <row r="513" spans="26:26" x14ac:dyDescent="0.3">
      <c r="Z513" s="706"/>
    </row>
    <row r="514" spans="26:26" x14ac:dyDescent="0.3">
      <c r="Z514" s="706"/>
    </row>
    <row r="515" spans="26:26" x14ac:dyDescent="0.3">
      <c r="Z515" s="706"/>
    </row>
    <row r="516" spans="26:26" x14ac:dyDescent="0.3">
      <c r="Z516" s="706"/>
    </row>
    <row r="517" spans="26:26" x14ac:dyDescent="0.3">
      <c r="Z517" s="706"/>
    </row>
    <row r="518" spans="26:26" x14ac:dyDescent="0.3">
      <c r="Z518" s="706"/>
    </row>
    <row r="519" spans="26:26" x14ac:dyDescent="0.3">
      <c r="Z519" s="706"/>
    </row>
    <row r="520" spans="26:26" x14ac:dyDescent="0.3">
      <c r="Z520" s="706"/>
    </row>
    <row r="521" spans="26:26" x14ac:dyDescent="0.3">
      <c r="Z521" s="706"/>
    </row>
    <row r="522" spans="26:26" x14ac:dyDescent="0.3">
      <c r="Z522" s="706"/>
    </row>
    <row r="523" spans="26:26" x14ac:dyDescent="0.3">
      <c r="Z523" s="706"/>
    </row>
    <row r="524" spans="26:26" x14ac:dyDescent="0.3">
      <c r="Z524" s="706"/>
    </row>
    <row r="525" spans="26:26" x14ac:dyDescent="0.3">
      <c r="Z525" s="706"/>
    </row>
    <row r="526" spans="26:26" x14ac:dyDescent="0.3">
      <c r="Z526" s="706"/>
    </row>
    <row r="527" spans="26:26" x14ac:dyDescent="0.3">
      <c r="Z527" s="706"/>
    </row>
    <row r="528" spans="26:26" x14ac:dyDescent="0.3">
      <c r="Z528" s="706"/>
    </row>
    <row r="529" spans="26:26" x14ac:dyDescent="0.3">
      <c r="Z529" s="706"/>
    </row>
    <row r="530" spans="26:26" x14ac:dyDescent="0.3">
      <c r="Z530" s="706"/>
    </row>
    <row r="531" spans="26:26" x14ac:dyDescent="0.3">
      <c r="Z531" s="706"/>
    </row>
    <row r="532" spans="26:26" x14ac:dyDescent="0.3">
      <c r="Z532" s="706"/>
    </row>
    <row r="533" spans="26:26" x14ac:dyDescent="0.3">
      <c r="Z533" s="706"/>
    </row>
    <row r="534" spans="26:26" x14ac:dyDescent="0.3">
      <c r="Z534" s="706"/>
    </row>
    <row r="535" spans="26:26" x14ac:dyDescent="0.3">
      <c r="Z535" s="706"/>
    </row>
    <row r="536" spans="26:26" x14ac:dyDescent="0.3">
      <c r="Z536" s="706"/>
    </row>
    <row r="537" spans="26:26" x14ac:dyDescent="0.3">
      <c r="Z537" s="706"/>
    </row>
    <row r="538" spans="26:26" x14ac:dyDescent="0.3">
      <c r="Z538" s="706"/>
    </row>
    <row r="539" spans="26:26" x14ac:dyDescent="0.3">
      <c r="Z539" s="706"/>
    </row>
    <row r="540" spans="26:26" x14ac:dyDescent="0.3">
      <c r="Z540" s="706"/>
    </row>
    <row r="541" spans="26:26" x14ac:dyDescent="0.3">
      <c r="Z541" s="706"/>
    </row>
    <row r="542" spans="26:26" x14ac:dyDescent="0.3">
      <c r="Z542" s="706"/>
    </row>
    <row r="543" spans="26:26" x14ac:dyDescent="0.3">
      <c r="Z543" s="706"/>
    </row>
    <row r="544" spans="26:26" x14ac:dyDescent="0.3">
      <c r="Z544" s="706"/>
    </row>
    <row r="545" spans="26:26" x14ac:dyDescent="0.3">
      <c r="Z545" s="706"/>
    </row>
    <row r="546" spans="26:26" x14ac:dyDescent="0.3">
      <c r="Z546" s="706"/>
    </row>
    <row r="547" spans="26:26" x14ac:dyDescent="0.3">
      <c r="Z547" s="706"/>
    </row>
    <row r="548" spans="26:26" x14ac:dyDescent="0.3">
      <c r="Z548" s="706"/>
    </row>
    <row r="549" spans="26:26" x14ac:dyDescent="0.3">
      <c r="Z549" s="706"/>
    </row>
    <row r="550" spans="26:26" x14ac:dyDescent="0.3">
      <c r="Z550" s="706"/>
    </row>
    <row r="551" spans="26:26" x14ac:dyDescent="0.3">
      <c r="Z551" s="706"/>
    </row>
    <row r="552" spans="26:26" x14ac:dyDescent="0.3">
      <c r="Z552" s="706"/>
    </row>
    <row r="553" spans="26:26" x14ac:dyDescent="0.3">
      <c r="Z553" s="706"/>
    </row>
    <row r="554" spans="26:26" x14ac:dyDescent="0.3">
      <c r="Z554" s="706"/>
    </row>
    <row r="555" spans="26:26" x14ac:dyDescent="0.3">
      <c r="Z555" s="706"/>
    </row>
    <row r="556" spans="26:26" x14ac:dyDescent="0.3">
      <c r="Z556" s="706"/>
    </row>
    <row r="557" spans="26:26" x14ac:dyDescent="0.3">
      <c r="Z557" s="706"/>
    </row>
    <row r="558" spans="26:26" x14ac:dyDescent="0.3">
      <c r="Z558" s="706"/>
    </row>
    <row r="559" spans="26:26" x14ac:dyDescent="0.3">
      <c r="Z559" s="706"/>
    </row>
    <row r="560" spans="26:26" x14ac:dyDescent="0.3">
      <c r="Z560" s="706"/>
    </row>
    <row r="561" spans="26:26" x14ac:dyDescent="0.3">
      <c r="Z561" s="706"/>
    </row>
    <row r="562" spans="26:26" x14ac:dyDescent="0.3">
      <c r="Z562" s="706"/>
    </row>
    <row r="563" spans="26:26" x14ac:dyDescent="0.3">
      <c r="Z563" s="706"/>
    </row>
    <row r="564" spans="26:26" x14ac:dyDescent="0.3">
      <c r="Z564" s="706"/>
    </row>
    <row r="565" spans="26:26" x14ac:dyDescent="0.3">
      <c r="Z565" s="706"/>
    </row>
    <row r="566" spans="26:26" x14ac:dyDescent="0.3">
      <c r="Z566" s="706"/>
    </row>
    <row r="567" spans="26:26" x14ac:dyDescent="0.3">
      <c r="Z567" s="706"/>
    </row>
    <row r="568" spans="26:26" x14ac:dyDescent="0.3">
      <c r="Z568" s="706"/>
    </row>
    <row r="569" spans="26:26" x14ac:dyDescent="0.3">
      <c r="Z569" s="706"/>
    </row>
    <row r="570" spans="26:26" x14ac:dyDescent="0.3">
      <c r="Z570" s="706"/>
    </row>
    <row r="571" spans="26:26" x14ac:dyDescent="0.3">
      <c r="Z571" s="706"/>
    </row>
    <row r="572" spans="26:26" x14ac:dyDescent="0.3">
      <c r="Z572" s="706"/>
    </row>
    <row r="573" spans="26:26" x14ac:dyDescent="0.3">
      <c r="Z573" s="706"/>
    </row>
    <row r="574" spans="26:26" x14ac:dyDescent="0.3">
      <c r="Z574" s="706"/>
    </row>
    <row r="575" spans="26:26" x14ac:dyDescent="0.3">
      <c r="Z575" s="706"/>
    </row>
    <row r="576" spans="26:26" x14ac:dyDescent="0.3">
      <c r="Z576" s="706"/>
    </row>
    <row r="577" spans="26:26" x14ac:dyDescent="0.3">
      <c r="Z577" s="706"/>
    </row>
    <row r="578" spans="26:26" x14ac:dyDescent="0.3">
      <c r="Z578" s="706"/>
    </row>
    <row r="579" spans="26:26" x14ac:dyDescent="0.3">
      <c r="Z579" s="706"/>
    </row>
    <row r="580" spans="26:26" x14ac:dyDescent="0.3">
      <c r="Z580" s="706"/>
    </row>
    <row r="581" spans="26:26" x14ac:dyDescent="0.3">
      <c r="Z581" s="706"/>
    </row>
    <row r="582" spans="26:26" x14ac:dyDescent="0.3">
      <c r="Z582" s="706"/>
    </row>
    <row r="583" spans="26:26" x14ac:dyDescent="0.3">
      <c r="Z583" s="706"/>
    </row>
    <row r="584" spans="26:26" x14ac:dyDescent="0.3">
      <c r="Z584" s="706"/>
    </row>
    <row r="585" spans="26:26" x14ac:dyDescent="0.3">
      <c r="Z585" s="706"/>
    </row>
    <row r="586" spans="26:26" x14ac:dyDescent="0.3">
      <c r="Z586" s="706"/>
    </row>
    <row r="587" spans="26:26" x14ac:dyDescent="0.3">
      <c r="Z587" s="706"/>
    </row>
    <row r="588" spans="26:26" x14ac:dyDescent="0.3">
      <c r="Z588" s="706"/>
    </row>
    <row r="589" spans="26:26" x14ac:dyDescent="0.3">
      <c r="Z589" s="706"/>
    </row>
    <row r="590" spans="26:26" x14ac:dyDescent="0.3">
      <c r="Z590" s="706"/>
    </row>
    <row r="591" spans="26:26" x14ac:dyDescent="0.3">
      <c r="Z591" s="706"/>
    </row>
    <row r="592" spans="26:26" x14ac:dyDescent="0.3">
      <c r="Z592" s="706"/>
    </row>
    <row r="593" spans="26:26" x14ac:dyDescent="0.3">
      <c r="Z593" s="706"/>
    </row>
    <row r="594" spans="26:26" x14ac:dyDescent="0.3">
      <c r="Z594" s="706"/>
    </row>
    <row r="595" spans="26:26" x14ac:dyDescent="0.3">
      <c r="Z595" s="706"/>
    </row>
    <row r="596" spans="26:26" x14ac:dyDescent="0.3">
      <c r="Z596" s="706"/>
    </row>
    <row r="597" spans="26:26" x14ac:dyDescent="0.3">
      <c r="Z597" s="706"/>
    </row>
    <row r="598" spans="26:26" x14ac:dyDescent="0.3">
      <c r="Z598" s="706"/>
    </row>
    <row r="599" spans="26:26" x14ac:dyDescent="0.3">
      <c r="Z599" s="706"/>
    </row>
    <row r="600" spans="26:26" x14ac:dyDescent="0.3">
      <c r="Z600" s="706"/>
    </row>
    <row r="601" spans="26:26" x14ac:dyDescent="0.3">
      <c r="Z601" s="706"/>
    </row>
    <row r="602" spans="26:26" x14ac:dyDescent="0.3">
      <c r="Z602" s="706"/>
    </row>
    <row r="603" spans="26:26" x14ac:dyDescent="0.3">
      <c r="Z603" s="706"/>
    </row>
    <row r="604" spans="26:26" x14ac:dyDescent="0.3">
      <c r="Z604" s="706"/>
    </row>
    <row r="605" spans="26:26" x14ac:dyDescent="0.3">
      <c r="Z605" s="706"/>
    </row>
    <row r="606" spans="26:26" x14ac:dyDescent="0.3">
      <c r="Z606" s="706"/>
    </row>
    <row r="607" spans="26:26" x14ac:dyDescent="0.3">
      <c r="Z607" s="706"/>
    </row>
    <row r="608" spans="26:26" x14ac:dyDescent="0.3">
      <c r="Z608" s="706"/>
    </row>
    <row r="609" spans="26:26" x14ac:dyDescent="0.3">
      <c r="Z609" s="706"/>
    </row>
    <row r="610" spans="26:26" x14ac:dyDescent="0.3">
      <c r="Z610" s="706"/>
    </row>
    <row r="611" spans="26:26" x14ac:dyDescent="0.3">
      <c r="Z611" s="706"/>
    </row>
    <row r="612" spans="26:26" x14ac:dyDescent="0.3">
      <c r="Z612" s="706"/>
    </row>
    <row r="613" spans="26:26" x14ac:dyDescent="0.3">
      <c r="Z613" s="706"/>
    </row>
    <row r="614" spans="26:26" x14ac:dyDescent="0.3">
      <c r="Z614" s="706"/>
    </row>
    <row r="615" spans="26:26" x14ac:dyDescent="0.3">
      <c r="Z615" s="706"/>
    </row>
    <row r="616" spans="26:26" x14ac:dyDescent="0.3">
      <c r="Z616" s="706"/>
    </row>
    <row r="617" spans="26:26" x14ac:dyDescent="0.3">
      <c r="Z617" s="706"/>
    </row>
    <row r="618" spans="26:26" x14ac:dyDescent="0.3">
      <c r="Z618" s="706"/>
    </row>
    <row r="619" spans="26:26" x14ac:dyDescent="0.3">
      <c r="Z619" s="706"/>
    </row>
    <row r="620" spans="26:26" x14ac:dyDescent="0.3">
      <c r="Z620" s="706"/>
    </row>
    <row r="621" spans="26:26" x14ac:dyDescent="0.3">
      <c r="Z621" s="706"/>
    </row>
    <row r="622" spans="26:26" x14ac:dyDescent="0.3">
      <c r="Z622" s="706"/>
    </row>
    <row r="623" spans="26:26" x14ac:dyDescent="0.3">
      <c r="Z623" s="706"/>
    </row>
    <row r="624" spans="26:26" x14ac:dyDescent="0.3">
      <c r="Z624" s="706"/>
    </row>
    <row r="625" spans="26:26" x14ac:dyDescent="0.3">
      <c r="Z625" s="706"/>
    </row>
    <row r="626" spans="26:26" x14ac:dyDescent="0.3">
      <c r="Z626" s="706"/>
    </row>
    <row r="627" spans="26:26" x14ac:dyDescent="0.3">
      <c r="Z627" s="706"/>
    </row>
    <row r="628" spans="26:26" x14ac:dyDescent="0.3">
      <c r="Z628" s="706"/>
    </row>
    <row r="629" spans="26:26" x14ac:dyDescent="0.3">
      <c r="Z629" s="706"/>
    </row>
    <row r="630" spans="26:26" x14ac:dyDescent="0.3">
      <c r="Z630" s="706"/>
    </row>
    <row r="631" spans="26:26" x14ac:dyDescent="0.3">
      <c r="Z631" s="706"/>
    </row>
    <row r="632" spans="26:26" x14ac:dyDescent="0.3">
      <c r="Z632" s="706"/>
    </row>
    <row r="633" spans="26:26" x14ac:dyDescent="0.3">
      <c r="Z633" s="706"/>
    </row>
    <row r="634" spans="26:26" x14ac:dyDescent="0.3">
      <c r="Z634" s="706"/>
    </row>
    <row r="635" spans="26:26" x14ac:dyDescent="0.3">
      <c r="Z635" s="706"/>
    </row>
    <row r="636" spans="26:26" x14ac:dyDescent="0.3">
      <c r="Z636" s="706"/>
    </row>
    <row r="637" spans="26:26" x14ac:dyDescent="0.3">
      <c r="Z637" s="706"/>
    </row>
    <row r="638" spans="26:26" x14ac:dyDescent="0.3">
      <c r="Z638" s="706"/>
    </row>
    <row r="639" spans="26:26" x14ac:dyDescent="0.3">
      <c r="Z639" s="706"/>
    </row>
    <row r="640" spans="26:26" x14ac:dyDescent="0.3">
      <c r="Z640" s="706"/>
    </row>
    <row r="641" spans="26:26" x14ac:dyDescent="0.3">
      <c r="Z641" s="706"/>
    </row>
    <row r="642" spans="26:26" x14ac:dyDescent="0.3">
      <c r="Z642" s="706"/>
    </row>
    <row r="643" spans="26:26" x14ac:dyDescent="0.3">
      <c r="Z643" s="706"/>
    </row>
    <row r="644" spans="26:26" x14ac:dyDescent="0.3">
      <c r="Z644" s="706"/>
    </row>
    <row r="645" spans="26:26" x14ac:dyDescent="0.3">
      <c r="Z645" s="706"/>
    </row>
    <row r="646" spans="26:26" x14ac:dyDescent="0.3">
      <c r="Z646" s="706"/>
    </row>
    <row r="647" spans="26:26" x14ac:dyDescent="0.3">
      <c r="Z647" s="706"/>
    </row>
    <row r="648" spans="26:26" x14ac:dyDescent="0.3">
      <c r="Z648" s="706"/>
    </row>
    <row r="649" spans="26:26" x14ac:dyDescent="0.3">
      <c r="Z649" s="706"/>
    </row>
    <row r="650" spans="26:26" x14ac:dyDescent="0.3">
      <c r="Z650" s="706"/>
    </row>
    <row r="651" spans="26:26" x14ac:dyDescent="0.3">
      <c r="Z651" s="706"/>
    </row>
    <row r="652" spans="26:26" x14ac:dyDescent="0.3">
      <c r="Z652" s="706"/>
    </row>
    <row r="653" spans="26:26" x14ac:dyDescent="0.3">
      <c r="Z653" s="706"/>
    </row>
    <row r="654" spans="26:26" x14ac:dyDescent="0.3">
      <c r="Z654" s="706"/>
    </row>
    <row r="655" spans="26:26" x14ac:dyDescent="0.3">
      <c r="Z655" s="706"/>
    </row>
    <row r="656" spans="26:26" x14ac:dyDescent="0.3">
      <c r="Z656" s="706"/>
    </row>
    <row r="657" spans="26:26" x14ac:dyDescent="0.3">
      <c r="Z657" s="706"/>
    </row>
    <row r="658" spans="26:26" x14ac:dyDescent="0.3">
      <c r="Z658" s="706"/>
    </row>
    <row r="659" spans="26:26" x14ac:dyDescent="0.3">
      <c r="Z659" s="706"/>
    </row>
    <row r="660" spans="26:26" x14ac:dyDescent="0.3">
      <c r="Z660" s="706"/>
    </row>
    <row r="661" spans="26:26" x14ac:dyDescent="0.3">
      <c r="Z661" s="706"/>
    </row>
    <row r="662" spans="26:26" x14ac:dyDescent="0.3">
      <c r="Z662" s="706"/>
    </row>
    <row r="663" spans="26:26" x14ac:dyDescent="0.3">
      <c r="Z663" s="706"/>
    </row>
    <row r="664" spans="26:26" x14ac:dyDescent="0.3">
      <c r="Z664" s="706"/>
    </row>
    <row r="665" spans="26:26" x14ac:dyDescent="0.3">
      <c r="Z665" s="706"/>
    </row>
    <row r="666" spans="26:26" x14ac:dyDescent="0.3">
      <c r="Z666" s="706"/>
    </row>
    <row r="667" spans="26:26" x14ac:dyDescent="0.3">
      <c r="Z667" s="706"/>
    </row>
    <row r="668" spans="26:26" x14ac:dyDescent="0.3">
      <c r="Z668" s="706"/>
    </row>
    <row r="669" spans="26:26" x14ac:dyDescent="0.3">
      <c r="Z669" s="706"/>
    </row>
    <row r="670" spans="26:26" x14ac:dyDescent="0.3">
      <c r="Z670" s="706"/>
    </row>
    <row r="671" spans="26:26" x14ac:dyDescent="0.3">
      <c r="Z671" s="706"/>
    </row>
    <row r="672" spans="26:26" x14ac:dyDescent="0.3">
      <c r="Z672" s="706"/>
    </row>
    <row r="673" spans="26:26" x14ac:dyDescent="0.3">
      <c r="Z673" s="706"/>
    </row>
    <row r="674" spans="26:26" x14ac:dyDescent="0.3">
      <c r="Z674" s="706"/>
    </row>
    <row r="675" spans="26:26" x14ac:dyDescent="0.3">
      <c r="Z675" s="706"/>
    </row>
    <row r="676" spans="26:26" x14ac:dyDescent="0.3">
      <c r="Z676" s="706"/>
    </row>
    <row r="677" spans="26:26" x14ac:dyDescent="0.3">
      <c r="Z677" s="706"/>
    </row>
    <row r="678" spans="26:26" x14ac:dyDescent="0.3">
      <c r="Z678" s="706"/>
    </row>
    <row r="679" spans="26:26" x14ac:dyDescent="0.3">
      <c r="Z679" s="706"/>
    </row>
    <row r="680" spans="26:26" x14ac:dyDescent="0.3">
      <c r="Z680" s="706"/>
    </row>
    <row r="681" spans="26:26" x14ac:dyDescent="0.3">
      <c r="Z681" s="706"/>
    </row>
    <row r="682" spans="26:26" x14ac:dyDescent="0.3">
      <c r="Z682" s="706"/>
    </row>
    <row r="683" spans="26:26" x14ac:dyDescent="0.3">
      <c r="Z683" s="706"/>
    </row>
    <row r="684" spans="26:26" x14ac:dyDescent="0.3">
      <c r="Z684" s="706"/>
    </row>
    <row r="685" spans="26:26" x14ac:dyDescent="0.3">
      <c r="Z685" s="706"/>
    </row>
    <row r="686" spans="26:26" x14ac:dyDescent="0.3">
      <c r="Z686" s="706"/>
    </row>
    <row r="687" spans="26:26" x14ac:dyDescent="0.3">
      <c r="Z687" s="706"/>
    </row>
    <row r="688" spans="26:26" x14ac:dyDescent="0.3">
      <c r="Z688" s="706"/>
    </row>
    <row r="689" spans="26:26" x14ac:dyDescent="0.3">
      <c r="Z689" s="706"/>
    </row>
    <row r="690" spans="26:26" x14ac:dyDescent="0.3">
      <c r="Z690" s="706"/>
    </row>
    <row r="691" spans="26:26" x14ac:dyDescent="0.3">
      <c r="Z691" s="706"/>
    </row>
    <row r="692" spans="26:26" x14ac:dyDescent="0.3">
      <c r="Z692" s="706"/>
    </row>
    <row r="693" spans="26:26" x14ac:dyDescent="0.3">
      <c r="Z693" s="706"/>
    </row>
    <row r="694" spans="26:26" x14ac:dyDescent="0.3">
      <c r="Z694" s="706"/>
    </row>
    <row r="695" spans="26:26" x14ac:dyDescent="0.3">
      <c r="Z695" s="706"/>
    </row>
    <row r="696" spans="26:26" x14ac:dyDescent="0.3">
      <c r="Z696" s="706"/>
    </row>
    <row r="697" spans="26:26" x14ac:dyDescent="0.3">
      <c r="Z697" s="706"/>
    </row>
    <row r="698" spans="26:26" x14ac:dyDescent="0.3">
      <c r="Z698" s="706"/>
    </row>
    <row r="699" spans="26:26" x14ac:dyDescent="0.3">
      <c r="Z699" s="706"/>
    </row>
    <row r="700" spans="26:26" x14ac:dyDescent="0.3">
      <c r="Z700" s="706"/>
    </row>
    <row r="701" spans="26:26" x14ac:dyDescent="0.3">
      <c r="Z701" s="706"/>
    </row>
    <row r="702" spans="26:26" x14ac:dyDescent="0.3">
      <c r="Z702" s="706"/>
    </row>
    <row r="703" spans="26:26" x14ac:dyDescent="0.3">
      <c r="Z703" s="706"/>
    </row>
    <row r="704" spans="26:26" x14ac:dyDescent="0.3">
      <c r="Z704" s="706"/>
    </row>
    <row r="705" spans="26:26" x14ac:dyDescent="0.3">
      <c r="Z705" s="706"/>
    </row>
    <row r="706" spans="26:26" x14ac:dyDescent="0.3">
      <c r="Z706" s="706"/>
    </row>
    <row r="707" spans="26:26" x14ac:dyDescent="0.3">
      <c r="Z707" s="706"/>
    </row>
    <row r="708" spans="26:26" x14ac:dyDescent="0.3">
      <c r="Z708" s="706"/>
    </row>
    <row r="709" spans="26:26" x14ac:dyDescent="0.3">
      <c r="Z709" s="706"/>
    </row>
    <row r="710" spans="26:26" x14ac:dyDescent="0.3">
      <c r="Z710" s="706"/>
    </row>
    <row r="711" spans="26:26" x14ac:dyDescent="0.3">
      <c r="Z711" s="706"/>
    </row>
    <row r="712" spans="26:26" x14ac:dyDescent="0.3">
      <c r="Z712" s="706"/>
    </row>
    <row r="713" spans="26:26" x14ac:dyDescent="0.3">
      <c r="Z713" s="706"/>
    </row>
    <row r="714" spans="26:26" x14ac:dyDescent="0.3">
      <c r="Z714" s="706"/>
    </row>
    <row r="715" spans="26:26" x14ac:dyDescent="0.3">
      <c r="Z715" s="706"/>
    </row>
    <row r="716" spans="26:26" x14ac:dyDescent="0.3">
      <c r="Z716" s="706"/>
    </row>
    <row r="717" spans="26:26" x14ac:dyDescent="0.3">
      <c r="Z717" s="706"/>
    </row>
    <row r="718" spans="26:26" x14ac:dyDescent="0.3">
      <c r="Z718" s="706"/>
    </row>
    <row r="719" spans="26:26" x14ac:dyDescent="0.3">
      <c r="Z719" s="706"/>
    </row>
    <row r="720" spans="26:26" x14ac:dyDescent="0.3">
      <c r="Z720" s="706"/>
    </row>
    <row r="721" spans="26:26" x14ac:dyDescent="0.3">
      <c r="Z721" s="706"/>
    </row>
    <row r="722" spans="26:26" x14ac:dyDescent="0.3">
      <c r="Z722" s="706"/>
    </row>
    <row r="723" spans="26:26" x14ac:dyDescent="0.3">
      <c r="Z723" s="706"/>
    </row>
    <row r="724" spans="26:26" x14ac:dyDescent="0.3">
      <c r="Z724" s="706"/>
    </row>
    <row r="725" spans="26:26" x14ac:dyDescent="0.3">
      <c r="Z725" s="706"/>
    </row>
    <row r="726" spans="26:26" x14ac:dyDescent="0.3">
      <c r="Z726" s="706"/>
    </row>
    <row r="727" spans="26:26" x14ac:dyDescent="0.3">
      <c r="Z727" s="706"/>
    </row>
    <row r="728" spans="26:26" x14ac:dyDescent="0.3">
      <c r="Z728" s="706"/>
    </row>
    <row r="729" spans="26:26" x14ac:dyDescent="0.3">
      <c r="Z729" s="706"/>
    </row>
    <row r="730" spans="26:26" x14ac:dyDescent="0.3">
      <c r="Z730" s="706"/>
    </row>
    <row r="731" spans="26:26" x14ac:dyDescent="0.3">
      <c r="Z731" s="706"/>
    </row>
    <row r="732" spans="26:26" x14ac:dyDescent="0.3">
      <c r="Z732" s="706"/>
    </row>
    <row r="733" spans="26:26" x14ac:dyDescent="0.3">
      <c r="Z733" s="706"/>
    </row>
    <row r="734" spans="26:26" x14ac:dyDescent="0.3">
      <c r="Z734" s="706"/>
    </row>
    <row r="735" spans="26:26" x14ac:dyDescent="0.3">
      <c r="Z735" s="706"/>
    </row>
    <row r="736" spans="26:26" x14ac:dyDescent="0.3">
      <c r="Z736" s="706"/>
    </row>
    <row r="737" spans="26:26" x14ac:dyDescent="0.3">
      <c r="Z737" s="706"/>
    </row>
    <row r="738" spans="26:26" x14ac:dyDescent="0.3">
      <c r="Z738" s="706"/>
    </row>
    <row r="739" spans="26:26" x14ac:dyDescent="0.3">
      <c r="Z739" s="706"/>
    </row>
    <row r="740" spans="26:26" x14ac:dyDescent="0.3">
      <c r="Z740" s="706"/>
    </row>
    <row r="741" spans="26:26" x14ac:dyDescent="0.3">
      <c r="Z741" s="706"/>
    </row>
    <row r="742" spans="26:26" x14ac:dyDescent="0.3">
      <c r="Z742" s="706"/>
    </row>
    <row r="743" spans="26:26" x14ac:dyDescent="0.3">
      <c r="Z743" s="706"/>
    </row>
    <row r="744" spans="26:26" x14ac:dyDescent="0.3">
      <c r="Z744" s="706"/>
    </row>
    <row r="745" spans="26:26" x14ac:dyDescent="0.3">
      <c r="Z745" s="706"/>
    </row>
    <row r="746" spans="26:26" x14ac:dyDescent="0.3">
      <c r="Z746" s="706"/>
    </row>
    <row r="747" spans="26:26" x14ac:dyDescent="0.3">
      <c r="Z747" s="706"/>
    </row>
    <row r="748" spans="26:26" x14ac:dyDescent="0.3">
      <c r="Z748" s="706"/>
    </row>
    <row r="749" spans="26:26" x14ac:dyDescent="0.3">
      <c r="Z749" s="706"/>
    </row>
    <row r="750" spans="26:26" x14ac:dyDescent="0.3">
      <c r="Z750" s="706"/>
    </row>
    <row r="751" spans="26:26" x14ac:dyDescent="0.3">
      <c r="Z751" s="706"/>
    </row>
    <row r="752" spans="26:26" x14ac:dyDescent="0.3">
      <c r="Z752" s="706"/>
    </row>
    <row r="753" spans="26:26" x14ac:dyDescent="0.3">
      <c r="Z753" s="706"/>
    </row>
    <row r="754" spans="26:26" x14ac:dyDescent="0.3">
      <c r="Z754" s="706"/>
    </row>
    <row r="755" spans="26:26" x14ac:dyDescent="0.3">
      <c r="Z755" s="706"/>
    </row>
    <row r="756" spans="26:26" x14ac:dyDescent="0.3">
      <c r="Z756" s="706"/>
    </row>
    <row r="757" spans="26:26" x14ac:dyDescent="0.3">
      <c r="Z757" s="706"/>
    </row>
    <row r="758" spans="26:26" x14ac:dyDescent="0.3">
      <c r="Z758" s="706"/>
    </row>
    <row r="759" spans="26:26" x14ac:dyDescent="0.3">
      <c r="Z759" s="706"/>
    </row>
    <row r="760" spans="26:26" x14ac:dyDescent="0.3">
      <c r="Z760" s="706"/>
    </row>
    <row r="761" spans="26:26" x14ac:dyDescent="0.3">
      <c r="Z761" s="706"/>
    </row>
    <row r="762" spans="26:26" x14ac:dyDescent="0.3">
      <c r="Z762" s="706"/>
    </row>
    <row r="763" spans="26:26" x14ac:dyDescent="0.3">
      <c r="Z763" s="706"/>
    </row>
    <row r="764" spans="26:26" x14ac:dyDescent="0.3">
      <c r="Z764" s="706"/>
    </row>
    <row r="765" spans="26:26" x14ac:dyDescent="0.3">
      <c r="Z765" s="706"/>
    </row>
    <row r="766" spans="26:26" x14ac:dyDescent="0.3">
      <c r="Z766" s="706"/>
    </row>
    <row r="767" spans="26:26" x14ac:dyDescent="0.3">
      <c r="Z767" s="706"/>
    </row>
    <row r="768" spans="26:26" x14ac:dyDescent="0.3">
      <c r="Z768" s="706"/>
    </row>
    <row r="769" spans="26:26" x14ac:dyDescent="0.3">
      <c r="Z769" s="706"/>
    </row>
    <row r="770" spans="26:26" x14ac:dyDescent="0.3">
      <c r="Z770" s="706"/>
    </row>
    <row r="771" spans="26:26" x14ac:dyDescent="0.3">
      <c r="Z771" s="706"/>
    </row>
    <row r="772" spans="26:26" x14ac:dyDescent="0.3">
      <c r="Z772" s="706"/>
    </row>
    <row r="773" spans="26:26" x14ac:dyDescent="0.3">
      <c r="Z773" s="706"/>
    </row>
    <row r="774" spans="26:26" x14ac:dyDescent="0.3">
      <c r="Z774" s="706"/>
    </row>
    <row r="775" spans="26:26" x14ac:dyDescent="0.3">
      <c r="Z775" s="706"/>
    </row>
    <row r="776" spans="26:26" x14ac:dyDescent="0.3">
      <c r="Z776" s="706"/>
    </row>
    <row r="777" spans="26:26" x14ac:dyDescent="0.3">
      <c r="Z777" s="706"/>
    </row>
    <row r="778" spans="26:26" x14ac:dyDescent="0.3">
      <c r="Z778" s="706"/>
    </row>
    <row r="779" spans="26:26" x14ac:dyDescent="0.3">
      <c r="Z779" s="706"/>
    </row>
    <row r="780" spans="26:26" x14ac:dyDescent="0.3">
      <c r="Z780" s="706"/>
    </row>
    <row r="781" spans="26:26" x14ac:dyDescent="0.3">
      <c r="Z781" s="706"/>
    </row>
    <row r="782" spans="26:26" x14ac:dyDescent="0.3">
      <c r="Z782" s="706"/>
    </row>
    <row r="783" spans="26:26" x14ac:dyDescent="0.3">
      <c r="Z783" s="706"/>
    </row>
    <row r="784" spans="26:26" x14ac:dyDescent="0.3">
      <c r="Z784" s="706"/>
    </row>
    <row r="785" spans="26:26" x14ac:dyDescent="0.3">
      <c r="Z785" s="706"/>
    </row>
    <row r="786" spans="26:26" x14ac:dyDescent="0.3">
      <c r="Z786" s="706"/>
    </row>
    <row r="787" spans="26:26" x14ac:dyDescent="0.3">
      <c r="Z787" s="706"/>
    </row>
    <row r="788" spans="26:26" x14ac:dyDescent="0.3">
      <c r="Z788" s="706"/>
    </row>
    <row r="789" spans="26:26" x14ac:dyDescent="0.3">
      <c r="Z789" s="706"/>
    </row>
    <row r="790" spans="26:26" x14ac:dyDescent="0.3">
      <c r="Z790" s="706"/>
    </row>
    <row r="791" spans="26:26" x14ac:dyDescent="0.3">
      <c r="Z791" s="706"/>
    </row>
    <row r="792" spans="26:26" x14ac:dyDescent="0.3">
      <c r="Z792" s="706"/>
    </row>
    <row r="793" spans="26:26" x14ac:dyDescent="0.3">
      <c r="Z793" s="706"/>
    </row>
    <row r="794" spans="26:26" x14ac:dyDescent="0.3">
      <c r="Z794" s="706"/>
    </row>
    <row r="795" spans="26:26" x14ac:dyDescent="0.3">
      <c r="Z795" s="706"/>
    </row>
    <row r="796" spans="26:26" x14ac:dyDescent="0.3">
      <c r="Z796" s="706"/>
    </row>
    <row r="797" spans="26:26" x14ac:dyDescent="0.3">
      <c r="Z797" s="706"/>
    </row>
    <row r="798" spans="26:26" x14ac:dyDescent="0.3">
      <c r="Z798" s="706"/>
    </row>
    <row r="799" spans="26:26" x14ac:dyDescent="0.3">
      <c r="Z799" s="706"/>
    </row>
    <row r="800" spans="26:26" x14ac:dyDescent="0.3">
      <c r="Z800" s="706"/>
    </row>
    <row r="801" spans="26:26" x14ac:dyDescent="0.3">
      <c r="Z801" s="706"/>
    </row>
    <row r="802" spans="26:26" x14ac:dyDescent="0.3">
      <c r="Z802" s="706"/>
    </row>
    <row r="803" spans="26:26" x14ac:dyDescent="0.3">
      <c r="Z803" s="706"/>
    </row>
    <row r="804" spans="26:26" x14ac:dyDescent="0.3">
      <c r="Z804" s="706"/>
    </row>
    <row r="805" spans="26:26" x14ac:dyDescent="0.3">
      <c r="Z805" s="706"/>
    </row>
    <row r="806" spans="26:26" x14ac:dyDescent="0.3">
      <c r="Z806" s="706"/>
    </row>
    <row r="807" spans="26:26" x14ac:dyDescent="0.3">
      <c r="Z807" s="706"/>
    </row>
    <row r="808" spans="26:26" x14ac:dyDescent="0.3">
      <c r="Z808" s="706"/>
    </row>
    <row r="809" spans="26:26" x14ac:dyDescent="0.3">
      <c r="Z809" s="706"/>
    </row>
    <row r="810" spans="26:26" x14ac:dyDescent="0.3">
      <c r="Z810" s="706"/>
    </row>
    <row r="811" spans="26:26" x14ac:dyDescent="0.3">
      <c r="Z811" s="706"/>
    </row>
    <row r="812" spans="26:26" x14ac:dyDescent="0.3">
      <c r="Z812" s="706"/>
    </row>
    <row r="813" spans="26:26" x14ac:dyDescent="0.3">
      <c r="Z813" s="706"/>
    </row>
    <row r="814" spans="26:26" x14ac:dyDescent="0.3">
      <c r="Z814" s="706"/>
    </row>
    <row r="815" spans="26:26" x14ac:dyDescent="0.3">
      <c r="Z815" s="706"/>
    </row>
    <row r="816" spans="26:26" x14ac:dyDescent="0.3">
      <c r="Z816" s="706"/>
    </row>
    <row r="817" spans="26:26" x14ac:dyDescent="0.3">
      <c r="Z817" s="706"/>
    </row>
    <row r="818" spans="26:26" x14ac:dyDescent="0.3">
      <c r="Z818" s="706"/>
    </row>
    <row r="819" spans="26:26" x14ac:dyDescent="0.3">
      <c r="Z819" s="706"/>
    </row>
    <row r="820" spans="26:26" x14ac:dyDescent="0.3">
      <c r="Z820" s="706"/>
    </row>
    <row r="821" spans="26:26" x14ac:dyDescent="0.3">
      <c r="Z821" s="706"/>
    </row>
    <row r="822" spans="26:26" x14ac:dyDescent="0.3">
      <c r="Z822" s="706"/>
    </row>
    <row r="823" spans="26:26" x14ac:dyDescent="0.3">
      <c r="Z823" s="706"/>
    </row>
    <row r="824" spans="26:26" x14ac:dyDescent="0.3">
      <c r="Z824" s="706"/>
    </row>
    <row r="825" spans="26:26" x14ac:dyDescent="0.3">
      <c r="Z825" s="706"/>
    </row>
    <row r="826" spans="26:26" x14ac:dyDescent="0.3">
      <c r="Z826" s="706"/>
    </row>
    <row r="827" spans="26:26" x14ac:dyDescent="0.3">
      <c r="Z827" s="706"/>
    </row>
    <row r="828" spans="26:26" x14ac:dyDescent="0.3">
      <c r="Z828" s="706"/>
    </row>
    <row r="829" spans="26:26" x14ac:dyDescent="0.3">
      <c r="Z829" s="706"/>
    </row>
    <row r="830" spans="26:26" x14ac:dyDescent="0.3">
      <c r="Z830" s="706"/>
    </row>
    <row r="831" spans="26:26" x14ac:dyDescent="0.3">
      <c r="Z831" s="706"/>
    </row>
    <row r="832" spans="26:26" x14ac:dyDescent="0.3">
      <c r="Z832" s="706"/>
    </row>
    <row r="833" spans="26:26" x14ac:dyDescent="0.3">
      <c r="Z833" s="706"/>
    </row>
    <row r="834" spans="26:26" x14ac:dyDescent="0.3">
      <c r="Z834" s="706"/>
    </row>
    <row r="835" spans="26:26" x14ac:dyDescent="0.3">
      <c r="Z835" s="706"/>
    </row>
    <row r="836" spans="26:26" x14ac:dyDescent="0.3">
      <c r="Z836" s="706"/>
    </row>
    <row r="837" spans="26:26" x14ac:dyDescent="0.3">
      <c r="Z837" s="706"/>
    </row>
    <row r="838" spans="26:26" x14ac:dyDescent="0.3">
      <c r="Z838" s="706"/>
    </row>
    <row r="839" spans="26:26" x14ac:dyDescent="0.3">
      <c r="Z839" s="706"/>
    </row>
    <row r="840" spans="26:26" x14ac:dyDescent="0.3">
      <c r="Z840" s="706"/>
    </row>
    <row r="841" spans="26:26" x14ac:dyDescent="0.3">
      <c r="Z841" s="706"/>
    </row>
    <row r="842" spans="26:26" x14ac:dyDescent="0.3">
      <c r="Z842" s="706"/>
    </row>
    <row r="843" spans="26:26" x14ac:dyDescent="0.3">
      <c r="Z843" s="706"/>
    </row>
    <row r="844" spans="26:26" x14ac:dyDescent="0.3">
      <c r="Z844" s="706"/>
    </row>
    <row r="845" spans="26:26" x14ac:dyDescent="0.3">
      <c r="Z845" s="706"/>
    </row>
    <row r="846" spans="26:26" x14ac:dyDescent="0.3">
      <c r="Z846" s="706"/>
    </row>
    <row r="847" spans="26:26" x14ac:dyDescent="0.3">
      <c r="Z847" s="706"/>
    </row>
    <row r="848" spans="26:26" x14ac:dyDescent="0.3">
      <c r="Z848" s="706"/>
    </row>
    <row r="849" spans="26:26" x14ac:dyDescent="0.3">
      <c r="Z849" s="706"/>
    </row>
    <row r="850" spans="26:26" x14ac:dyDescent="0.3">
      <c r="Z850" s="706"/>
    </row>
    <row r="851" spans="26:26" x14ac:dyDescent="0.3">
      <c r="Z851" s="706"/>
    </row>
    <row r="852" spans="26:26" x14ac:dyDescent="0.3">
      <c r="Z852" s="706"/>
    </row>
    <row r="853" spans="26:26" x14ac:dyDescent="0.3">
      <c r="Z853" s="706"/>
    </row>
    <row r="854" spans="26:26" x14ac:dyDescent="0.3">
      <c r="Z854" s="706"/>
    </row>
    <row r="855" spans="26:26" x14ac:dyDescent="0.3">
      <c r="Z855" s="706"/>
    </row>
    <row r="856" spans="26:26" x14ac:dyDescent="0.3">
      <c r="Z856" s="706"/>
    </row>
    <row r="857" spans="26:26" x14ac:dyDescent="0.3">
      <c r="Z857" s="706"/>
    </row>
    <row r="858" spans="26:26" x14ac:dyDescent="0.3">
      <c r="Z858" s="706"/>
    </row>
    <row r="859" spans="26:26" x14ac:dyDescent="0.3">
      <c r="Z859" s="706"/>
    </row>
    <row r="860" spans="26:26" x14ac:dyDescent="0.3">
      <c r="Z860" s="706"/>
    </row>
    <row r="861" spans="26:26" x14ac:dyDescent="0.3">
      <c r="Z861" s="706"/>
    </row>
    <row r="862" spans="26:26" x14ac:dyDescent="0.3">
      <c r="Z862" s="706"/>
    </row>
    <row r="863" spans="26:26" x14ac:dyDescent="0.3">
      <c r="Z863" s="706"/>
    </row>
    <row r="864" spans="26:26" x14ac:dyDescent="0.3">
      <c r="Z864" s="706"/>
    </row>
    <row r="865" spans="26:26" x14ac:dyDescent="0.3">
      <c r="Z865" s="706"/>
    </row>
    <row r="866" spans="26:26" x14ac:dyDescent="0.3">
      <c r="Z866" s="706"/>
    </row>
    <row r="867" spans="26:26" x14ac:dyDescent="0.3">
      <c r="Z867" s="706"/>
    </row>
    <row r="868" spans="26:26" x14ac:dyDescent="0.3">
      <c r="Z868" s="706"/>
    </row>
    <row r="869" spans="26:26" x14ac:dyDescent="0.3">
      <c r="Z869" s="706"/>
    </row>
    <row r="870" spans="26:26" x14ac:dyDescent="0.3">
      <c r="Z870" s="706"/>
    </row>
    <row r="871" spans="26:26" x14ac:dyDescent="0.3">
      <c r="Z871" s="706"/>
    </row>
    <row r="872" spans="26:26" x14ac:dyDescent="0.3">
      <c r="Z872" s="706"/>
    </row>
    <row r="873" spans="26:26" x14ac:dyDescent="0.3">
      <c r="Z873" s="706"/>
    </row>
    <row r="874" spans="26:26" x14ac:dyDescent="0.3">
      <c r="Z874" s="706"/>
    </row>
    <row r="875" spans="26:26" x14ac:dyDescent="0.3">
      <c r="Z875" s="706"/>
    </row>
    <row r="876" spans="26:26" x14ac:dyDescent="0.3">
      <c r="Z876" s="706"/>
    </row>
    <row r="877" spans="26:26" x14ac:dyDescent="0.3">
      <c r="Z877" s="706"/>
    </row>
    <row r="878" spans="26:26" x14ac:dyDescent="0.3">
      <c r="Z878" s="706"/>
    </row>
    <row r="879" spans="26:26" x14ac:dyDescent="0.3">
      <c r="Z879" s="706"/>
    </row>
    <row r="880" spans="26:26" x14ac:dyDescent="0.3">
      <c r="Z880" s="706"/>
    </row>
    <row r="881" spans="26:26" x14ac:dyDescent="0.3">
      <c r="Z881" s="706"/>
    </row>
    <row r="882" spans="26:26" x14ac:dyDescent="0.3">
      <c r="Z882" s="706"/>
    </row>
    <row r="883" spans="26:26" x14ac:dyDescent="0.3">
      <c r="Z883" s="706"/>
    </row>
    <row r="884" spans="26:26" x14ac:dyDescent="0.3">
      <c r="Z884" s="706"/>
    </row>
    <row r="885" spans="26:26" x14ac:dyDescent="0.3">
      <c r="Z885" s="706"/>
    </row>
    <row r="886" spans="26:26" x14ac:dyDescent="0.3">
      <c r="Z886" s="706"/>
    </row>
    <row r="887" spans="26:26" x14ac:dyDescent="0.3">
      <c r="Z887" s="706"/>
    </row>
    <row r="888" spans="26:26" x14ac:dyDescent="0.3">
      <c r="Z888" s="706"/>
    </row>
    <row r="889" spans="26:26" x14ac:dyDescent="0.3">
      <c r="Z889" s="706"/>
    </row>
    <row r="890" spans="26:26" x14ac:dyDescent="0.3">
      <c r="Z890" s="706"/>
    </row>
    <row r="891" spans="26:26" x14ac:dyDescent="0.3">
      <c r="Z891" s="706"/>
    </row>
    <row r="892" spans="26:26" x14ac:dyDescent="0.3">
      <c r="Z892" s="706"/>
    </row>
    <row r="893" spans="26:26" x14ac:dyDescent="0.3">
      <c r="Z893" s="706"/>
    </row>
    <row r="894" spans="26:26" x14ac:dyDescent="0.3">
      <c r="Z894" s="706"/>
    </row>
    <row r="895" spans="26:26" x14ac:dyDescent="0.3">
      <c r="Z895" s="706"/>
    </row>
    <row r="896" spans="26:26" x14ac:dyDescent="0.3">
      <c r="Z896" s="706"/>
    </row>
    <row r="897" spans="26:26" x14ac:dyDescent="0.3">
      <c r="Z897" s="706"/>
    </row>
    <row r="898" spans="26:26" x14ac:dyDescent="0.3">
      <c r="Z898" s="706"/>
    </row>
    <row r="899" spans="26:26" x14ac:dyDescent="0.3">
      <c r="Z899" s="706"/>
    </row>
    <row r="900" spans="26:26" x14ac:dyDescent="0.3">
      <c r="Z900" s="706"/>
    </row>
    <row r="901" spans="26:26" x14ac:dyDescent="0.3">
      <c r="Z901" s="706"/>
    </row>
    <row r="902" spans="26:26" x14ac:dyDescent="0.3">
      <c r="Z902" s="706"/>
    </row>
    <row r="903" spans="26:26" x14ac:dyDescent="0.3">
      <c r="Z903" s="706"/>
    </row>
    <row r="904" spans="26:26" x14ac:dyDescent="0.3">
      <c r="Z904" s="706"/>
    </row>
    <row r="905" spans="26:26" x14ac:dyDescent="0.3">
      <c r="Z905" s="706"/>
    </row>
    <row r="906" spans="26:26" x14ac:dyDescent="0.3">
      <c r="Z906" s="706"/>
    </row>
    <row r="907" spans="26:26" x14ac:dyDescent="0.3">
      <c r="Z907" s="706"/>
    </row>
    <row r="908" spans="26:26" x14ac:dyDescent="0.3">
      <c r="Z908" s="706"/>
    </row>
    <row r="909" spans="26:26" x14ac:dyDescent="0.3">
      <c r="Z909" s="706"/>
    </row>
    <row r="910" spans="26:26" x14ac:dyDescent="0.3">
      <c r="Z910" s="706"/>
    </row>
    <row r="911" spans="26:26" x14ac:dyDescent="0.3">
      <c r="Z911" s="706"/>
    </row>
    <row r="912" spans="26:26" x14ac:dyDescent="0.3">
      <c r="Z912" s="706"/>
    </row>
    <row r="913" spans="26:26" x14ac:dyDescent="0.3">
      <c r="Z913" s="706"/>
    </row>
    <row r="914" spans="26:26" x14ac:dyDescent="0.3">
      <c r="Z914" s="706"/>
    </row>
    <row r="915" spans="26:26" x14ac:dyDescent="0.3">
      <c r="Z915" s="706"/>
    </row>
    <row r="916" spans="26:26" x14ac:dyDescent="0.3">
      <c r="Z916" s="706"/>
    </row>
    <row r="917" spans="26:26" x14ac:dyDescent="0.3">
      <c r="Z917" s="706"/>
    </row>
    <row r="918" spans="26:26" x14ac:dyDescent="0.3">
      <c r="Z918" s="706"/>
    </row>
    <row r="919" spans="26:26" x14ac:dyDescent="0.3">
      <c r="Z919" s="706"/>
    </row>
    <row r="920" spans="26:26" x14ac:dyDescent="0.3">
      <c r="Z920" s="706"/>
    </row>
    <row r="921" spans="26:26" x14ac:dyDescent="0.3">
      <c r="Z921" s="706"/>
    </row>
    <row r="922" spans="26:26" x14ac:dyDescent="0.3">
      <c r="Z922" s="706"/>
    </row>
    <row r="923" spans="26:26" x14ac:dyDescent="0.3">
      <c r="Z923" s="706"/>
    </row>
    <row r="924" spans="26:26" x14ac:dyDescent="0.3">
      <c r="Z924" s="706"/>
    </row>
    <row r="925" spans="26:26" x14ac:dyDescent="0.3">
      <c r="Z925" s="706"/>
    </row>
    <row r="926" spans="26:26" x14ac:dyDescent="0.3">
      <c r="Z926" s="706"/>
    </row>
    <row r="927" spans="26:26" x14ac:dyDescent="0.3">
      <c r="Z927" s="706"/>
    </row>
    <row r="928" spans="26:26" x14ac:dyDescent="0.3">
      <c r="Z928" s="706"/>
    </row>
    <row r="929" spans="26:26" x14ac:dyDescent="0.3">
      <c r="Z929" s="706"/>
    </row>
    <row r="930" spans="26:26" x14ac:dyDescent="0.3">
      <c r="Z930" s="706"/>
    </row>
    <row r="931" spans="26:26" x14ac:dyDescent="0.3">
      <c r="Z931" s="706"/>
    </row>
    <row r="932" spans="26:26" x14ac:dyDescent="0.3">
      <c r="Z932" s="706"/>
    </row>
    <row r="933" spans="26:26" x14ac:dyDescent="0.3">
      <c r="Z933" s="706"/>
    </row>
    <row r="934" spans="26:26" x14ac:dyDescent="0.3">
      <c r="Z934" s="706"/>
    </row>
    <row r="935" spans="26:26" x14ac:dyDescent="0.3">
      <c r="Z935" s="706"/>
    </row>
    <row r="936" spans="26:26" x14ac:dyDescent="0.3">
      <c r="Z936" s="706"/>
    </row>
    <row r="937" spans="26:26" x14ac:dyDescent="0.3">
      <c r="Z937" s="706"/>
    </row>
    <row r="938" spans="26:26" x14ac:dyDescent="0.3">
      <c r="Z938" s="706"/>
    </row>
    <row r="939" spans="26:26" x14ac:dyDescent="0.3">
      <c r="Z939" s="706"/>
    </row>
    <row r="940" spans="26:26" x14ac:dyDescent="0.3">
      <c r="Z940" s="706"/>
    </row>
    <row r="941" spans="26:26" x14ac:dyDescent="0.3">
      <c r="Z941" s="706"/>
    </row>
    <row r="942" spans="26:26" x14ac:dyDescent="0.3">
      <c r="Z942" s="706"/>
    </row>
    <row r="943" spans="26:26" x14ac:dyDescent="0.3">
      <c r="Z943" s="706"/>
    </row>
    <row r="944" spans="26:26" x14ac:dyDescent="0.3">
      <c r="Z944" s="706"/>
    </row>
    <row r="945" spans="26:26" x14ac:dyDescent="0.3">
      <c r="Z945" s="706"/>
    </row>
    <row r="946" spans="26:26" x14ac:dyDescent="0.3">
      <c r="Z946" s="706"/>
    </row>
    <row r="947" spans="26:26" x14ac:dyDescent="0.3">
      <c r="Z947" s="706"/>
    </row>
    <row r="948" spans="26:26" x14ac:dyDescent="0.3">
      <c r="Z948" s="706"/>
    </row>
    <row r="949" spans="26:26" x14ac:dyDescent="0.3">
      <c r="Z949" s="706"/>
    </row>
    <row r="950" spans="26:26" x14ac:dyDescent="0.3">
      <c r="Z950" s="706"/>
    </row>
    <row r="951" spans="26:26" x14ac:dyDescent="0.3">
      <c r="Z951" s="706"/>
    </row>
    <row r="952" spans="26:26" x14ac:dyDescent="0.3">
      <c r="Z952" s="706"/>
    </row>
    <row r="953" spans="26:26" x14ac:dyDescent="0.3">
      <c r="Z953" s="706"/>
    </row>
    <row r="954" spans="26:26" x14ac:dyDescent="0.3">
      <c r="Z954" s="706"/>
    </row>
    <row r="955" spans="26:26" x14ac:dyDescent="0.3">
      <c r="Z955" s="706"/>
    </row>
    <row r="956" spans="26:26" x14ac:dyDescent="0.3">
      <c r="Z956" s="706"/>
    </row>
    <row r="957" spans="26:26" x14ac:dyDescent="0.3">
      <c r="Z957" s="706"/>
    </row>
    <row r="958" spans="26:26" x14ac:dyDescent="0.3">
      <c r="Z958" s="706"/>
    </row>
    <row r="959" spans="26:26" x14ac:dyDescent="0.3">
      <c r="Z959" s="706"/>
    </row>
    <row r="960" spans="26:26" x14ac:dyDescent="0.3">
      <c r="Z960" s="706"/>
    </row>
    <row r="961" spans="26:26" x14ac:dyDescent="0.3">
      <c r="Z961" s="706"/>
    </row>
    <row r="962" spans="26:26" x14ac:dyDescent="0.3">
      <c r="Z962" s="706"/>
    </row>
    <row r="963" spans="26:26" x14ac:dyDescent="0.3">
      <c r="Z963" s="706"/>
    </row>
    <row r="964" spans="26:26" x14ac:dyDescent="0.3">
      <c r="Z964" s="706"/>
    </row>
    <row r="965" spans="26:26" x14ac:dyDescent="0.3">
      <c r="Z965" s="706"/>
    </row>
    <row r="966" spans="26:26" x14ac:dyDescent="0.3">
      <c r="Z966" s="706"/>
    </row>
    <row r="967" spans="26:26" x14ac:dyDescent="0.3">
      <c r="Z967" s="706"/>
    </row>
    <row r="968" spans="26:26" x14ac:dyDescent="0.3">
      <c r="Z968" s="706"/>
    </row>
    <row r="969" spans="26:26" x14ac:dyDescent="0.3">
      <c r="Z969" s="706"/>
    </row>
    <row r="970" spans="26:26" x14ac:dyDescent="0.3">
      <c r="Z970" s="706"/>
    </row>
    <row r="971" spans="26:26" x14ac:dyDescent="0.3">
      <c r="Z971" s="706"/>
    </row>
    <row r="972" spans="26:26" x14ac:dyDescent="0.3">
      <c r="Z972" s="706"/>
    </row>
    <row r="973" spans="26:26" x14ac:dyDescent="0.3">
      <c r="Z973" s="706"/>
    </row>
    <row r="974" spans="26:26" x14ac:dyDescent="0.3">
      <c r="Z974" s="706"/>
    </row>
    <row r="975" spans="26:26" x14ac:dyDescent="0.3">
      <c r="Z975" s="706"/>
    </row>
    <row r="976" spans="26:26" x14ac:dyDescent="0.3">
      <c r="Z976" s="706"/>
    </row>
    <row r="977" spans="26:26" x14ac:dyDescent="0.3">
      <c r="Z977" s="706"/>
    </row>
    <row r="978" spans="26:26" x14ac:dyDescent="0.3">
      <c r="Z978" s="706"/>
    </row>
    <row r="979" spans="26:26" x14ac:dyDescent="0.3">
      <c r="Z979" s="706"/>
    </row>
    <row r="980" spans="26:26" x14ac:dyDescent="0.3">
      <c r="Z980" s="706"/>
    </row>
    <row r="981" spans="26:26" x14ac:dyDescent="0.3">
      <c r="Z981" s="706"/>
    </row>
    <row r="982" spans="26:26" x14ac:dyDescent="0.3">
      <c r="Z982" s="706"/>
    </row>
    <row r="983" spans="26:26" x14ac:dyDescent="0.3">
      <c r="Z983" s="706"/>
    </row>
    <row r="984" spans="26:26" x14ac:dyDescent="0.3">
      <c r="Z984" s="706"/>
    </row>
    <row r="985" spans="26:26" x14ac:dyDescent="0.3">
      <c r="Z985" s="706"/>
    </row>
    <row r="986" spans="26:26" x14ac:dyDescent="0.3">
      <c r="Z986" s="706"/>
    </row>
    <row r="987" spans="26:26" x14ac:dyDescent="0.3">
      <c r="Z987" s="706"/>
    </row>
    <row r="988" spans="26:26" x14ac:dyDescent="0.3">
      <c r="Z988" s="706"/>
    </row>
    <row r="989" spans="26:26" x14ac:dyDescent="0.3">
      <c r="Z989" s="706"/>
    </row>
    <row r="990" spans="26:26" x14ac:dyDescent="0.3">
      <c r="Z990" s="706"/>
    </row>
    <row r="991" spans="26:26" x14ac:dyDescent="0.3">
      <c r="Z991" s="706"/>
    </row>
    <row r="992" spans="26:26" x14ac:dyDescent="0.3">
      <c r="Z992" s="706"/>
    </row>
    <row r="993" spans="26:26" x14ac:dyDescent="0.3">
      <c r="Z993" s="706"/>
    </row>
    <row r="994" spans="26:26" x14ac:dyDescent="0.3">
      <c r="Z994" s="706"/>
    </row>
    <row r="995" spans="26:26" x14ac:dyDescent="0.3">
      <c r="Z995" s="706"/>
    </row>
    <row r="996" spans="26:26" x14ac:dyDescent="0.3">
      <c r="Z996" s="706"/>
    </row>
    <row r="997" spans="26:26" x14ac:dyDescent="0.3">
      <c r="Z997" s="706"/>
    </row>
    <row r="998" spans="26:26" x14ac:dyDescent="0.3">
      <c r="Z998" s="706"/>
    </row>
    <row r="999" spans="26:26" x14ac:dyDescent="0.3">
      <c r="Z999" s="706"/>
    </row>
    <row r="1000" spans="26:26" x14ac:dyDescent="0.3">
      <c r="Z1000" s="706"/>
    </row>
    <row r="1001" spans="26:26" x14ac:dyDescent="0.3">
      <c r="Z1001" s="706"/>
    </row>
    <row r="1002" spans="26:26" x14ac:dyDescent="0.3">
      <c r="Z1002" s="706"/>
    </row>
    <row r="1003" spans="26:26" x14ac:dyDescent="0.3">
      <c r="Z1003" s="706"/>
    </row>
    <row r="1004" spans="26:26" x14ac:dyDescent="0.3">
      <c r="Z1004" s="706"/>
    </row>
    <row r="1005" spans="26:26" x14ac:dyDescent="0.3">
      <c r="Z1005" s="706"/>
    </row>
    <row r="1006" spans="26:26" x14ac:dyDescent="0.3">
      <c r="Z1006" s="706"/>
    </row>
    <row r="1007" spans="26:26" x14ac:dyDescent="0.3">
      <c r="Z1007" s="706"/>
    </row>
    <row r="1008" spans="26:26" x14ac:dyDescent="0.3">
      <c r="Z1008" s="706"/>
    </row>
    <row r="1009" spans="26:26" x14ac:dyDescent="0.3">
      <c r="Z1009" s="706"/>
    </row>
    <row r="1010" spans="26:26" x14ac:dyDescent="0.3">
      <c r="Z1010" s="706"/>
    </row>
    <row r="1011" spans="26:26" x14ac:dyDescent="0.3">
      <c r="Z1011" s="706"/>
    </row>
    <row r="1012" spans="26:26" x14ac:dyDescent="0.3">
      <c r="Z1012" s="706"/>
    </row>
    <row r="1013" spans="26:26" x14ac:dyDescent="0.3">
      <c r="Z1013" s="706"/>
    </row>
    <row r="1014" spans="26:26" x14ac:dyDescent="0.3">
      <c r="Z1014" s="706"/>
    </row>
    <row r="1015" spans="26:26" x14ac:dyDescent="0.3">
      <c r="Z1015" s="706"/>
    </row>
    <row r="1016" spans="26:26" x14ac:dyDescent="0.3">
      <c r="Z1016" s="706"/>
    </row>
    <row r="1017" spans="26:26" x14ac:dyDescent="0.3">
      <c r="Z1017" s="706"/>
    </row>
    <row r="1018" spans="26:26" x14ac:dyDescent="0.3">
      <c r="Z1018" s="706"/>
    </row>
    <row r="1019" spans="26:26" x14ac:dyDescent="0.3">
      <c r="Z1019" s="706"/>
    </row>
    <row r="1020" spans="26:26" x14ac:dyDescent="0.3">
      <c r="Z1020" s="706"/>
    </row>
    <row r="1021" spans="26:26" x14ac:dyDescent="0.3">
      <c r="Z1021" s="706"/>
    </row>
    <row r="1022" spans="26:26" x14ac:dyDescent="0.3">
      <c r="Z1022" s="706"/>
    </row>
    <row r="1023" spans="26:26" x14ac:dyDescent="0.3">
      <c r="Z1023" s="706"/>
    </row>
    <row r="1024" spans="26:26" x14ac:dyDescent="0.3">
      <c r="Z1024" s="706"/>
    </row>
    <row r="1025" spans="26:26" x14ac:dyDescent="0.3">
      <c r="Z1025" s="706"/>
    </row>
    <row r="1026" spans="26:26" x14ac:dyDescent="0.3">
      <c r="Z1026" s="706"/>
    </row>
    <row r="1027" spans="26:26" x14ac:dyDescent="0.3">
      <c r="Z1027" s="706"/>
    </row>
    <row r="1028" spans="26:26" x14ac:dyDescent="0.3">
      <c r="Z1028" s="706"/>
    </row>
    <row r="1029" spans="26:26" x14ac:dyDescent="0.3">
      <c r="Z1029" s="706"/>
    </row>
    <row r="1030" spans="26:26" x14ac:dyDescent="0.3">
      <c r="Z1030" s="706"/>
    </row>
    <row r="1031" spans="26:26" x14ac:dyDescent="0.3">
      <c r="Z1031" s="706"/>
    </row>
    <row r="1032" spans="26:26" x14ac:dyDescent="0.3">
      <c r="Z1032" s="706"/>
    </row>
    <row r="1033" spans="26:26" x14ac:dyDescent="0.3">
      <c r="Z1033" s="706"/>
    </row>
    <row r="1034" spans="26:26" x14ac:dyDescent="0.3">
      <c r="Z1034" s="706"/>
    </row>
    <row r="1035" spans="26:26" x14ac:dyDescent="0.3">
      <c r="Z1035" s="706"/>
    </row>
    <row r="1036" spans="26:26" x14ac:dyDescent="0.3">
      <c r="Z1036" s="706"/>
    </row>
    <row r="1037" spans="26:26" x14ac:dyDescent="0.3">
      <c r="Z1037" s="706"/>
    </row>
    <row r="1038" spans="26:26" x14ac:dyDescent="0.3">
      <c r="Z1038" s="706"/>
    </row>
    <row r="1039" spans="26:26" x14ac:dyDescent="0.3">
      <c r="Z1039" s="706"/>
    </row>
    <row r="1040" spans="26:26" x14ac:dyDescent="0.3">
      <c r="Z1040" s="706"/>
    </row>
    <row r="1041" spans="26:26" x14ac:dyDescent="0.3">
      <c r="Z1041" s="706"/>
    </row>
    <row r="1042" spans="26:26" x14ac:dyDescent="0.3">
      <c r="Z1042" s="706"/>
    </row>
    <row r="1043" spans="26:26" x14ac:dyDescent="0.3">
      <c r="Z1043" s="706"/>
    </row>
    <row r="1044" spans="26:26" x14ac:dyDescent="0.3">
      <c r="Z1044" s="706"/>
    </row>
    <row r="1045" spans="26:26" x14ac:dyDescent="0.3">
      <c r="Z1045" s="706"/>
    </row>
    <row r="1046" spans="26:26" x14ac:dyDescent="0.3">
      <c r="Z1046" s="706"/>
    </row>
    <row r="1047" spans="26:26" x14ac:dyDescent="0.3">
      <c r="Z1047" s="706"/>
    </row>
    <row r="1048" spans="26:26" x14ac:dyDescent="0.3">
      <c r="Z1048" s="706"/>
    </row>
    <row r="1049" spans="26:26" x14ac:dyDescent="0.3">
      <c r="Z1049" s="706"/>
    </row>
    <row r="1050" spans="26:26" x14ac:dyDescent="0.3">
      <c r="Z1050" s="706"/>
    </row>
    <row r="1051" spans="26:26" x14ac:dyDescent="0.3">
      <c r="Z1051" s="706"/>
    </row>
    <row r="1052" spans="26:26" x14ac:dyDescent="0.3">
      <c r="Z1052" s="706"/>
    </row>
    <row r="1053" spans="26:26" x14ac:dyDescent="0.3">
      <c r="Z1053" s="706"/>
    </row>
    <row r="1054" spans="26:26" x14ac:dyDescent="0.3">
      <c r="Z1054" s="706"/>
    </row>
    <row r="1055" spans="26:26" x14ac:dyDescent="0.3">
      <c r="Z1055" s="706"/>
    </row>
    <row r="1056" spans="26:26" x14ac:dyDescent="0.3">
      <c r="Z1056" s="706"/>
    </row>
    <row r="1057" spans="26:26" x14ac:dyDescent="0.3">
      <c r="Z1057" s="706"/>
    </row>
    <row r="1058" spans="26:26" x14ac:dyDescent="0.3">
      <c r="Z1058" s="706"/>
    </row>
    <row r="1059" spans="26:26" x14ac:dyDescent="0.3">
      <c r="Z1059" s="706"/>
    </row>
    <row r="1060" spans="26:26" x14ac:dyDescent="0.3">
      <c r="Z1060" s="706"/>
    </row>
    <row r="1061" spans="26:26" x14ac:dyDescent="0.3">
      <c r="Z1061" s="706"/>
    </row>
    <row r="1062" spans="26:26" x14ac:dyDescent="0.3">
      <c r="Z1062" s="706"/>
    </row>
    <row r="1063" spans="26:26" x14ac:dyDescent="0.3">
      <c r="Z1063" s="706"/>
    </row>
    <row r="1064" spans="26:26" x14ac:dyDescent="0.3">
      <c r="Z1064" s="706"/>
    </row>
    <row r="1065" spans="26:26" x14ac:dyDescent="0.3">
      <c r="Z1065" s="706"/>
    </row>
    <row r="1066" spans="26:26" x14ac:dyDescent="0.3">
      <c r="Z1066" s="706"/>
    </row>
    <row r="1067" spans="26:26" x14ac:dyDescent="0.3">
      <c r="Z1067" s="706"/>
    </row>
    <row r="1068" spans="26:26" x14ac:dyDescent="0.3">
      <c r="Z1068" s="706"/>
    </row>
    <row r="1069" spans="26:26" x14ac:dyDescent="0.3">
      <c r="Z1069" s="706"/>
    </row>
    <row r="1070" spans="26:26" x14ac:dyDescent="0.3">
      <c r="Z1070" s="706"/>
    </row>
    <row r="1071" spans="26:26" x14ac:dyDescent="0.3">
      <c r="Z1071" s="706"/>
    </row>
    <row r="1072" spans="26:26" x14ac:dyDescent="0.3">
      <c r="Z1072" s="706"/>
    </row>
    <row r="1073" spans="26:26" x14ac:dyDescent="0.3">
      <c r="Z1073" s="706"/>
    </row>
    <row r="1074" spans="26:26" x14ac:dyDescent="0.3">
      <c r="Z1074" s="706"/>
    </row>
    <row r="1075" spans="26:26" x14ac:dyDescent="0.3">
      <c r="Z1075" s="706"/>
    </row>
    <row r="1076" spans="26:26" x14ac:dyDescent="0.3">
      <c r="Z1076" s="706"/>
    </row>
    <row r="1077" spans="26:26" x14ac:dyDescent="0.3">
      <c r="Z1077" s="706"/>
    </row>
    <row r="1078" spans="26:26" x14ac:dyDescent="0.3">
      <c r="Z1078" s="706"/>
    </row>
    <row r="1079" spans="26:26" x14ac:dyDescent="0.3">
      <c r="Z1079" s="706"/>
    </row>
    <row r="1080" spans="26:26" x14ac:dyDescent="0.3">
      <c r="Z1080" s="706"/>
    </row>
    <row r="1081" spans="26:26" x14ac:dyDescent="0.3">
      <c r="Z1081" s="706"/>
    </row>
    <row r="1082" spans="26:26" x14ac:dyDescent="0.3">
      <c r="Z1082" s="706"/>
    </row>
    <row r="1083" spans="26:26" x14ac:dyDescent="0.3">
      <c r="Z1083" s="706"/>
    </row>
    <row r="1084" spans="26:26" x14ac:dyDescent="0.3">
      <c r="Z1084" s="706"/>
    </row>
    <row r="1085" spans="26:26" x14ac:dyDescent="0.3">
      <c r="Z1085" s="706"/>
    </row>
    <row r="1086" spans="26:26" x14ac:dyDescent="0.3">
      <c r="Z1086" s="706"/>
    </row>
    <row r="1087" spans="26:26" x14ac:dyDescent="0.3">
      <c r="Z1087" s="706"/>
    </row>
    <row r="1088" spans="26:26" x14ac:dyDescent="0.3">
      <c r="Z1088" s="706"/>
    </row>
    <row r="1089" spans="26:26" x14ac:dyDescent="0.3">
      <c r="Z1089" s="706"/>
    </row>
    <row r="1090" spans="26:26" x14ac:dyDescent="0.3">
      <c r="Z1090" s="706"/>
    </row>
    <row r="1091" spans="26:26" x14ac:dyDescent="0.3">
      <c r="Z1091" s="706"/>
    </row>
    <row r="1092" spans="26:26" x14ac:dyDescent="0.3">
      <c r="Z1092" s="706"/>
    </row>
    <row r="1093" spans="26:26" x14ac:dyDescent="0.3">
      <c r="Z1093" s="706"/>
    </row>
    <row r="1094" spans="26:26" x14ac:dyDescent="0.3">
      <c r="Z1094" s="706"/>
    </row>
    <row r="1095" spans="26:26" x14ac:dyDescent="0.3">
      <c r="Z1095" s="706"/>
    </row>
    <row r="1096" spans="26:26" x14ac:dyDescent="0.3">
      <c r="Z1096" s="706"/>
    </row>
    <row r="1097" spans="26:26" x14ac:dyDescent="0.3">
      <c r="Z1097" s="706"/>
    </row>
    <row r="1098" spans="26:26" x14ac:dyDescent="0.3">
      <c r="Z1098" s="706"/>
    </row>
    <row r="1099" spans="26:26" x14ac:dyDescent="0.3">
      <c r="Z1099" s="706"/>
    </row>
    <row r="1100" spans="26:26" x14ac:dyDescent="0.3">
      <c r="Z1100" s="706"/>
    </row>
    <row r="1101" spans="26:26" x14ac:dyDescent="0.3">
      <c r="Z1101" s="706"/>
    </row>
    <row r="1102" spans="26:26" x14ac:dyDescent="0.3">
      <c r="Z1102" s="706"/>
    </row>
    <row r="1103" spans="26:26" x14ac:dyDescent="0.3">
      <c r="Z1103" s="706"/>
    </row>
    <row r="1104" spans="26:26" x14ac:dyDescent="0.3">
      <c r="Z1104" s="706"/>
    </row>
    <row r="1105" spans="26:26" x14ac:dyDescent="0.3">
      <c r="Z1105" s="706"/>
    </row>
    <row r="1106" spans="26:26" x14ac:dyDescent="0.3">
      <c r="Z1106" s="706"/>
    </row>
    <row r="1107" spans="26:26" x14ac:dyDescent="0.3">
      <c r="Z1107" s="706"/>
    </row>
    <row r="1108" spans="26:26" x14ac:dyDescent="0.3">
      <c r="Z1108" s="706"/>
    </row>
    <row r="1109" spans="26:26" x14ac:dyDescent="0.3">
      <c r="Z1109" s="706"/>
    </row>
    <row r="1110" spans="26:26" x14ac:dyDescent="0.3">
      <c r="Z1110" s="706"/>
    </row>
    <row r="1111" spans="26:26" x14ac:dyDescent="0.3">
      <c r="Z1111" s="706"/>
    </row>
    <row r="1112" spans="26:26" x14ac:dyDescent="0.3">
      <c r="Z1112" s="706"/>
    </row>
    <row r="1113" spans="26:26" x14ac:dyDescent="0.3">
      <c r="Z1113" s="706"/>
    </row>
    <row r="1114" spans="26:26" x14ac:dyDescent="0.3">
      <c r="Z1114" s="706"/>
    </row>
    <row r="1115" spans="26:26" x14ac:dyDescent="0.3">
      <c r="Z1115" s="706"/>
    </row>
    <row r="1116" spans="26:26" x14ac:dyDescent="0.3">
      <c r="Z1116" s="706"/>
    </row>
    <row r="1117" spans="26:26" x14ac:dyDescent="0.3">
      <c r="Z1117" s="706"/>
    </row>
    <row r="1118" spans="26:26" x14ac:dyDescent="0.3">
      <c r="Z1118" s="706"/>
    </row>
    <row r="1119" spans="26:26" x14ac:dyDescent="0.3">
      <c r="Z1119" s="706"/>
    </row>
    <row r="1120" spans="26:26" x14ac:dyDescent="0.3">
      <c r="Z1120" s="706"/>
    </row>
    <row r="1121" spans="26:26" x14ac:dyDescent="0.3">
      <c r="Z1121" s="706"/>
    </row>
    <row r="1122" spans="26:26" x14ac:dyDescent="0.3">
      <c r="Z1122" s="706"/>
    </row>
    <row r="1123" spans="26:26" x14ac:dyDescent="0.3">
      <c r="Z1123" s="706"/>
    </row>
    <row r="1124" spans="26:26" x14ac:dyDescent="0.3">
      <c r="Z1124" s="706"/>
    </row>
    <row r="1125" spans="26:26" x14ac:dyDescent="0.3">
      <c r="Z1125" s="706"/>
    </row>
    <row r="1126" spans="26:26" x14ac:dyDescent="0.3">
      <c r="Z1126" s="706"/>
    </row>
    <row r="1127" spans="26:26" x14ac:dyDescent="0.3">
      <c r="Z1127" s="706"/>
    </row>
    <row r="1128" spans="26:26" x14ac:dyDescent="0.3">
      <c r="Z1128" s="706"/>
    </row>
    <row r="1129" spans="26:26" x14ac:dyDescent="0.3">
      <c r="Z1129" s="706"/>
    </row>
    <row r="1130" spans="26:26" x14ac:dyDescent="0.3">
      <c r="Z1130" s="706"/>
    </row>
    <row r="1131" spans="26:26" x14ac:dyDescent="0.3">
      <c r="Z1131" s="706"/>
    </row>
    <row r="1132" spans="26:26" x14ac:dyDescent="0.3">
      <c r="Z1132" s="706"/>
    </row>
    <row r="1133" spans="26:26" x14ac:dyDescent="0.3">
      <c r="Z1133" s="706"/>
    </row>
    <row r="1134" spans="26:26" x14ac:dyDescent="0.3">
      <c r="Z1134" s="706"/>
    </row>
    <row r="1135" spans="26:26" x14ac:dyDescent="0.3">
      <c r="Z1135" s="706"/>
    </row>
    <row r="1136" spans="26:26" x14ac:dyDescent="0.3">
      <c r="Z1136" s="706"/>
    </row>
    <row r="1137" spans="26:26" x14ac:dyDescent="0.3">
      <c r="Z1137" s="706"/>
    </row>
    <row r="1138" spans="26:26" x14ac:dyDescent="0.3">
      <c r="Z1138" s="706"/>
    </row>
    <row r="1139" spans="26:26" x14ac:dyDescent="0.3">
      <c r="Z1139" s="706"/>
    </row>
    <row r="1140" spans="26:26" x14ac:dyDescent="0.3">
      <c r="Z1140" s="706"/>
    </row>
    <row r="1141" spans="26:26" x14ac:dyDescent="0.3">
      <c r="Z1141" s="706"/>
    </row>
    <row r="1142" spans="26:26" x14ac:dyDescent="0.3">
      <c r="Z1142" s="706"/>
    </row>
    <row r="1143" spans="26:26" x14ac:dyDescent="0.3">
      <c r="Z1143" s="706"/>
    </row>
    <row r="1144" spans="26:26" x14ac:dyDescent="0.3">
      <c r="Z1144" s="706"/>
    </row>
    <row r="1145" spans="26:26" x14ac:dyDescent="0.3">
      <c r="Z1145" s="706"/>
    </row>
    <row r="1146" spans="26:26" x14ac:dyDescent="0.3">
      <c r="Z1146" s="706"/>
    </row>
    <row r="1147" spans="26:26" x14ac:dyDescent="0.3">
      <c r="Z1147" s="706"/>
    </row>
    <row r="1148" spans="26:26" x14ac:dyDescent="0.3">
      <c r="Z1148" s="706"/>
    </row>
    <row r="1149" spans="26:26" x14ac:dyDescent="0.3">
      <c r="Z1149" s="706"/>
    </row>
    <row r="1150" spans="26:26" x14ac:dyDescent="0.3">
      <c r="Z1150" s="706"/>
    </row>
    <row r="1151" spans="26:26" x14ac:dyDescent="0.3">
      <c r="Z1151" s="706"/>
    </row>
    <row r="1152" spans="26:26" x14ac:dyDescent="0.3">
      <c r="Z1152" s="706"/>
    </row>
    <row r="1153" spans="26:26" x14ac:dyDescent="0.3">
      <c r="Z1153" s="706"/>
    </row>
    <row r="1154" spans="26:26" x14ac:dyDescent="0.3">
      <c r="Z1154" s="706"/>
    </row>
    <row r="1155" spans="26:26" x14ac:dyDescent="0.3">
      <c r="Z1155" s="706"/>
    </row>
    <row r="1156" spans="26:26" x14ac:dyDescent="0.3">
      <c r="Z1156" s="706"/>
    </row>
    <row r="1157" spans="26:26" x14ac:dyDescent="0.3">
      <c r="Z1157" s="706"/>
    </row>
    <row r="1158" spans="26:26" x14ac:dyDescent="0.3">
      <c r="Z1158" s="706"/>
    </row>
    <row r="1159" spans="26:26" x14ac:dyDescent="0.3">
      <c r="Z1159" s="706"/>
    </row>
    <row r="1160" spans="26:26" x14ac:dyDescent="0.3">
      <c r="Z1160" s="706"/>
    </row>
    <row r="1161" spans="26:26" x14ac:dyDescent="0.3">
      <c r="Z1161" s="706"/>
    </row>
    <row r="1162" spans="26:26" x14ac:dyDescent="0.3">
      <c r="Z1162" s="706"/>
    </row>
    <row r="1163" spans="26:26" x14ac:dyDescent="0.3">
      <c r="Z1163" s="706"/>
    </row>
    <row r="1164" spans="26:26" x14ac:dyDescent="0.3">
      <c r="Z1164" s="706"/>
    </row>
    <row r="1165" spans="26:26" x14ac:dyDescent="0.3">
      <c r="Z1165" s="706"/>
    </row>
    <row r="1166" spans="26:26" x14ac:dyDescent="0.3">
      <c r="Z1166" s="706"/>
    </row>
    <row r="1167" spans="26:26" x14ac:dyDescent="0.3">
      <c r="Z1167" s="706"/>
    </row>
    <row r="1168" spans="26:26" x14ac:dyDescent="0.3">
      <c r="Z1168" s="706"/>
    </row>
    <row r="1169" spans="26:26" x14ac:dyDescent="0.3">
      <c r="Z1169" s="706"/>
    </row>
    <row r="1170" spans="26:26" x14ac:dyDescent="0.3">
      <c r="Z1170" s="706"/>
    </row>
    <row r="1171" spans="26:26" x14ac:dyDescent="0.3">
      <c r="Z1171" s="706"/>
    </row>
    <row r="1172" spans="26:26" x14ac:dyDescent="0.3">
      <c r="Z1172" s="706"/>
    </row>
    <row r="1173" spans="26:26" x14ac:dyDescent="0.3">
      <c r="Z1173" s="706"/>
    </row>
    <row r="1174" spans="26:26" x14ac:dyDescent="0.3">
      <c r="Z1174" s="706"/>
    </row>
    <row r="1175" spans="26:26" x14ac:dyDescent="0.3">
      <c r="Z1175" s="706"/>
    </row>
    <row r="1176" spans="26:26" x14ac:dyDescent="0.3">
      <c r="Z1176" s="706"/>
    </row>
    <row r="1177" spans="26:26" x14ac:dyDescent="0.3">
      <c r="Z1177" s="706"/>
    </row>
    <row r="1178" spans="26:26" x14ac:dyDescent="0.3">
      <c r="Z1178" s="706"/>
    </row>
    <row r="1179" spans="26:26" x14ac:dyDescent="0.3">
      <c r="Z1179" s="706"/>
    </row>
    <row r="1180" spans="26:26" x14ac:dyDescent="0.3">
      <c r="Z1180" s="706"/>
    </row>
    <row r="1181" spans="26:26" x14ac:dyDescent="0.3">
      <c r="Z1181" s="706"/>
    </row>
    <row r="1182" spans="26:26" x14ac:dyDescent="0.3">
      <c r="Z1182" s="706"/>
    </row>
    <row r="1183" spans="26:26" x14ac:dyDescent="0.3">
      <c r="Z1183" s="706"/>
    </row>
    <row r="1184" spans="26:26" x14ac:dyDescent="0.3">
      <c r="Z1184" s="706"/>
    </row>
    <row r="1185" spans="26:26" x14ac:dyDescent="0.3">
      <c r="Z1185" s="706"/>
    </row>
    <row r="1186" spans="26:26" x14ac:dyDescent="0.3">
      <c r="Z1186" s="706"/>
    </row>
    <row r="1187" spans="26:26" x14ac:dyDescent="0.3">
      <c r="Z1187" s="706"/>
    </row>
    <row r="1188" spans="26:26" x14ac:dyDescent="0.3">
      <c r="Z1188" s="706"/>
    </row>
    <row r="1189" spans="26:26" x14ac:dyDescent="0.3">
      <c r="Z1189" s="706"/>
    </row>
    <row r="1190" spans="26:26" x14ac:dyDescent="0.3">
      <c r="Z1190" s="706"/>
    </row>
    <row r="1191" spans="26:26" x14ac:dyDescent="0.3">
      <c r="Z1191" s="706"/>
    </row>
    <row r="1192" spans="26:26" x14ac:dyDescent="0.3">
      <c r="Z1192" s="706"/>
    </row>
    <row r="1193" spans="26:26" x14ac:dyDescent="0.3">
      <c r="Z1193" s="706"/>
    </row>
    <row r="1194" spans="26:26" x14ac:dyDescent="0.3">
      <c r="Z1194" s="706"/>
    </row>
    <row r="1195" spans="26:26" x14ac:dyDescent="0.3">
      <c r="Z1195" s="706"/>
    </row>
    <row r="1196" spans="26:26" x14ac:dyDescent="0.3">
      <c r="Z1196" s="706"/>
    </row>
    <row r="1197" spans="26:26" x14ac:dyDescent="0.3">
      <c r="Z1197" s="706"/>
    </row>
    <row r="1198" spans="26:26" x14ac:dyDescent="0.3">
      <c r="Z1198" s="706"/>
    </row>
    <row r="1199" spans="26:26" x14ac:dyDescent="0.3">
      <c r="Z1199" s="706"/>
    </row>
    <row r="1200" spans="26:26" x14ac:dyDescent="0.3">
      <c r="Z1200" s="706"/>
    </row>
    <row r="1201" spans="26:26" x14ac:dyDescent="0.3">
      <c r="Z1201" s="706"/>
    </row>
    <row r="1202" spans="26:26" x14ac:dyDescent="0.3">
      <c r="Z1202" s="706"/>
    </row>
    <row r="1203" spans="26:26" x14ac:dyDescent="0.3">
      <c r="Z1203" s="706"/>
    </row>
    <row r="1204" spans="26:26" x14ac:dyDescent="0.3">
      <c r="Z1204" s="706"/>
    </row>
    <row r="1205" spans="26:26" x14ac:dyDescent="0.3">
      <c r="Z1205" s="706"/>
    </row>
    <row r="1206" spans="26:26" x14ac:dyDescent="0.3">
      <c r="Z1206" s="706"/>
    </row>
    <row r="1207" spans="26:26" x14ac:dyDescent="0.3">
      <c r="Z1207" s="706"/>
    </row>
    <row r="1208" spans="26:26" x14ac:dyDescent="0.3">
      <c r="Z1208" s="706"/>
    </row>
    <row r="1209" spans="26:26" x14ac:dyDescent="0.3">
      <c r="Z1209" s="706"/>
    </row>
    <row r="1210" spans="26:26" x14ac:dyDescent="0.3">
      <c r="Z1210" s="706"/>
    </row>
    <row r="1211" spans="26:26" x14ac:dyDescent="0.3">
      <c r="Z1211" s="706"/>
    </row>
    <row r="1212" spans="26:26" x14ac:dyDescent="0.3">
      <c r="Z1212" s="706"/>
    </row>
    <row r="1213" spans="26:26" x14ac:dyDescent="0.3">
      <c r="Z1213" s="706"/>
    </row>
    <row r="1214" spans="26:26" x14ac:dyDescent="0.3">
      <c r="Z1214" s="706"/>
    </row>
    <row r="1215" spans="26:26" x14ac:dyDescent="0.3">
      <c r="Z1215" s="706"/>
    </row>
    <row r="1216" spans="26:26" x14ac:dyDescent="0.3">
      <c r="Z1216" s="706"/>
    </row>
    <row r="1217" spans="26:26" x14ac:dyDescent="0.3">
      <c r="Z1217" s="706"/>
    </row>
    <row r="1218" spans="26:26" x14ac:dyDescent="0.3">
      <c r="Z1218" s="706"/>
    </row>
    <row r="1219" spans="26:26" x14ac:dyDescent="0.3">
      <c r="Z1219" s="706"/>
    </row>
    <row r="1220" spans="26:26" x14ac:dyDescent="0.3">
      <c r="Z1220" s="706"/>
    </row>
    <row r="1221" spans="26:26" x14ac:dyDescent="0.3">
      <c r="Z1221" s="706"/>
    </row>
    <row r="1222" spans="26:26" x14ac:dyDescent="0.3">
      <c r="Z1222" s="706"/>
    </row>
    <row r="1223" spans="26:26" x14ac:dyDescent="0.3">
      <c r="Z1223" s="706"/>
    </row>
    <row r="1224" spans="26:26" x14ac:dyDescent="0.3">
      <c r="Z1224" s="706"/>
    </row>
    <row r="1225" spans="26:26" x14ac:dyDescent="0.3">
      <c r="Z1225" s="706"/>
    </row>
    <row r="1226" spans="26:26" x14ac:dyDescent="0.3">
      <c r="Z1226" s="706"/>
    </row>
    <row r="1227" spans="26:26" x14ac:dyDescent="0.3">
      <c r="Z1227" s="706"/>
    </row>
    <row r="1228" spans="26:26" x14ac:dyDescent="0.3">
      <c r="Z1228" s="706"/>
    </row>
    <row r="1229" spans="26:26" x14ac:dyDescent="0.3">
      <c r="Z1229" s="706"/>
    </row>
    <row r="1230" spans="26:26" x14ac:dyDescent="0.3">
      <c r="Z1230" s="706"/>
    </row>
    <row r="1231" spans="26:26" x14ac:dyDescent="0.3">
      <c r="Z1231" s="706"/>
    </row>
    <row r="1232" spans="26:26" x14ac:dyDescent="0.3">
      <c r="Z1232" s="706"/>
    </row>
    <row r="1233" spans="26:26" x14ac:dyDescent="0.3">
      <c r="Z1233" s="706"/>
    </row>
    <row r="1234" spans="26:26" x14ac:dyDescent="0.3">
      <c r="Z1234" s="706"/>
    </row>
    <row r="1235" spans="26:26" x14ac:dyDescent="0.3">
      <c r="Z1235" s="706"/>
    </row>
    <row r="1236" spans="26:26" x14ac:dyDescent="0.3">
      <c r="Z1236" s="706"/>
    </row>
    <row r="1237" spans="26:26" x14ac:dyDescent="0.3">
      <c r="Z1237" s="706"/>
    </row>
    <row r="1238" spans="26:26" x14ac:dyDescent="0.3">
      <c r="Z1238" s="706"/>
    </row>
    <row r="1239" spans="26:26" x14ac:dyDescent="0.3">
      <c r="Z1239" s="706"/>
    </row>
    <row r="1240" spans="26:26" x14ac:dyDescent="0.3">
      <c r="Z1240" s="706"/>
    </row>
    <row r="1241" spans="26:26" x14ac:dyDescent="0.3">
      <c r="Z1241" s="706"/>
    </row>
    <row r="1242" spans="26:26" x14ac:dyDescent="0.3">
      <c r="Z1242" s="706"/>
    </row>
    <row r="1243" spans="26:26" x14ac:dyDescent="0.3">
      <c r="Z1243" s="706"/>
    </row>
    <row r="1244" spans="26:26" x14ac:dyDescent="0.3">
      <c r="Z1244" s="706"/>
    </row>
    <row r="1245" spans="26:26" x14ac:dyDescent="0.3">
      <c r="Z1245" s="706"/>
    </row>
    <row r="1246" spans="26:26" x14ac:dyDescent="0.3">
      <c r="Z1246" s="706"/>
    </row>
    <row r="1247" spans="26:26" x14ac:dyDescent="0.3">
      <c r="Z1247" s="706"/>
    </row>
    <row r="1248" spans="26:26" x14ac:dyDescent="0.3">
      <c r="Z1248" s="706"/>
    </row>
    <row r="1249" spans="26:26" x14ac:dyDescent="0.3">
      <c r="Z1249" s="706"/>
    </row>
    <row r="1250" spans="26:26" x14ac:dyDescent="0.3">
      <c r="Z1250" s="706"/>
    </row>
    <row r="1251" spans="26:26" x14ac:dyDescent="0.3">
      <c r="Z1251" s="706"/>
    </row>
    <row r="1252" spans="26:26" x14ac:dyDescent="0.3">
      <c r="Z1252" s="706"/>
    </row>
    <row r="1253" spans="26:26" x14ac:dyDescent="0.3">
      <c r="Z1253" s="706"/>
    </row>
    <row r="1254" spans="26:26" x14ac:dyDescent="0.3">
      <c r="Z1254" s="706"/>
    </row>
    <row r="1255" spans="26:26" x14ac:dyDescent="0.3">
      <c r="Z1255" s="706"/>
    </row>
    <row r="1256" spans="26:26" x14ac:dyDescent="0.3">
      <c r="Z1256" s="706"/>
    </row>
    <row r="1257" spans="26:26" x14ac:dyDescent="0.3">
      <c r="Z1257" s="706"/>
    </row>
    <row r="1258" spans="26:26" x14ac:dyDescent="0.3">
      <c r="Z1258" s="706"/>
    </row>
    <row r="1259" spans="26:26" x14ac:dyDescent="0.3">
      <c r="Z1259" s="706"/>
    </row>
    <row r="1260" spans="26:26" x14ac:dyDescent="0.3">
      <c r="Z1260" s="706"/>
    </row>
    <row r="1261" spans="26:26" x14ac:dyDescent="0.3">
      <c r="Z1261" s="706"/>
    </row>
    <row r="1262" spans="26:26" x14ac:dyDescent="0.3">
      <c r="Z1262" s="706"/>
    </row>
    <row r="1263" spans="26:26" x14ac:dyDescent="0.3">
      <c r="Z1263" s="706"/>
    </row>
    <row r="1264" spans="26:26" x14ac:dyDescent="0.3">
      <c r="Z1264" s="706"/>
    </row>
    <row r="1265" spans="26:26" x14ac:dyDescent="0.3">
      <c r="Z1265" s="706"/>
    </row>
    <row r="1266" spans="26:26" x14ac:dyDescent="0.3">
      <c r="Z1266" s="706"/>
    </row>
    <row r="1267" spans="26:26" x14ac:dyDescent="0.3">
      <c r="Z1267" s="706"/>
    </row>
    <row r="1268" spans="26:26" x14ac:dyDescent="0.3">
      <c r="Z1268" s="706"/>
    </row>
    <row r="1269" spans="26:26" x14ac:dyDescent="0.3">
      <c r="Z1269" s="706"/>
    </row>
    <row r="1270" spans="26:26" x14ac:dyDescent="0.3">
      <c r="Z1270" s="706"/>
    </row>
    <row r="1271" spans="26:26" x14ac:dyDescent="0.3">
      <c r="Z1271" s="706"/>
    </row>
    <row r="1272" spans="26:26" x14ac:dyDescent="0.3">
      <c r="Z1272" s="706"/>
    </row>
    <row r="1273" spans="26:26" x14ac:dyDescent="0.3">
      <c r="Z1273" s="706"/>
    </row>
    <row r="1274" spans="26:26" x14ac:dyDescent="0.3">
      <c r="Z1274" s="706"/>
    </row>
    <row r="1275" spans="26:26" x14ac:dyDescent="0.3">
      <c r="Z1275" s="706"/>
    </row>
    <row r="1276" spans="26:26" x14ac:dyDescent="0.3">
      <c r="Z1276" s="706"/>
    </row>
    <row r="1277" spans="26:26" x14ac:dyDescent="0.3">
      <c r="Z1277" s="706"/>
    </row>
    <row r="1278" spans="26:26" x14ac:dyDescent="0.3">
      <c r="Z1278" s="706"/>
    </row>
    <row r="1279" spans="26:26" x14ac:dyDescent="0.3">
      <c r="Z1279" s="706"/>
    </row>
    <row r="1280" spans="26:26" x14ac:dyDescent="0.3">
      <c r="Z1280" s="706"/>
    </row>
    <row r="1281" spans="26:26" x14ac:dyDescent="0.3">
      <c r="Z1281" s="706"/>
    </row>
    <row r="1282" spans="26:26" x14ac:dyDescent="0.3">
      <c r="Z1282" s="706"/>
    </row>
    <row r="1283" spans="26:26" x14ac:dyDescent="0.3">
      <c r="Z1283" s="706"/>
    </row>
    <row r="1284" spans="26:26" x14ac:dyDescent="0.3">
      <c r="Z1284" s="706"/>
    </row>
    <row r="1285" spans="26:26" x14ac:dyDescent="0.3">
      <c r="Z1285" s="706"/>
    </row>
    <row r="1286" spans="26:26" x14ac:dyDescent="0.3">
      <c r="Z1286" s="706"/>
    </row>
    <row r="1287" spans="26:26" x14ac:dyDescent="0.3">
      <c r="Z1287" s="706"/>
    </row>
    <row r="1288" spans="26:26" x14ac:dyDescent="0.3">
      <c r="Z1288" s="706"/>
    </row>
    <row r="1289" spans="26:26" x14ac:dyDescent="0.3">
      <c r="Z1289" s="706"/>
    </row>
    <row r="1290" spans="26:26" x14ac:dyDescent="0.3">
      <c r="Z1290" s="706"/>
    </row>
    <row r="1291" spans="26:26" x14ac:dyDescent="0.3">
      <c r="Z1291" s="706"/>
    </row>
    <row r="1292" spans="26:26" x14ac:dyDescent="0.3">
      <c r="Z1292" s="706"/>
    </row>
    <row r="1293" spans="26:26" x14ac:dyDescent="0.3">
      <c r="Z1293" s="706"/>
    </row>
    <row r="1294" spans="26:26" x14ac:dyDescent="0.3">
      <c r="Z1294" s="706"/>
    </row>
    <row r="1295" spans="26:26" x14ac:dyDescent="0.3">
      <c r="Z1295" s="706"/>
    </row>
    <row r="1296" spans="26:26" x14ac:dyDescent="0.3">
      <c r="Z1296" s="706"/>
    </row>
    <row r="1297" spans="26:26" x14ac:dyDescent="0.3">
      <c r="Z1297" s="706"/>
    </row>
    <row r="1298" spans="26:26" x14ac:dyDescent="0.3">
      <c r="Z1298" s="706"/>
    </row>
    <row r="1299" spans="26:26" x14ac:dyDescent="0.3">
      <c r="Z1299" s="706"/>
    </row>
    <row r="1300" spans="26:26" x14ac:dyDescent="0.3">
      <c r="Z1300" s="706"/>
    </row>
    <row r="1301" spans="26:26" x14ac:dyDescent="0.3">
      <c r="Z1301" s="706"/>
    </row>
    <row r="1302" spans="26:26" x14ac:dyDescent="0.3">
      <c r="Z1302" s="706"/>
    </row>
    <row r="1303" spans="26:26" x14ac:dyDescent="0.3">
      <c r="Z1303" s="706"/>
    </row>
    <row r="1304" spans="26:26" x14ac:dyDescent="0.3">
      <c r="Z1304" s="706"/>
    </row>
    <row r="1305" spans="26:26" x14ac:dyDescent="0.3">
      <c r="Z1305" s="706"/>
    </row>
    <row r="1306" spans="26:26" x14ac:dyDescent="0.3">
      <c r="Z1306" s="706"/>
    </row>
    <row r="1307" spans="26:26" x14ac:dyDescent="0.3">
      <c r="Z1307" s="706"/>
    </row>
    <row r="1308" spans="26:26" x14ac:dyDescent="0.3">
      <c r="Z1308" s="706"/>
    </row>
    <row r="1309" spans="26:26" x14ac:dyDescent="0.3">
      <c r="Z1309" s="706"/>
    </row>
    <row r="1310" spans="26:26" x14ac:dyDescent="0.3">
      <c r="Z1310" s="706"/>
    </row>
    <row r="1311" spans="26:26" x14ac:dyDescent="0.3">
      <c r="Z1311" s="706"/>
    </row>
    <row r="1312" spans="26:26" x14ac:dyDescent="0.3">
      <c r="Z1312" s="706"/>
    </row>
    <row r="1313" spans="26:26" x14ac:dyDescent="0.3">
      <c r="Z1313" s="706"/>
    </row>
    <row r="1314" spans="26:26" x14ac:dyDescent="0.3">
      <c r="Z1314" s="706"/>
    </row>
    <row r="1315" spans="26:26" x14ac:dyDescent="0.3">
      <c r="Z1315" s="706"/>
    </row>
    <row r="1316" spans="26:26" x14ac:dyDescent="0.3">
      <c r="Z1316" s="706"/>
    </row>
    <row r="1317" spans="26:26" x14ac:dyDescent="0.3">
      <c r="Z1317" s="706"/>
    </row>
    <row r="1318" spans="26:26" x14ac:dyDescent="0.3">
      <c r="Z1318" s="706"/>
    </row>
    <row r="1319" spans="26:26" x14ac:dyDescent="0.3">
      <c r="Z1319" s="706"/>
    </row>
    <row r="1320" spans="26:26" x14ac:dyDescent="0.3">
      <c r="Z1320" s="706"/>
    </row>
    <row r="1321" spans="26:26" x14ac:dyDescent="0.3">
      <c r="Z1321" s="706"/>
    </row>
    <row r="1322" spans="26:26" x14ac:dyDescent="0.3">
      <c r="Z1322" s="706"/>
    </row>
    <row r="1323" spans="26:26" x14ac:dyDescent="0.3">
      <c r="Z1323" s="706"/>
    </row>
    <row r="1324" spans="26:26" x14ac:dyDescent="0.3">
      <c r="Z1324" s="706"/>
    </row>
    <row r="1325" spans="26:26" x14ac:dyDescent="0.3">
      <c r="Z1325" s="706"/>
    </row>
    <row r="1326" spans="26:26" x14ac:dyDescent="0.3">
      <c r="Z1326" s="706"/>
    </row>
    <row r="1327" spans="26:26" x14ac:dyDescent="0.3">
      <c r="Z1327" s="706"/>
    </row>
    <row r="1328" spans="26:26" x14ac:dyDescent="0.3">
      <c r="Z1328" s="706"/>
    </row>
    <row r="1329" spans="26:26" x14ac:dyDescent="0.3">
      <c r="Z1329" s="706"/>
    </row>
    <row r="1330" spans="26:26" x14ac:dyDescent="0.3">
      <c r="Z1330" s="706"/>
    </row>
    <row r="1331" spans="26:26" x14ac:dyDescent="0.3">
      <c r="Z1331" s="706"/>
    </row>
    <row r="1332" spans="26:26" x14ac:dyDescent="0.3">
      <c r="Z1332" s="706"/>
    </row>
    <row r="1333" spans="26:26" x14ac:dyDescent="0.3">
      <c r="Z1333" s="706"/>
    </row>
    <row r="1334" spans="26:26" x14ac:dyDescent="0.3">
      <c r="Z1334" s="706"/>
    </row>
    <row r="1335" spans="26:26" x14ac:dyDescent="0.3">
      <c r="Z1335" s="706"/>
    </row>
    <row r="1336" spans="26:26" x14ac:dyDescent="0.3">
      <c r="Z1336" s="706"/>
    </row>
    <row r="1337" spans="26:26" x14ac:dyDescent="0.3">
      <c r="Z1337" s="706"/>
    </row>
    <row r="1338" spans="26:26" x14ac:dyDescent="0.3">
      <c r="Z1338" s="706"/>
    </row>
    <row r="1339" spans="26:26" x14ac:dyDescent="0.3">
      <c r="Z1339" s="706"/>
    </row>
    <row r="1340" spans="26:26" x14ac:dyDescent="0.3">
      <c r="Z1340" s="706"/>
    </row>
    <row r="1341" spans="26:26" x14ac:dyDescent="0.3">
      <c r="Z1341" s="706"/>
    </row>
    <row r="1342" spans="26:26" x14ac:dyDescent="0.3">
      <c r="Z1342" s="706"/>
    </row>
    <row r="1343" spans="26:26" x14ac:dyDescent="0.3">
      <c r="Z1343" s="706"/>
    </row>
    <row r="1344" spans="26:26" x14ac:dyDescent="0.3">
      <c r="Z1344" s="706"/>
    </row>
    <row r="1345" spans="26:26" x14ac:dyDescent="0.3">
      <c r="Z1345" s="706"/>
    </row>
    <row r="1346" spans="26:26" x14ac:dyDescent="0.3">
      <c r="Z1346" s="706"/>
    </row>
    <row r="1347" spans="26:26" x14ac:dyDescent="0.3">
      <c r="Z1347" s="706"/>
    </row>
    <row r="1348" spans="26:26" x14ac:dyDescent="0.3">
      <c r="Z1348" s="706"/>
    </row>
    <row r="1349" spans="26:26" x14ac:dyDescent="0.3">
      <c r="Z1349" s="706"/>
    </row>
    <row r="1350" spans="26:26" x14ac:dyDescent="0.3">
      <c r="Z1350" s="706"/>
    </row>
    <row r="1351" spans="26:26" x14ac:dyDescent="0.3">
      <c r="Z1351" s="706"/>
    </row>
    <row r="1352" spans="26:26" x14ac:dyDescent="0.3">
      <c r="Z1352" s="706"/>
    </row>
    <row r="1353" spans="26:26" x14ac:dyDescent="0.3">
      <c r="Z1353" s="706"/>
    </row>
    <row r="1354" spans="26:26" x14ac:dyDescent="0.3">
      <c r="Z1354" s="706"/>
    </row>
    <row r="1355" spans="26:26" x14ac:dyDescent="0.3">
      <c r="Z1355" s="706"/>
    </row>
    <row r="1356" spans="26:26" x14ac:dyDescent="0.3">
      <c r="Z1356" s="706"/>
    </row>
    <row r="1357" spans="26:26" x14ac:dyDescent="0.3">
      <c r="Z1357" s="706"/>
    </row>
    <row r="1358" spans="26:26" x14ac:dyDescent="0.3">
      <c r="Z1358" s="706"/>
    </row>
    <row r="1359" spans="26:26" x14ac:dyDescent="0.3">
      <c r="Z1359" s="706"/>
    </row>
    <row r="1360" spans="26:26" x14ac:dyDescent="0.3">
      <c r="Z1360" s="706"/>
    </row>
    <row r="1361" spans="26:26" x14ac:dyDescent="0.3">
      <c r="Z1361" s="706"/>
    </row>
    <row r="1362" spans="26:26" x14ac:dyDescent="0.3">
      <c r="Z1362" s="706"/>
    </row>
    <row r="1363" spans="26:26" x14ac:dyDescent="0.3">
      <c r="Z1363" s="706"/>
    </row>
    <row r="1364" spans="26:26" x14ac:dyDescent="0.3">
      <c r="Z1364" s="706"/>
    </row>
    <row r="1365" spans="26:26" x14ac:dyDescent="0.3">
      <c r="Z1365" s="706"/>
    </row>
    <row r="1366" spans="26:26" x14ac:dyDescent="0.3">
      <c r="Z1366" s="706"/>
    </row>
    <row r="1367" spans="26:26" x14ac:dyDescent="0.3">
      <c r="Z1367" s="706"/>
    </row>
    <row r="1368" spans="26:26" x14ac:dyDescent="0.3">
      <c r="Z1368" s="706"/>
    </row>
    <row r="1369" spans="26:26" x14ac:dyDescent="0.3">
      <c r="Z1369" s="706"/>
    </row>
    <row r="1370" spans="26:26" x14ac:dyDescent="0.3">
      <c r="Z1370" s="706"/>
    </row>
    <row r="1371" spans="26:26" x14ac:dyDescent="0.3">
      <c r="Z1371" s="706"/>
    </row>
    <row r="1372" spans="26:26" x14ac:dyDescent="0.3">
      <c r="Z1372" s="706"/>
    </row>
    <row r="1373" spans="26:26" x14ac:dyDescent="0.3">
      <c r="Z1373" s="706"/>
    </row>
    <row r="1374" spans="26:26" x14ac:dyDescent="0.3">
      <c r="Z1374" s="706"/>
    </row>
    <row r="1375" spans="26:26" x14ac:dyDescent="0.3">
      <c r="Z1375" s="706"/>
    </row>
    <row r="1376" spans="26:26" x14ac:dyDescent="0.3">
      <c r="Z1376" s="706"/>
    </row>
    <row r="1377" spans="26:26" x14ac:dyDescent="0.3">
      <c r="Z1377" s="706"/>
    </row>
    <row r="1378" spans="26:26" x14ac:dyDescent="0.3">
      <c r="Z1378" s="706"/>
    </row>
    <row r="1379" spans="26:26" x14ac:dyDescent="0.3">
      <c r="Z1379" s="706"/>
    </row>
    <row r="1380" spans="26:26" x14ac:dyDescent="0.3">
      <c r="Z1380" s="706"/>
    </row>
    <row r="1381" spans="26:26" x14ac:dyDescent="0.3">
      <c r="Z1381" s="706"/>
    </row>
    <row r="1382" spans="26:26" x14ac:dyDescent="0.3">
      <c r="Z1382" s="706"/>
    </row>
    <row r="1383" spans="26:26" x14ac:dyDescent="0.3">
      <c r="Z1383" s="706"/>
    </row>
    <row r="1384" spans="26:26" x14ac:dyDescent="0.3">
      <c r="Z1384" s="706"/>
    </row>
    <row r="1385" spans="26:26" x14ac:dyDescent="0.3">
      <c r="Z1385" s="706"/>
    </row>
    <row r="1386" spans="26:26" x14ac:dyDescent="0.3">
      <c r="Z1386" s="706"/>
    </row>
    <row r="1387" spans="26:26" x14ac:dyDescent="0.3">
      <c r="Z1387" s="706"/>
    </row>
    <row r="1388" spans="26:26" x14ac:dyDescent="0.3">
      <c r="Z1388" s="706"/>
    </row>
    <row r="1389" spans="26:26" x14ac:dyDescent="0.3">
      <c r="Z1389" s="706"/>
    </row>
    <row r="1390" spans="26:26" x14ac:dyDescent="0.3">
      <c r="Z1390" s="706"/>
    </row>
    <row r="1391" spans="26:26" x14ac:dyDescent="0.3">
      <c r="Z1391" s="706"/>
    </row>
    <row r="1392" spans="26:26" x14ac:dyDescent="0.3">
      <c r="Z1392" s="706"/>
    </row>
    <row r="1393" spans="26:26" x14ac:dyDescent="0.3">
      <c r="Z1393" s="706"/>
    </row>
    <row r="1394" spans="26:26" x14ac:dyDescent="0.3">
      <c r="Z1394" s="706"/>
    </row>
    <row r="1395" spans="26:26" x14ac:dyDescent="0.3">
      <c r="Z1395" s="706"/>
    </row>
    <row r="1396" spans="26:26" x14ac:dyDescent="0.3">
      <c r="Z1396" s="706"/>
    </row>
    <row r="1397" spans="26:26" x14ac:dyDescent="0.3">
      <c r="Z1397" s="706"/>
    </row>
    <row r="1398" spans="26:26" x14ac:dyDescent="0.3">
      <c r="Z1398" s="706"/>
    </row>
    <row r="1399" spans="26:26" x14ac:dyDescent="0.3">
      <c r="Z1399" s="706"/>
    </row>
    <row r="1400" spans="26:26" x14ac:dyDescent="0.3">
      <c r="Z1400" s="706"/>
    </row>
    <row r="1401" spans="26:26" x14ac:dyDescent="0.3">
      <c r="Z1401" s="706"/>
    </row>
    <row r="1402" spans="26:26" x14ac:dyDescent="0.3">
      <c r="Z1402" s="706"/>
    </row>
    <row r="1403" spans="26:26" x14ac:dyDescent="0.3">
      <c r="Z1403" s="706"/>
    </row>
    <row r="1404" spans="26:26" x14ac:dyDescent="0.3">
      <c r="Z1404" s="706"/>
    </row>
    <row r="1405" spans="26:26" x14ac:dyDescent="0.3">
      <c r="Z1405" s="706"/>
    </row>
    <row r="1406" spans="26:26" x14ac:dyDescent="0.3">
      <c r="Z1406" s="706"/>
    </row>
    <row r="1407" spans="26:26" x14ac:dyDescent="0.3">
      <c r="Z1407" s="706"/>
    </row>
    <row r="1408" spans="26:26" x14ac:dyDescent="0.3">
      <c r="Z1408" s="706"/>
    </row>
    <row r="1409" spans="26:26" x14ac:dyDescent="0.3">
      <c r="Z1409" s="706"/>
    </row>
    <row r="1410" spans="26:26" x14ac:dyDescent="0.3">
      <c r="Z1410" s="706"/>
    </row>
    <row r="1411" spans="26:26" x14ac:dyDescent="0.3">
      <c r="Z1411" s="706"/>
    </row>
    <row r="1412" spans="26:26" x14ac:dyDescent="0.3">
      <c r="Z1412" s="706"/>
    </row>
    <row r="1413" spans="26:26" x14ac:dyDescent="0.3">
      <c r="Z1413" s="706"/>
    </row>
    <row r="1414" spans="26:26" x14ac:dyDescent="0.3">
      <c r="Z1414" s="706"/>
    </row>
    <row r="1415" spans="26:26" x14ac:dyDescent="0.3">
      <c r="Z1415" s="706"/>
    </row>
    <row r="1416" spans="26:26" x14ac:dyDescent="0.3">
      <c r="Z1416" s="706"/>
    </row>
    <row r="1417" spans="26:26" x14ac:dyDescent="0.3">
      <c r="Z1417" s="706"/>
    </row>
    <row r="1418" spans="26:26" x14ac:dyDescent="0.3">
      <c r="Z1418" s="706"/>
    </row>
    <row r="1419" spans="26:26" x14ac:dyDescent="0.3">
      <c r="Z1419" s="706"/>
    </row>
    <row r="1420" spans="26:26" x14ac:dyDescent="0.3">
      <c r="Z1420" s="706"/>
    </row>
    <row r="1421" spans="26:26" x14ac:dyDescent="0.3">
      <c r="Z1421" s="706"/>
    </row>
    <row r="1422" spans="26:26" x14ac:dyDescent="0.3">
      <c r="Z1422" s="706"/>
    </row>
    <row r="1423" spans="26:26" x14ac:dyDescent="0.3">
      <c r="Z1423" s="706"/>
    </row>
    <row r="1424" spans="26:26" x14ac:dyDescent="0.3">
      <c r="Z1424" s="706"/>
    </row>
    <row r="1425" spans="26:26" x14ac:dyDescent="0.3">
      <c r="Z1425" s="706"/>
    </row>
    <row r="1426" spans="26:26" x14ac:dyDescent="0.3">
      <c r="Z1426" s="706"/>
    </row>
    <row r="1427" spans="26:26" x14ac:dyDescent="0.3">
      <c r="Z1427" s="706"/>
    </row>
    <row r="1428" spans="26:26" x14ac:dyDescent="0.3">
      <c r="Z1428" s="706"/>
    </row>
    <row r="1429" spans="26:26" x14ac:dyDescent="0.3">
      <c r="Z1429" s="706"/>
    </row>
    <row r="1430" spans="26:26" x14ac:dyDescent="0.3">
      <c r="Z1430" s="706"/>
    </row>
    <row r="1431" spans="26:26" x14ac:dyDescent="0.3">
      <c r="Z1431" s="706"/>
    </row>
    <row r="1432" spans="26:26" x14ac:dyDescent="0.3">
      <c r="Z1432" s="706"/>
    </row>
    <row r="1433" spans="26:26" x14ac:dyDescent="0.3">
      <c r="Z1433" s="706"/>
    </row>
    <row r="1434" spans="26:26" x14ac:dyDescent="0.3">
      <c r="Z1434" s="706"/>
    </row>
    <row r="1435" spans="26:26" x14ac:dyDescent="0.3">
      <c r="Z1435" s="706"/>
    </row>
    <row r="1436" spans="26:26" x14ac:dyDescent="0.3">
      <c r="Z1436" s="706"/>
    </row>
    <row r="1437" spans="26:26" x14ac:dyDescent="0.3">
      <c r="Z1437" s="706"/>
    </row>
    <row r="1438" spans="26:26" x14ac:dyDescent="0.3">
      <c r="Z1438" s="706"/>
    </row>
    <row r="1439" spans="26:26" x14ac:dyDescent="0.3">
      <c r="Z1439" s="706"/>
    </row>
    <row r="1440" spans="26:26" x14ac:dyDescent="0.3">
      <c r="Z1440" s="706"/>
    </row>
    <row r="1441" spans="26:26" x14ac:dyDescent="0.3">
      <c r="Z1441" s="706"/>
    </row>
    <row r="1442" spans="26:26" x14ac:dyDescent="0.3">
      <c r="Z1442" s="706"/>
    </row>
    <row r="1443" spans="26:26" x14ac:dyDescent="0.3">
      <c r="Z1443" s="706"/>
    </row>
    <row r="1444" spans="26:26" x14ac:dyDescent="0.3">
      <c r="Z1444" s="706"/>
    </row>
    <row r="1445" spans="26:26" x14ac:dyDescent="0.3">
      <c r="Z1445" s="706"/>
    </row>
    <row r="1446" spans="26:26" x14ac:dyDescent="0.3">
      <c r="Z1446" s="706"/>
    </row>
    <row r="1447" spans="26:26" x14ac:dyDescent="0.3">
      <c r="Z1447" s="706"/>
    </row>
    <row r="1448" spans="26:26" x14ac:dyDescent="0.3">
      <c r="Z1448" s="706"/>
    </row>
    <row r="1449" spans="26:26" x14ac:dyDescent="0.3">
      <c r="Z1449" s="706"/>
    </row>
    <row r="1450" spans="26:26" x14ac:dyDescent="0.3">
      <c r="Z1450" s="706"/>
    </row>
    <row r="1451" spans="26:26" x14ac:dyDescent="0.3">
      <c r="Z1451" s="706"/>
    </row>
    <row r="1452" spans="26:26" x14ac:dyDescent="0.3">
      <c r="Z1452" s="706"/>
    </row>
    <row r="1453" spans="26:26" x14ac:dyDescent="0.3">
      <c r="Z1453" s="706"/>
    </row>
    <row r="1454" spans="26:26" x14ac:dyDescent="0.3">
      <c r="Z1454" s="706"/>
    </row>
    <row r="1455" spans="26:26" x14ac:dyDescent="0.3">
      <c r="Z1455" s="706"/>
    </row>
    <row r="1456" spans="26:26" x14ac:dyDescent="0.3">
      <c r="Z1456" s="706"/>
    </row>
    <row r="1457" spans="26:26" x14ac:dyDescent="0.3">
      <c r="Z1457" s="706"/>
    </row>
    <row r="1458" spans="26:26" x14ac:dyDescent="0.3">
      <c r="Z1458" s="706"/>
    </row>
    <row r="1459" spans="26:26" x14ac:dyDescent="0.3">
      <c r="Z1459" s="706"/>
    </row>
    <row r="1460" spans="26:26" x14ac:dyDescent="0.3">
      <c r="Z1460" s="706"/>
    </row>
    <row r="1461" spans="26:26" x14ac:dyDescent="0.3">
      <c r="Z1461" s="706"/>
    </row>
    <row r="1462" spans="26:26" x14ac:dyDescent="0.3">
      <c r="Z1462" s="706"/>
    </row>
    <row r="1463" spans="26:26" x14ac:dyDescent="0.3">
      <c r="Z1463" s="706"/>
    </row>
    <row r="1464" spans="26:26" x14ac:dyDescent="0.3">
      <c r="Z1464" s="706"/>
    </row>
    <row r="1465" spans="26:26" x14ac:dyDescent="0.3">
      <c r="Z1465" s="706"/>
    </row>
    <row r="1466" spans="26:26" x14ac:dyDescent="0.3">
      <c r="Z1466" s="706"/>
    </row>
    <row r="1467" spans="26:26" x14ac:dyDescent="0.3">
      <c r="Z1467" s="706"/>
    </row>
    <row r="1468" spans="26:26" x14ac:dyDescent="0.3">
      <c r="Z1468" s="706"/>
    </row>
    <row r="1469" spans="26:26" x14ac:dyDescent="0.3">
      <c r="Z1469" s="706"/>
    </row>
    <row r="1470" spans="26:26" x14ac:dyDescent="0.3">
      <c r="Z1470" s="706"/>
    </row>
    <row r="1471" spans="26:26" x14ac:dyDescent="0.3">
      <c r="Z1471" s="706"/>
    </row>
    <row r="1472" spans="26:26" x14ac:dyDescent="0.3">
      <c r="Z1472" s="706"/>
    </row>
    <row r="1473" spans="26:26" x14ac:dyDescent="0.3">
      <c r="Z1473" s="706"/>
    </row>
    <row r="1474" spans="26:26" x14ac:dyDescent="0.3">
      <c r="Z1474" s="706"/>
    </row>
    <row r="1475" spans="26:26" x14ac:dyDescent="0.3">
      <c r="Z1475" s="706"/>
    </row>
    <row r="1476" spans="26:26" x14ac:dyDescent="0.3">
      <c r="Z1476" s="706"/>
    </row>
    <row r="1477" spans="26:26" x14ac:dyDescent="0.3">
      <c r="Z1477" s="706"/>
    </row>
    <row r="1478" spans="26:26" x14ac:dyDescent="0.3">
      <c r="Z1478" s="706"/>
    </row>
    <row r="1479" spans="26:26" x14ac:dyDescent="0.3">
      <c r="Z1479" s="706"/>
    </row>
    <row r="1480" spans="26:26" x14ac:dyDescent="0.3">
      <c r="Z1480" s="706"/>
    </row>
    <row r="1481" spans="26:26" x14ac:dyDescent="0.3">
      <c r="Z1481" s="706"/>
    </row>
    <row r="1482" spans="26:26" x14ac:dyDescent="0.3">
      <c r="Z1482" s="706"/>
    </row>
    <row r="1483" spans="26:26" x14ac:dyDescent="0.3">
      <c r="Z1483" s="706"/>
    </row>
    <row r="1484" spans="26:26" x14ac:dyDescent="0.3">
      <c r="Z1484" s="706"/>
    </row>
    <row r="1485" spans="26:26" x14ac:dyDescent="0.3">
      <c r="Z1485" s="706"/>
    </row>
    <row r="1486" spans="26:26" x14ac:dyDescent="0.3">
      <c r="Z1486" s="706"/>
    </row>
    <row r="1487" spans="26:26" x14ac:dyDescent="0.3">
      <c r="Z1487" s="706"/>
    </row>
    <row r="1488" spans="26:26" x14ac:dyDescent="0.3">
      <c r="Z1488" s="706"/>
    </row>
    <row r="1489" spans="26:26" x14ac:dyDescent="0.3">
      <c r="Z1489" s="706"/>
    </row>
    <row r="1490" spans="26:26" x14ac:dyDescent="0.3">
      <c r="Z1490" s="706"/>
    </row>
    <row r="1491" spans="26:26" x14ac:dyDescent="0.3">
      <c r="Z1491" s="706"/>
    </row>
    <row r="1492" spans="26:26" x14ac:dyDescent="0.3">
      <c r="Z1492" s="706"/>
    </row>
    <row r="1493" spans="26:26" x14ac:dyDescent="0.3">
      <c r="Z1493" s="706"/>
    </row>
    <row r="1494" spans="26:26" x14ac:dyDescent="0.3">
      <c r="Z1494" s="706"/>
    </row>
    <row r="1495" spans="26:26" x14ac:dyDescent="0.3">
      <c r="Z1495" s="706"/>
    </row>
    <row r="1496" spans="26:26" x14ac:dyDescent="0.3">
      <c r="Z1496" s="706"/>
    </row>
    <row r="1497" spans="26:26" x14ac:dyDescent="0.3">
      <c r="Z1497" s="706"/>
    </row>
    <row r="1498" spans="26:26" x14ac:dyDescent="0.3">
      <c r="Z1498" s="706"/>
    </row>
    <row r="1499" spans="26:26" x14ac:dyDescent="0.3">
      <c r="Z1499" s="706"/>
    </row>
    <row r="1500" spans="26:26" x14ac:dyDescent="0.3">
      <c r="Z1500" s="706"/>
    </row>
    <row r="1501" spans="26:26" x14ac:dyDescent="0.3">
      <c r="Z1501" s="706"/>
    </row>
    <row r="1502" spans="26:26" x14ac:dyDescent="0.3">
      <c r="Z1502" s="706"/>
    </row>
    <row r="1503" spans="26:26" x14ac:dyDescent="0.3">
      <c r="Z1503" s="706"/>
    </row>
    <row r="1504" spans="26:26" x14ac:dyDescent="0.3">
      <c r="Z1504" s="706"/>
    </row>
    <row r="1505" spans="26:26" x14ac:dyDescent="0.3">
      <c r="Z1505" s="706"/>
    </row>
    <row r="1506" spans="26:26" x14ac:dyDescent="0.3">
      <c r="Z1506" s="706"/>
    </row>
    <row r="1507" spans="26:26" x14ac:dyDescent="0.3">
      <c r="Z1507" s="706"/>
    </row>
    <row r="1508" spans="26:26" x14ac:dyDescent="0.3">
      <c r="Z1508" s="706"/>
    </row>
    <row r="1509" spans="26:26" x14ac:dyDescent="0.3">
      <c r="Z1509" s="706"/>
    </row>
    <row r="1510" spans="26:26" x14ac:dyDescent="0.3">
      <c r="Z1510" s="706"/>
    </row>
    <row r="1511" spans="26:26" x14ac:dyDescent="0.3">
      <c r="Z1511" s="706"/>
    </row>
    <row r="1512" spans="26:26" x14ac:dyDescent="0.3">
      <c r="Z1512" s="706"/>
    </row>
    <row r="1513" spans="26:26" x14ac:dyDescent="0.3">
      <c r="Z1513" s="706"/>
    </row>
    <row r="1514" spans="26:26" x14ac:dyDescent="0.3">
      <c r="Z1514" s="706"/>
    </row>
    <row r="1515" spans="26:26" x14ac:dyDescent="0.3">
      <c r="Z1515" s="706"/>
    </row>
    <row r="1516" spans="26:26" x14ac:dyDescent="0.3">
      <c r="Z1516" s="706"/>
    </row>
    <row r="1517" spans="26:26" x14ac:dyDescent="0.3">
      <c r="Z1517" s="706"/>
    </row>
    <row r="1518" spans="26:26" x14ac:dyDescent="0.3">
      <c r="Z1518" s="706"/>
    </row>
    <row r="1519" spans="26:26" x14ac:dyDescent="0.3">
      <c r="Z1519" s="706"/>
    </row>
    <row r="1520" spans="26:26" x14ac:dyDescent="0.3">
      <c r="Z1520" s="706"/>
    </row>
    <row r="1521" spans="26:26" x14ac:dyDescent="0.3">
      <c r="Z1521" s="706"/>
    </row>
    <row r="1522" spans="26:26" x14ac:dyDescent="0.3">
      <c r="Z1522" s="706"/>
    </row>
    <row r="1523" spans="26:26" x14ac:dyDescent="0.3">
      <c r="Z1523" s="706"/>
    </row>
    <row r="1524" spans="26:26" x14ac:dyDescent="0.3">
      <c r="Z1524" s="706"/>
    </row>
    <row r="1525" spans="26:26" x14ac:dyDescent="0.3">
      <c r="Z1525" s="706"/>
    </row>
    <row r="1526" spans="26:26" x14ac:dyDescent="0.3">
      <c r="Z1526" s="706"/>
    </row>
    <row r="1527" spans="26:26" x14ac:dyDescent="0.3">
      <c r="Z1527" s="706"/>
    </row>
    <row r="1528" spans="26:26" x14ac:dyDescent="0.3">
      <c r="Z1528" s="706"/>
    </row>
    <row r="1529" spans="26:26" x14ac:dyDescent="0.3">
      <c r="Z1529" s="706"/>
    </row>
    <row r="1530" spans="26:26" x14ac:dyDescent="0.3">
      <c r="Z1530" s="706"/>
    </row>
    <row r="1531" spans="26:26" x14ac:dyDescent="0.3">
      <c r="Z1531" s="706"/>
    </row>
    <row r="1532" spans="26:26" x14ac:dyDescent="0.3">
      <c r="Z1532" s="706"/>
    </row>
    <row r="1533" spans="26:26" x14ac:dyDescent="0.3">
      <c r="Z1533" s="706"/>
    </row>
    <row r="1534" spans="26:26" x14ac:dyDescent="0.3">
      <c r="Z1534" s="706"/>
    </row>
    <row r="1535" spans="26:26" x14ac:dyDescent="0.3">
      <c r="Z1535" s="706"/>
    </row>
    <row r="1536" spans="26:26" x14ac:dyDescent="0.3">
      <c r="Z1536" s="706"/>
    </row>
    <row r="1537" spans="26:26" x14ac:dyDescent="0.3">
      <c r="Z1537" s="706"/>
    </row>
    <row r="1538" spans="26:26" x14ac:dyDescent="0.3">
      <c r="Z1538" s="706"/>
    </row>
    <row r="1539" spans="26:26" x14ac:dyDescent="0.3">
      <c r="Z1539" s="706"/>
    </row>
    <row r="1540" spans="26:26" x14ac:dyDescent="0.3">
      <c r="Z1540" s="706"/>
    </row>
    <row r="1541" spans="26:26" x14ac:dyDescent="0.3">
      <c r="Z1541" s="706"/>
    </row>
    <row r="1542" spans="26:26" x14ac:dyDescent="0.3">
      <c r="Z1542" s="706"/>
    </row>
    <row r="1543" spans="26:26" x14ac:dyDescent="0.3">
      <c r="Z1543" s="706"/>
    </row>
    <row r="1544" spans="26:26" x14ac:dyDescent="0.3">
      <c r="Z1544" s="706"/>
    </row>
    <row r="1545" spans="26:26" x14ac:dyDescent="0.3">
      <c r="Z1545" s="706"/>
    </row>
    <row r="1546" spans="26:26" x14ac:dyDescent="0.3">
      <c r="Z1546" s="706"/>
    </row>
    <row r="1547" spans="26:26" x14ac:dyDescent="0.3">
      <c r="Z1547" s="706"/>
    </row>
    <row r="1548" spans="26:26" x14ac:dyDescent="0.3">
      <c r="Z1548" s="706"/>
    </row>
    <row r="1549" spans="26:26" x14ac:dyDescent="0.3">
      <c r="Z1549" s="706"/>
    </row>
    <row r="1550" spans="26:26" x14ac:dyDescent="0.3">
      <c r="Z1550" s="706"/>
    </row>
    <row r="1551" spans="26:26" x14ac:dyDescent="0.3">
      <c r="Z1551" s="706"/>
    </row>
    <row r="1552" spans="26:26" x14ac:dyDescent="0.3">
      <c r="Z1552" s="706"/>
    </row>
    <row r="1553" spans="26:26" x14ac:dyDescent="0.3">
      <c r="Z1553" s="706"/>
    </row>
    <row r="1554" spans="26:26" x14ac:dyDescent="0.3">
      <c r="Z1554" s="706"/>
    </row>
    <row r="1555" spans="26:26" x14ac:dyDescent="0.3">
      <c r="Z1555" s="706"/>
    </row>
    <row r="1556" spans="26:26" x14ac:dyDescent="0.3">
      <c r="Z1556" s="706"/>
    </row>
    <row r="1557" spans="26:26" x14ac:dyDescent="0.3">
      <c r="Z1557" s="706"/>
    </row>
    <row r="1558" spans="26:26" x14ac:dyDescent="0.3">
      <c r="Z1558" s="706"/>
    </row>
    <row r="1559" spans="26:26" x14ac:dyDescent="0.3">
      <c r="Z1559" s="706"/>
    </row>
    <row r="1560" spans="26:26" x14ac:dyDescent="0.3">
      <c r="Z1560" s="706"/>
    </row>
    <row r="1561" spans="26:26" x14ac:dyDescent="0.3">
      <c r="Z1561" s="706"/>
    </row>
    <row r="1562" spans="26:26" x14ac:dyDescent="0.3">
      <c r="Z1562" s="706"/>
    </row>
    <row r="1563" spans="26:26" x14ac:dyDescent="0.3">
      <c r="Z1563" s="706"/>
    </row>
    <row r="1564" spans="26:26" x14ac:dyDescent="0.3">
      <c r="Z1564" s="706"/>
    </row>
    <row r="1565" spans="26:26" x14ac:dyDescent="0.3">
      <c r="Z1565" s="706"/>
    </row>
    <row r="1566" spans="26:26" x14ac:dyDescent="0.3">
      <c r="Z1566" s="706"/>
    </row>
    <row r="1567" spans="26:26" x14ac:dyDescent="0.3">
      <c r="Z1567" s="706"/>
    </row>
    <row r="1568" spans="26:26" x14ac:dyDescent="0.3">
      <c r="Z1568" s="706"/>
    </row>
    <row r="1569" spans="26:26" x14ac:dyDescent="0.3">
      <c r="Z1569" s="706"/>
    </row>
    <row r="1570" spans="26:26" x14ac:dyDescent="0.3">
      <c r="Z1570" s="706"/>
    </row>
    <row r="1571" spans="26:26" x14ac:dyDescent="0.3">
      <c r="Z1571" s="706"/>
    </row>
    <row r="1572" spans="26:26" x14ac:dyDescent="0.3">
      <c r="Z1572" s="706"/>
    </row>
    <row r="1573" spans="26:26" x14ac:dyDescent="0.3">
      <c r="Z1573" s="706"/>
    </row>
    <row r="1574" spans="26:26" x14ac:dyDescent="0.3">
      <c r="Z1574" s="706"/>
    </row>
    <row r="1575" spans="26:26" x14ac:dyDescent="0.3">
      <c r="Z1575" s="706"/>
    </row>
    <row r="1576" spans="26:26" x14ac:dyDescent="0.3">
      <c r="Z1576" s="706"/>
    </row>
    <row r="1577" spans="26:26" x14ac:dyDescent="0.3">
      <c r="Z1577" s="706"/>
    </row>
    <row r="1578" spans="26:26" x14ac:dyDescent="0.3">
      <c r="Z1578" s="706"/>
    </row>
    <row r="1579" spans="26:26" x14ac:dyDescent="0.3">
      <c r="Z1579" s="706"/>
    </row>
    <row r="1580" spans="26:26" x14ac:dyDescent="0.3">
      <c r="Z1580" s="706"/>
    </row>
    <row r="1581" spans="26:26" x14ac:dyDescent="0.3">
      <c r="Z1581" s="706"/>
    </row>
    <row r="1582" spans="26:26" x14ac:dyDescent="0.3">
      <c r="Z1582" s="706"/>
    </row>
    <row r="1583" spans="26:26" x14ac:dyDescent="0.3">
      <c r="Z1583" s="706"/>
    </row>
    <row r="1584" spans="26:26" x14ac:dyDescent="0.3">
      <c r="Z1584" s="706"/>
    </row>
    <row r="1585" spans="26:26" x14ac:dyDescent="0.3">
      <c r="Z1585" s="706"/>
    </row>
    <row r="1586" spans="26:26" x14ac:dyDescent="0.3">
      <c r="Z1586" s="706"/>
    </row>
    <row r="1587" spans="26:26" x14ac:dyDescent="0.3">
      <c r="Z1587" s="706"/>
    </row>
    <row r="1588" spans="26:26" x14ac:dyDescent="0.3">
      <c r="Z1588" s="706"/>
    </row>
    <row r="1589" spans="26:26" x14ac:dyDescent="0.3">
      <c r="Z1589" s="706"/>
    </row>
    <row r="1590" spans="26:26" x14ac:dyDescent="0.3">
      <c r="Z1590" s="706"/>
    </row>
    <row r="1591" spans="26:26" x14ac:dyDescent="0.3">
      <c r="Z1591" s="706"/>
    </row>
    <row r="1592" spans="26:26" x14ac:dyDescent="0.3">
      <c r="Z1592" s="706"/>
    </row>
    <row r="1593" spans="26:26" x14ac:dyDescent="0.3">
      <c r="Z1593" s="706"/>
    </row>
    <row r="1594" spans="26:26" x14ac:dyDescent="0.3">
      <c r="Z1594" s="706"/>
    </row>
    <row r="1595" spans="26:26" x14ac:dyDescent="0.3">
      <c r="Z1595" s="706"/>
    </row>
    <row r="1596" spans="26:26" x14ac:dyDescent="0.3">
      <c r="Z1596" s="706"/>
    </row>
    <row r="1597" spans="26:26" x14ac:dyDescent="0.3">
      <c r="Z1597" s="706"/>
    </row>
    <row r="1598" spans="26:26" x14ac:dyDescent="0.3">
      <c r="Z1598" s="706"/>
    </row>
    <row r="1599" spans="26:26" x14ac:dyDescent="0.3">
      <c r="Z1599" s="706"/>
    </row>
    <row r="1600" spans="26:26" x14ac:dyDescent="0.3">
      <c r="Z1600" s="706"/>
    </row>
    <row r="1601" spans="26:26" x14ac:dyDescent="0.3">
      <c r="Z1601" s="706"/>
    </row>
    <row r="1602" spans="26:26" x14ac:dyDescent="0.3">
      <c r="Z1602" s="706"/>
    </row>
    <row r="1603" spans="26:26" x14ac:dyDescent="0.3">
      <c r="Z1603" s="706"/>
    </row>
    <row r="1604" spans="26:26" x14ac:dyDescent="0.3">
      <c r="Z1604" s="706"/>
    </row>
    <row r="1605" spans="26:26" x14ac:dyDescent="0.3">
      <c r="Z1605" s="706"/>
    </row>
    <row r="1606" spans="26:26" x14ac:dyDescent="0.3">
      <c r="Z1606" s="706"/>
    </row>
    <row r="1607" spans="26:26" x14ac:dyDescent="0.3">
      <c r="Z1607" s="706"/>
    </row>
    <row r="1608" spans="26:26" x14ac:dyDescent="0.3">
      <c r="Z1608" s="706"/>
    </row>
    <row r="1609" spans="26:26" x14ac:dyDescent="0.3">
      <c r="Z1609" s="706"/>
    </row>
    <row r="1610" spans="26:26" x14ac:dyDescent="0.3">
      <c r="Z1610" s="706"/>
    </row>
    <row r="1611" spans="26:26" x14ac:dyDescent="0.3">
      <c r="Z1611" s="706"/>
    </row>
    <row r="1612" spans="26:26" x14ac:dyDescent="0.3">
      <c r="Z1612" s="706"/>
    </row>
    <row r="1613" spans="26:26" x14ac:dyDescent="0.3">
      <c r="Z1613" s="706"/>
    </row>
    <row r="1614" spans="26:26" x14ac:dyDescent="0.3">
      <c r="Z1614" s="706"/>
    </row>
    <row r="1615" spans="26:26" x14ac:dyDescent="0.3">
      <c r="Z1615" s="706"/>
    </row>
    <row r="1616" spans="26:26" x14ac:dyDescent="0.3">
      <c r="Z1616" s="706"/>
    </row>
    <row r="1617" spans="26:26" x14ac:dyDescent="0.3">
      <c r="Z1617" s="706"/>
    </row>
    <row r="1618" spans="26:26" x14ac:dyDescent="0.3">
      <c r="Z1618" s="706"/>
    </row>
    <row r="1619" spans="26:26" x14ac:dyDescent="0.3">
      <c r="Z1619" s="706"/>
    </row>
    <row r="1620" spans="26:26" x14ac:dyDescent="0.3">
      <c r="Z1620" s="706"/>
    </row>
    <row r="1621" spans="26:26" x14ac:dyDescent="0.3">
      <c r="Z1621" s="706"/>
    </row>
    <row r="1622" spans="26:26" x14ac:dyDescent="0.3">
      <c r="Z1622" s="706"/>
    </row>
    <row r="1623" spans="26:26" x14ac:dyDescent="0.3">
      <c r="Z1623" s="706"/>
    </row>
    <row r="1624" spans="26:26" x14ac:dyDescent="0.3">
      <c r="Z1624" s="706"/>
    </row>
    <row r="1625" spans="26:26" x14ac:dyDescent="0.3">
      <c r="Z1625" s="706"/>
    </row>
    <row r="1626" spans="26:26" x14ac:dyDescent="0.3">
      <c r="Z1626" s="706"/>
    </row>
    <row r="1627" spans="26:26" x14ac:dyDescent="0.3">
      <c r="Z1627" s="706"/>
    </row>
    <row r="1628" spans="26:26" x14ac:dyDescent="0.3">
      <c r="Z1628" s="706"/>
    </row>
    <row r="1629" spans="26:26" x14ac:dyDescent="0.3">
      <c r="Z1629" s="706"/>
    </row>
    <row r="1630" spans="26:26" x14ac:dyDescent="0.3">
      <c r="Z1630" s="706"/>
    </row>
    <row r="1631" spans="26:26" x14ac:dyDescent="0.3">
      <c r="Z1631" s="706"/>
    </row>
    <row r="1632" spans="26:26" x14ac:dyDescent="0.3">
      <c r="Z1632" s="706"/>
    </row>
    <row r="1633" spans="26:26" x14ac:dyDescent="0.3">
      <c r="Z1633" s="706"/>
    </row>
    <row r="1634" spans="26:26" x14ac:dyDescent="0.3">
      <c r="Z1634" s="706"/>
    </row>
    <row r="1635" spans="26:26" x14ac:dyDescent="0.3">
      <c r="Z1635" s="706"/>
    </row>
    <row r="1636" spans="26:26" x14ac:dyDescent="0.3">
      <c r="Z1636" s="706"/>
    </row>
    <row r="1637" spans="26:26" x14ac:dyDescent="0.3">
      <c r="Z1637" s="706"/>
    </row>
    <row r="1638" spans="26:26" x14ac:dyDescent="0.3">
      <c r="Z1638" s="706"/>
    </row>
    <row r="1639" spans="26:26" x14ac:dyDescent="0.3">
      <c r="Z1639" s="706"/>
    </row>
    <row r="1640" spans="26:26" x14ac:dyDescent="0.3">
      <c r="Z1640" s="706"/>
    </row>
    <row r="1641" spans="26:26" x14ac:dyDescent="0.3">
      <c r="Z1641" s="706"/>
    </row>
    <row r="1642" spans="26:26" x14ac:dyDescent="0.3">
      <c r="Z1642" s="706"/>
    </row>
    <row r="1643" spans="26:26" x14ac:dyDescent="0.3">
      <c r="Z1643" s="706"/>
    </row>
    <row r="1644" spans="26:26" x14ac:dyDescent="0.3">
      <c r="Z1644" s="706"/>
    </row>
    <row r="1645" spans="26:26" x14ac:dyDescent="0.3">
      <c r="Z1645" s="706"/>
    </row>
    <row r="1646" spans="26:26" x14ac:dyDescent="0.3">
      <c r="Z1646" s="706"/>
    </row>
    <row r="1647" spans="26:26" x14ac:dyDescent="0.3">
      <c r="Z1647" s="706"/>
    </row>
    <row r="1648" spans="26:26" x14ac:dyDescent="0.3">
      <c r="Z1648" s="706"/>
    </row>
    <row r="1649" spans="26:26" x14ac:dyDescent="0.3">
      <c r="Z1649" s="706"/>
    </row>
    <row r="1650" spans="26:26" x14ac:dyDescent="0.3">
      <c r="Z1650" s="706"/>
    </row>
    <row r="1651" spans="26:26" x14ac:dyDescent="0.3">
      <c r="Z1651" s="706"/>
    </row>
    <row r="1652" spans="26:26" x14ac:dyDescent="0.3">
      <c r="Z1652" s="706"/>
    </row>
    <row r="1653" spans="26:26" x14ac:dyDescent="0.3">
      <c r="Z1653" s="706"/>
    </row>
    <row r="1654" spans="26:26" x14ac:dyDescent="0.3">
      <c r="Z1654" s="706"/>
    </row>
    <row r="1655" spans="26:26" x14ac:dyDescent="0.3">
      <c r="Z1655" s="706"/>
    </row>
    <row r="1656" spans="26:26" x14ac:dyDescent="0.3">
      <c r="Z1656" s="706"/>
    </row>
    <row r="1657" spans="26:26" x14ac:dyDescent="0.3">
      <c r="Z1657" s="706"/>
    </row>
    <row r="1658" spans="26:26" x14ac:dyDescent="0.3">
      <c r="Z1658" s="706"/>
    </row>
    <row r="1659" spans="26:26" x14ac:dyDescent="0.3">
      <c r="Z1659" s="706"/>
    </row>
    <row r="1660" spans="26:26" x14ac:dyDescent="0.3">
      <c r="Z1660" s="706"/>
    </row>
    <row r="1661" spans="26:26" x14ac:dyDescent="0.3">
      <c r="Z1661" s="706"/>
    </row>
    <row r="1662" spans="26:26" x14ac:dyDescent="0.3">
      <c r="Z1662" s="706"/>
    </row>
    <row r="1663" spans="26:26" x14ac:dyDescent="0.3">
      <c r="Z1663" s="706"/>
    </row>
    <row r="1664" spans="26:26" x14ac:dyDescent="0.3">
      <c r="Z1664" s="706"/>
    </row>
    <row r="1665" spans="26:26" x14ac:dyDescent="0.3">
      <c r="Z1665" s="706"/>
    </row>
    <row r="1666" spans="26:26" x14ac:dyDescent="0.3">
      <c r="Z1666" s="706"/>
    </row>
    <row r="1667" spans="26:26" x14ac:dyDescent="0.3">
      <c r="Z1667" s="706"/>
    </row>
    <row r="1668" spans="26:26" x14ac:dyDescent="0.3">
      <c r="Z1668" s="706"/>
    </row>
    <row r="1669" spans="26:26" x14ac:dyDescent="0.3">
      <c r="Z1669" s="706"/>
    </row>
    <row r="1670" spans="26:26" x14ac:dyDescent="0.3">
      <c r="Z1670" s="706"/>
    </row>
    <row r="1671" spans="26:26" x14ac:dyDescent="0.3">
      <c r="Z1671" s="706"/>
    </row>
    <row r="1672" spans="26:26" x14ac:dyDescent="0.3">
      <c r="Z1672" s="706"/>
    </row>
    <row r="1673" spans="26:26" x14ac:dyDescent="0.3">
      <c r="Z1673" s="706"/>
    </row>
    <row r="1674" spans="26:26" x14ac:dyDescent="0.3">
      <c r="Z1674" s="706"/>
    </row>
    <row r="1675" spans="26:26" x14ac:dyDescent="0.3">
      <c r="Z1675" s="706"/>
    </row>
    <row r="1676" spans="26:26" x14ac:dyDescent="0.3">
      <c r="Z1676" s="706"/>
    </row>
    <row r="1677" spans="26:26" x14ac:dyDescent="0.3">
      <c r="Z1677" s="706"/>
    </row>
    <row r="1678" spans="26:26" x14ac:dyDescent="0.3">
      <c r="Z1678" s="706"/>
    </row>
    <row r="1679" spans="26:26" x14ac:dyDescent="0.3">
      <c r="Z1679" s="706"/>
    </row>
    <row r="1680" spans="26:26" x14ac:dyDescent="0.3">
      <c r="Z1680" s="706"/>
    </row>
    <row r="1681" spans="26:26" x14ac:dyDescent="0.3">
      <c r="Z1681" s="706"/>
    </row>
    <row r="1682" spans="26:26" x14ac:dyDescent="0.3">
      <c r="Z1682" s="706"/>
    </row>
    <row r="1683" spans="26:26" x14ac:dyDescent="0.3">
      <c r="Z1683" s="706"/>
    </row>
    <row r="1684" spans="26:26" x14ac:dyDescent="0.3">
      <c r="Z1684" s="706"/>
    </row>
    <row r="1685" spans="26:26" x14ac:dyDescent="0.3">
      <c r="Z1685" s="706"/>
    </row>
    <row r="1686" spans="26:26" x14ac:dyDescent="0.3">
      <c r="Z1686" s="706"/>
    </row>
    <row r="1687" spans="26:26" x14ac:dyDescent="0.3">
      <c r="Z1687" s="706"/>
    </row>
    <row r="1688" spans="26:26" x14ac:dyDescent="0.3">
      <c r="Z1688" s="706"/>
    </row>
    <row r="1689" spans="26:26" x14ac:dyDescent="0.3">
      <c r="Z1689" s="706"/>
    </row>
    <row r="1690" spans="26:26" x14ac:dyDescent="0.3">
      <c r="Z1690" s="706"/>
    </row>
    <row r="1691" spans="26:26" x14ac:dyDescent="0.3">
      <c r="Z1691" s="706"/>
    </row>
    <row r="1692" spans="26:26" x14ac:dyDescent="0.3">
      <c r="Z1692" s="706"/>
    </row>
    <row r="1693" spans="26:26" x14ac:dyDescent="0.3">
      <c r="Z1693" s="706"/>
    </row>
    <row r="1694" spans="26:26" x14ac:dyDescent="0.3">
      <c r="Z1694" s="706"/>
    </row>
    <row r="1695" spans="26:26" x14ac:dyDescent="0.3">
      <c r="Z1695" s="706"/>
    </row>
    <row r="1696" spans="26:26" x14ac:dyDescent="0.3">
      <c r="Z1696" s="706"/>
    </row>
    <row r="1697" spans="26:26" x14ac:dyDescent="0.3">
      <c r="Z1697" s="706"/>
    </row>
    <row r="1698" spans="26:26" x14ac:dyDescent="0.3">
      <c r="Z1698" s="706"/>
    </row>
    <row r="1699" spans="26:26" x14ac:dyDescent="0.3">
      <c r="Z1699" s="706"/>
    </row>
    <row r="1700" spans="26:26" x14ac:dyDescent="0.3">
      <c r="Z1700" s="706"/>
    </row>
    <row r="1701" spans="26:26" x14ac:dyDescent="0.3">
      <c r="Z1701" s="706"/>
    </row>
    <row r="1702" spans="26:26" x14ac:dyDescent="0.3">
      <c r="Z1702" s="706"/>
    </row>
    <row r="1703" spans="26:26" x14ac:dyDescent="0.3">
      <c r="Z1703" s="706"/>
    </row>
    <row r="1704" spans="26:26" x14ac:dyDescent="0.3">
      <c r="Z1704" s="706"/>
    </row>
    <row r="1705" spans="26:26" x14ac:dyDescent="0.3">
      <c r="Z1705" s="706"/>
    </row>
    <row r="1706" spans="26:26" x14ac:dyDescent="0.3">
      <c r="Z1706" s="706"/>
    </row>
    <row r="1707" spans="26:26" x14ac:dyDescent="0.3">
      <c r="Z1707" s="706"/>
    </row>
    <row r="1708" spans="26:26" x14ac:dyDescent="0.3">
      <c r="Z1708" s="706"/>
    </row>
    <row r="1709" spans="26:26" x14ac:dyDescent="0.3">
      <c r="Z1709" s="706"/>
    </row>
    <row r="1710" spans="26:26" x14ac:dyDescent="0.3">
      <c r="Z1710" s="706"/>
    </row>
    <row r="1711" spans="26:26" x14ac:dyDescent="0.3">
      <c r="Z1711" s="706"/>
    </row>
    <row r="1712" spans="26:26" x14ac:dyDescent="0.3">
      <c r="Z1712" s="706"/>
    </row>
    <row r="1713" spans="26:26" x14ac:dyDescent="0.3">
      <c r="Z1713" s="706"/>
    </row>
    <row r="1714" spans="26:26" x14ac:dyDescent="0.3">
      <c r="Z1714" s="706"/>
    </row>
    <row r="1715" spans="26:26" x14ac:dyDescent="0.3">
      <c r="Z1715" s="706"/>
    </row>
    <row r="1716" spans="26:26" x14ac:dyDescent="0.3">
      <c r="Z1716" s="706"/>
    </row>
    <row r="1717" spans="26:26" x14ac:dyDescent="0.3">
      <c r="Z1717" s="706"/>
    </row>
    <row r="1718" spans="26:26" x14ac:dyDescent="0.3">
      <c r="Z1718" s="706"/>
    </row>
    <row r="1719" spans="26:26" x14ac:dyDescent="0.3">
      <c r="Z1719" s="706"/>
    </row>
    <row r="1720" spans="26:26" x14ac:dyDescent="0.3">
      <c r="Z1720" s="706"/>
    </row>
    <row r="1721" spans="26:26" x14ac:dyDescent="0.3">
      <c r="Z1721" s="706"/>
    </row>
    <row r="1722" spans="26:26" x14ac:dyDescent="0.3">
      <c r="Z1722" s="706"/>
    </row>
    <row r="1723" spans="26:26" x14ac:dyDescent="0.3">
      <c r="Z1723" s="706"/>
    </row>
    <row r="1724" spans="26:26" x14ac:dyDescent="0.3">
      <c r="Z1724" s="706"/>
    </row>
    <row r="1725" spans="26:26" x14ac:dyDescent="0.3">
      <c r="Z1725" s="706"/>
    </row>
    <row r="1726" spans="26:26" x14ac:dyDescent="0.3">
      <c r="Z1726" s="706"/>
    </row>
    <row r="1727" spans="26:26" x14ac:dyDescent="0.3">
      <c r="Z1727" s="706"/>
    </row>
    <row r="1728" spans="26:26" x14ac:dyDescent="0.3">
      <c r="Z1728" s="706"/>
    </row>
    <row r="1729" spans="26:26" x14ac:dyDescent="0.3">
      <c r="Z1729" s="706"/>
    </row>
    <row r="1730" spans="26:26" x14ac:dyDescent="0.3">
      <c r="Z1730" s="706"/>
    </row>
    <row r="1731" spans="26:26" x14ac:dyDescent="0.3">
      <c r="Z1731" s="706"/>
    </row>
    <row r="1732" spans="26:26" x14ac:dyDescent="0.3">
      <c r="Z1732" s="706"/>
    </row>
    <row r="1733" spans="26:26" x14ac:dyDescent="0.3">
      <c r="Z1733" s="706"/>
    </row>
    <row r="1734" spans="26:26" x14ac:dyDescent="0.3">
      <c r="Z1734" s="706"/>
    </row>
    <row r="1735" spans="26:26" x14ac:dyDescent="0.3">
      <c r="Z1735" s="706"/>
    </row>
    <row r="1736" spans="26:26" x14ac:dyDescent="0.3">
      <c r="Z1736" s="706"/>
    </row>
    <row r="1737" spans="26:26" x14ac:dyDescent="0.3">
      <c r="Z1737" s="706"/>
    </row>
    <row r="1738" spans="26:26" x14ac:dyDescent="0.3">
      <c r="Z1738" s="706"/>
    </row>
    <row r="1739" spans="26:26" x14ac:dyDescent="0.3">
      <c r="Z1739" s="706"/>
    </row>
    <row r="1740" spans="26:26" x14ac:dyDescent="0.3">
      <c r="Z1740" s="706"/>
    </row>
    <row r="1741" spans="26:26" x14ac:dyDescent="0.3">
      <c r="Z1741" s="706"/>
    </row>
    <row r="1742" spans="26:26" x14ac:dyDescent="0.3">
      <c r="Z1742" s="706"/>
    </row>
    <row r="1743" spans="26:26" x14ac:dyDescent="0.3">
      <c r="Z1743" s="706"/>
    </row>
    <row r="1744" spans="26:26" x14ac:dyDescent="0.3">
      <c r="Z1744" s="706"/>
    </row>
    <row r="1745" spans="26:26" x14ac:dyDescent="0.3">
      <c r="Z1745" s="706"/>
    </row>
    <row r="1746" spans="26:26" x14ac:dyDescent="0.3">
      <c r="Z1746" s="706"/>
    </row>
    <row r="1747" spans="26:26" x14ac:dyDescent="0.3">
      <c r="Z1747" s="706"/>
    </row>
    <row r="1748" spans="26:26" x14ac:dyDescent="0.3">
      <c r="Z1748" s="706"/>
    </row>
    <row r="1749" spans="26:26" x14ac:dyDescent="0.3">
      <c r="Z1749" s="706"/>
    </row>
    <row r="1750" spans="26:26" x14ac:dyDescent="0.3">
      <c r="Z1750" s="706"/>
    </row>
    <row r="1751" spans="26:26" x14ac:dyDescent="0.3">
      <c r="Z1751" s="706"/>
    </row>
    <row r="1752" spans="26:26" x14ac:dyDescent="0.3">
      <c r="Z1752" s="706"/>
    </row>
    <row r="1753" spans="26:26" x14ac:dyDescent="0.3">
      <c r="Z1753" s="706"/>
    </row>
    <row r="1754" spans="26:26" x14ac:dyDescent="0.3">
      <c r="Z1754" s="706"/>
    </row>
    <row r="1755" spans="26:26" x14ac:dyDescent="0.3">
      <c r="Z1755" s="706"/>
    </row>
    <row r="1756" spans="26:26" x14ac:dyDescent="0.3">
      <c r="Z1756" s="706"/>
    </row>
    <row r="1757" spans="26:26" x14ac:dyDescent="0.3">
      <c r="Z1757" s="706"/>
    </row>
    <row r="1758" spans="26:26" x14ac:dyDescent="0.3">
      <c r="Z1758" s="706"/>
    </row>
    <row r="1759" spans="26:26" x14ac:dyDescent="0.3">
      <c r="Z1759" s="706"/>
    </row>
    <row r="1760" spans="26:26" x14ac:dyDescent="0.3">
      <c r="Z1760" s="706"/>
    </row>
    <row r="1761" spans="26:26" x14ac:dyDescent="0.3">
      <c r="Z1761" s="706"/>
    </row>
    <row r="1762" spans="26:26" x14ac:dyDescent="0.3">
      <c r="Z1762" s="706"/>
    </row>
    <row r="1763" spans="26:26" x14ac:dyDescent="0.3">
      <c r="Z1763" s="706"/>
    </row>
    <row r="1764" spans="26:26" x14ac:dyDescent="0.3">
      <c r="Z1764" s="706"/>
    </row>
    <row r="1765" spans="26:26" x14ac:dyDescent="0.3">
      <c r="Z1765" s="706"/>
    </row>
    <row r="1766" spans="26:26" x14ac:dyDescent="0.3">
      <c r="Z1766" s="706"/>
    </row>
    <row r="1767" spans="26:26" x14ac:dyDescent="0.3">
      <c r="Z1767" s="706"/>
    </row>
    <row r="1768" spans="26:26" x14ac:dyDescent="0.3">
      <c r="Z1768" s="706"/>
    </row>
    <row r="1769" spans="26:26" x14ac:dyDescent="0.3">
      <c r="Z1769" s="706"/>
    </row>
    <row r="1770" spans="26:26" x14ac:dyDescent="0.3">
      <c r="Z1770" s="706"/>
    </row>
    <row r="1771" spans="26:26" x14ac:dyDescent="0.3">
      <c r="Z1771" s="706"/>
    </row>
    <row r="1772" spans="26:26" x14ac:dyDescent="0.3">
      <c r="Z1772" s="706"/>
    </row>
    <row r="1773" spans="26:26" x14ac:dyDescent="0.3">
      <c r="Z1773" s="706"/>
    </row>
    <row r="1774" spans="26:26" x14ac:dyDescent="0.3">
      <c r="Z1774" s="706"/>
    </row>
    <row r="1775" spans="26:26" x14ac:dyDescent="0.3">
      <c r="Z1775" s="706"/>
    </row>
    <row r="1776" spans="26:26" x14ac:dyDescent="0.3">
      <c r="Z1776" s="706"/>
    </row>
    <row r="1777" spans="26:26" x14ac:dyDescent="0.3">
      <c r="Z1777" s="706"/>
    </row>
    <row r="1778" spans="26:26" x14ac:dyDescent="0.3">
      <c r="Z1778" s="706"/>
    </row>
    <row r="1779" spans="26:26" x14ac:dyDescent="0.3">
      <c r="Z1779" s="706"/>
    </row>
    <row r="1780" spans="26:26" x14ac:dyDescent="0.3">
      <c r="Z1780" s="706"/>
    </row>
    <row r="1781" spans="26:26" x14ac:dyDescent="0.3">
      <c r="Z1781" s="706"/>
    </row>
    <row r="1782" spans="26:26" x14ac:dyDescent="0.3">
      <c r="Z1782" s="706"/>
    </row>
    <row r="1783" spans="26:26" x14ac:dyDescent="0.3">
      <c r="Z1783" s="706"/>
    </row>
    <row r="1784" spans="26:26" x14ac:dyDescent="0.3">
      <c r="Z1784" s="706"/>
    </row>
    <row r="1785" spans="26:26" x14ac:dyDescent="0.3">
      <c r="Z1785" s="706"/>
    </row>
    <row r="1786" spans="26:26" x14ac:dyDescent="0.3">
      <c r="Z1786" s="706"/>
    </row>
    <row r="1787" spans="26:26" x14ac:dyDescent="0.3">
      <c r="Z1787" s="706"/>
    </row>
    <row r="1788" spans="26:26" x14ac:dyDescent="0.3">
      <c r="Z1788" s="706"/>
    </row>
    <row r="1789" spans="26:26" x14ac:dyDescent="0.3">
      <c r="Z1789" s="706"/>
    </row>
    <row r="1790" spans="26:26" x14ac:dyDescent="0.3">
      <c r="Z1790" s="706"/>
    </row>
  </sheetData>
  <mergeCells count="25">
    <mergeCell ref="A5:H5"/>
    <mergeCell ref="A6:F6"/>
    <mergeCell ref="A8:F8"/>
    <mergeCell ref="C10:F10"/>
    <mergeCell ref="B11:C11"/>
    <mergeCell ref="D11:F11"/>
    <mergeCell ref="A27:F27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B22:F22"/>
    <mergeCell ref="A25:F25"/>
    <mergeCell ref="A42:F42"/>
    <mergeCell ref="A29:F29"/>
    <mergeCell ref="A31:F31"/>
    <mergeCell ref="A33:F33"/>
    <mergeCell ref="A35:F35"/>
    <mergeCell ref="A38:F38"/>
    <mergeCell ref="A40:F40"/>
  </mergeCells>
  <conditionalFormatting sqref="Q21 Q27 Q35">
    <cfRule type="cellIs" dxfId="108" priority="4" stopIfTrue="1" operator="lessThan">
      <formula>0</formula>
    </cfRule>
  </conditionalFormatting>
  <conditionalFormatting sqref="Q42">
    <cfRule type="cellIs" dxfId="107" priority="7" stopIfTrue="1" operator="lessThan">
      <formula>0</formula>
    </cfRule>
  </conditionalFormatting>
  <conditionalFormatting sqref="I21 I27 I35">
    <cfRule type="cellIs" dxfId="106" priority="5" stopIfTrue="1" operator="lessThan">
      <formula>0</formula>
    </cfRule>
  </conditionalFormatting>
  <conditionalFormatting sqref="Z27 Z35 Z42">
    <cfRule type="cellIs" dxfId="105" priority="8" stopIfTrue="1" operator="lessThan">
      <formula>0</formula>
    </cfRule>
  </conditionalFormatting>
  <conditionalFormatting sqref="AC27 AC35">
    <cfRule type="cellIs" dxfId="104" priority="9" stopIfTrue="1" operator="lessThan">
      <formula>0</formula>
    </cfRule>
  </conditionalFormatting>
  <conditionalFormatting sqref="AC27:AD27 AC35:AD35">
    <cfRule type="cellIs" dxfId="103" priority="11" stopIfTrue="1" operator="lessThan">
      <formula>0</formula>
    </cfRule>
  </conditionalFormatting>
  <conditionalFormatting sqref="AD27 AD35">
    <cfRule type="cellIs" dxfId="102" priority="13" stopIfTrue="1" operator="lessThan">
      <formula>0</formula>
    </cfRule>
  </conditionalFormatting>
  <conditionalFormatting sqref="AD27:AE27 AD35:AE35">
    <cfRule type="cellIs" dxfId="101" priority="15" stopIfTrue="1" operator="lessThan">
      <formula>0</formula>
    </cfRule>
  </conditionalFormatting>
  <conditionalFormatting sqref="AE27 AE35">
    <cfRule type="cellIs" dxfId="100" priority="17" stopIfTrue="1" operator="lessThan">
      <formula>0</formula>
    </cfRule>
  </conditionalFormatting>
  <conditionalFormatting sqref="AE27:AF27 AJ27 AE35:AF35 AJ35">
    <cfRule type="cellIs" dxfId="99" priority="19" stopIfTrue="1" operator="lessThan">
      <formula>0</formula>
    </cfRule>
  </conditionalFormatting>
  <conditionalFormatting sqref="AF27 AJ27 AF35 AJ35">
    <cfRule type="cellIs" dxfId="98" priority="21" stopIfTrue="1" operator="lessThan">
      <formula>0</formula>
    </cfRule>
  </conditionalFormatting>
  <conditionalFormatting sqref="AF27 AJ27 AF35 AJ35">
    <cfRule type="cellIs" dxfId="97" priority="23" stopIfTrue="1" operator="lessThan">
      <formula>0</formula>
    </cfRule>
  </conditionalFormatting>
  <conditionalFormatting sqref="AF27:AJ27 AF35:AJ35">
    <cfRule type="cellIs" dxfId="96" priority="25" stopIfTrue="1" operator="lessThan">
      <formula>0</formula>
    </cfRule>
  </conditionalFormatting>
  <conditionalFormatting sqref="AG27:AI27 AG35:AI35">
    <cfRule type="cellIs" dxfId="95" priority="27" stopIfTrue="1" operator="lessThan">
      <formula>0</formula>
    </cfRule>
  </conditionalFormatting>
  <conditionalFormatting sqref="AG27:AI27 AG35:AI35">
    <cfRule type="cellIs" dxfId="94" priority="29" stopIfTrue="1" operator="lessThan">
      <formula>0</formula>
    </cfRule>
  </conditionalFormatting>
  <conditionalFormatting sqref="AN21 AG27:AI27 AN27 AG35:AI35 AN35">
    <cfRule type="cellIs" dxfId="93" priority="31" stopIfTrue="1" operator="lessThan">
      <formula>0</formula>
    </cfRule>
  </conditionalFormatting>
  <conditionalFormatting sqref="AM21:AN21 AM27:AN27 AM35:AN35">
    <cfRule type="cellIs" dxfId="92" priority="33" stopIfTrue="1" operator="lessThan">
      <formula>0</formula>
    </cfRule>
  </conditionalFormatting>
  <conditionalFormatting sqref="AM21 AK27 AM27 AK35 AM35">
    <cfRule type="cellIs" dxfId="91" priority="35" stopIfTrue="1" operator="lessThan">
      <formula>0</formula>
    </cfRule>
  </conditionalFormatting>
  <conditionalFormatting sqref="AK27 AK35">
    <cfRule type="cellIs" dxfId="90" priority="37" stopIfTrue="1" operator="lessThan">
      <formula>0</formula>
    </cfRule>
  </conditionalFormatting>
  <conditionalFormatting sqref="AK27 AK35">
    <cfRule type="cellIs" dxfId="89" priority="39" stopIfTrue="1" operator="lessThan">
      <formula>0</formula>
    </cfRule>
  </conditionalFormatting>
  <conditionalFormatting sqref="AK27 AK35">
    <cfRule type="cellIs" dxfId="88" priority="41" stopIfTrue="1" operator="lessThan">
      <formula>0</formula>
    </cfRule>
  </conditionalFormatting>
  <conditionalFormatting sqref="AK27 AK35 AE42">
    <cfRule type="cellIs" dxfId="87" priority="43" stopIfTrue="1" operator="lessThan">
      <formula>0</formula>
    </cfRule>
  </conditionalFormatting>
  <conditionalFormatting sqref="AE42">
    <cfRule type="cellIs" dxfId="86" priority="45" stopIfTrue="1" operator="lessThan">
      <formula>0</formula>
    </cfRule>
  </conditionalFormatting>
  <conditionalFormatting sqref="AD42:AE42">
    <cfRule type="cellIs" dxfId="85" priority="47" stopIfTrue="1" operator="lessThan">
      <formula>0</formula>
    </cfRule>
  </conditionalFormatting>
  <conditionalFormatting sqref="AD42">
    <cfRule type="cellIs" dxfId="84" priority="49" stopIfTrue="1" operator="lessThan">
      <formula>0</formula>
    </cfRule>
  </conditionalFormatting>
  <conditionalFormatting sqref="AC42:AD42">
    <cfRule type="cellIs" dxfId="83" priority="51" stopIfTrue="1" operator="lessThan">
      <formula>0</formula>
    </cfRule>
  </conditionalFormatting>
  <conditionalFormatting sqref="AE21 R27:U27 R35:U35 R42:U42 AC42 AK42">
    <cfRule type="cellIs" dxfId="82" priority="53" stopIfTrue="1" operator="lessThan">
      <formula>0</formula>
    </cfRule>
  </conditionalFormatting>
  <conditionalFormatting sqref="AK42">
    <cfRule type="cellIs" dxfId="81" priority="55" stopIfTrue="1" operator="lessThan">
      <formula>0</formula>
    </cfRule>
  </conditionalFormatting>
  <conditionalFormatting sqref="AK42">
    <cfRule type="cellIs" dxfId="80" priority="57" stopIfTrue="1" operator="lessThan">
      <formula>0</formula>
    </cfRule>
  </conditionalFormatting>
  <conditionalFormatting sqref="AK42">
    <cfRule type="cellIs" dxfId="79" priority="59" stopIfTrue="1" operator="lessThan">
      <formula>0</formula>
    </cfRule>
  </conditionalFormatting>
  <conditionalFormatting sqref="AK42 AM42">
    <cfRule type="cellIs" dxfId="78" priority="61" stopIfTrue="1" operator="lessThan">
      <formula>0</formula>
    </cfRule>
  </conditionalFormatting>
  <conditionalFormatting sqref="AF42 AJ42 AM42">
    <cfRule type="cellIs" dxfId="77" priority="63" stopIfTrue="1" operator="lessThan">
      <formula>0</formula>
    </cfRule>
  </conditionalFormatting>
  <conditionalFormatting sqref="AF42 AJ42">
    <cfRule type="cellIs" dxfId="76" priority="65" stopIfTrue="1" operator="lessThan">
      <formula>0</formula>
    </cfRule>
  </conditionalFormatting>
  <conditionalFormatting sqref="AF42 AJ42">
    <cfRule type="cellIs" dxfId="75" priority="67" stopIfTrue="1" operator="lessThan">
      <formula>0</formula>
    </cfRule>
  </conditionalFormatting>
  <conditionalFormatting sqref="AF42:AJ42">
    <cfRule type="cellIs" dxfId="74" priority="69" stopIfTrue="1" operator="lessThan">
      <formula>0</formula>
    </cfRule>
  </conditionalFormatting>
  <conditionalFormatting sqref="AG42:AI42">
    <cfRule type="cellIs" dxfId="73" priority="71" stopIfTrue="1" operator="lessThan">
      <formula>0</formula>
    </cfRule>
  </conditionalFormatting>
  <conditionalFormatting sqref="AG42:AI42">
    <cfRule type="cellIs" dxfId="72" priority="73" stopIfTrue="1" operator="lessThan">
      <formula>0</formula>
    </cfRule>
  </conditionalFormatting>
  <conditionalFormatting sqref="AG42:AI42 AN42">
    <cfRule type="cellIs" dxfId="71" priority="75" stopIfTrue="1" operator="lessThan">
      <formula>0</formula>
    </cfRule>
  </conditionalFormatting>
  <conditionalFormatting sqref="AU21 AU27 AU35 AN42">
    <cfRule type="cellIs" dxfId="70" priority="77" stopIfTrue="1" operator="lessThan">
      <formula>0</formula>
    </cfRule>
  </conditionalFormatting>
  <conditionalFormatting sqref="AU21 AU27 AU35">
    <cfRule type="cellIs" dxfId="69" priority="79" stopIfTrue="1" operator="lessThan">
      <formula>0</formula>
    </cfRule>
  </conditionalFormatting>
  <conditionalFormatting sqref="AT21:AV21 AT27:AV27 AT35:AV35">
    <cfRule type="cellIs" dxfId="68" priority="81" stopIfTrue="1" operator="lessThan">
      <formula>0</formula>
    </cfRule>
  </conditionalFormatting>
  <conditionalFormatting sqref="AP21:AT21 AP27:AT27 AP35:AT35 AP42 AT42">
    <cfRule type="cellIs" dxfId="67" priority="83" stopIfTrue="1" operator="lessThan">
      <formula>0</formula>
    </cfRule>
  </conditionalFormatting>
  <conditionalFormatting sqref="AQ42 AT42:AU42">
    <cfRule type="cellIs" dxfId="66" priority="85" stopIfTrue="1" operator="lessThan">
      <formula>0</formula>
    </cfRule>
  </conditionalFormatting>
  <conditionalFormatting sqref="AU42">
    <cfRule type="cellIs" dxfId="65" priority="87" stopIfTrue="1" operator="lessThan">
      <formula>0</formula>
    </cfRule>
  </conditionalFormatting>
  <conditionalFormatting sqref="AR42:AS42 AU42:AV42">
    <cfRule type="cellIs" dxfId="64" priority="89" stopIfTrue="1" operator="lessThan">
      <formula>0</formula>
    </cfRule>
  </conditionalFormatting>
  <conditionalFormatting sqref="J21:AD21 AF21:AL21 AO21 J27:Q27 V27:Y27 AA27:AB27 AL27 AO27 J35:Q35 V35:Y35 AA35:AB35 AL35 AO35 I42:Q42 V42:Y42 AA42:AB42 AL42 AO42">
    <cfRule type="cellIs" dxfId="63" priority="2" stopIfTrue="1" operator="lessThan">
      <formula>0</formula>
    </cfRule>
  </conditionalFormatting>
  <conditionalFormatting sqref="I21 Q21 I27 Q27 I35 Q35">
    <cfRule type="cellIs" dxfId="62" priority="3" stopIfTrue="1" operator="greaterThanOrEqual">
      <formula>0</formula>
    </cfRule>
  </conditionalFormatting>
  <conditionalFormatting sqref="AD27 AD35">
    <cfRule type="cellIs" dxfId="61" priority="12" stopIfTrue="1" operator="greaterThanOrEqual">
      <formula>0</formula>
    </cfRule>
  </conditionalFormatting>
  <conditionalFormatting sqref="AE27 AE35">
    <cfRule type="cellIs" dxfId="60" priority="16" stopIfTrue="1" operator="greaterThanOrEqual">
      <formula>0</formula>
    </cfRule>
  </conditionalFormatting>
  <conditionalFormatting sqref="AF27 AJ27 AF35 AJ35">
    <cfRule type="cellIs" dxfId="59" priority="20" stopIfTrue="1" operator="greaterThanOrEqual">
      <formula>0</formula>
    </cfRule>
  </conditionalFormatting>
  <conditionalFormatting sqref="AF27 AJ27 AF35 AJ35">
    <cfRule type="cellIs" dxfId="58" priority="24" stopIfTrue="1" operator="greaterThanOrEqual">
      <formula>0</formula>
    </cfRule>
  </conditionalFormatting>
  <conditionalFormatting sqref="AG27:AI27 AG35:AI35">
    <cfRule type="cellIs" dxfId="57" priority="28" stopIfTrue="1" operator="greaterThanOrEqual">
      <formula>0</formula>
    </cfRule>
  </conditionalFormatting>
  <conditionalFormatting sqref="AN21 AN27 AN35">
    <cfRule type="cellIs" dxfId="56" priority="32" stopIfTrue="1" operator="greaterThanOrEqual">
      <formula>0</formula>
    </cfRule>
  </conditionalFormatting>
  <conditionalFormatting sqref="AK27 AK35">
    <cfRule type="cellIs" dxfId="55" priority="36" stopIfTrue="1" operator="greaterThanOrEqual">
      <formula>0</formula>
    </cfRule>
  </conditionalFormatting>
  <conditionalFormatting sqref="AK27 AK35">
    <cfRule type="cellIs" dxfId="54" priority="40" stopIfTrue="1" operator="greaterThanOrEqual">
      <formula>0</formula>
    </cfRule>
  </conditionalFormatting>
  <conditionalFormatting sqref="AE42">
    <cfRule type="cellIs" dxfId="53" priority="44" stopIfTrue="1" operator="greaterThanOrEqual">
      <formula>0</formula>
    </cfRule>
  </conditionalFormatting>
  <conditionalFormatting sqref="AD42">
    <cfRule type="cellIs" dxfId="52" priority="48" stopIfTrue="1" operator="greaterThanOrEqual">
      <formula>0</formula>
    </cfRule>
  </conditionalFormatting>
  <conditionalFormatting sqref="AC42">
    <cfRule type="cellIs" dxfId="51" priority="52" stopIfTrue="1" operator="greaterThanOrEqual">
      <formula>0</formula>
    </cfRule>
  </conditionalFormatting>
  <conditionalFormatting sqref="AK42">
    <cfRule type="cellIs" dxfId="50" priority="56" stopIfTrue="1" operator="greaterThanOrEqual">
      <formula>0</formula>
    </cfRule>
  </conditionalFormatting>
  <conditionalFormatting sqref="AK42">
    <cfRule type="cellIs" dxfId="49" priority="60" stopIfTrue="1" operator="greaterThanOrEqual">
      <formula>0</formula>
    </cfRule>
  </conditionalFormatting>
  <conditionalFormatting sqref="AF42 AJ42">
    <cfRule type="cellIs" dxfId="48" priority="64" stopIfTrue="1" operator="greaterThanOrEqual">
      <formula>0</formula>
    </cfRule>
  </conditionalFormatting>
  <conditionalFormatting sqref="AF42 AJ42">
    <cfRule type="cellIs" dxfId="47" priority="68" stopIfTrue="1" operator="greaterThanOrEqual">
      <formula>0</formula>
    </cfRule>
  </conditionalFormatting>
  <conditionalFormatting sqref="AG42:AI42">
    <cfRule type="cellIs" dxfId="46" priority="72" stopIfTrue="1" operator="greaterThanOrEqual">
      <formula>0</formula>
    </cfRule>
  </conditionalFormatting>
  <conditionalFormatting sqref="AN42">
    <cfRule type="cellIs" dxfId="45" priority="76" stopIfTrue="1" operator="greaterThanOrEqual">
      <formula>0</formula>
    </cfRule>
  </conditionalFormatting>
  <conditionalFormatting sqref="AU21 AU27 AU35">
    <cfRule type="cellIs" dxfId="44" priority="80" stopIfTrue="1" operator="greaterThanOrEqual">
      <formula>0</formula>
    </cfRule>
  </conditionalFormatting>
  <conditionalFormatting sqref="AT42">
    <cfRule type="cellIs" dxfId="43" priority="84" stopIfTrue="1" operator="greaterThanOrEqual">
      <formula>0</formula>
    </cfRule>
  </conditionalFormatting>
  <conditionalFormatting sqref="AU42">
    <cfRule type="cellIs" dxfId="42" priority="88" stopIfTrue="1" operator="greaterThanOrEqual">
      <formula>0</formula>
    </cfRule>
  </conditionalFormatting>
  <conditionalFormatting sqref="AR42:AS42 AU42:AV42">
    <cfRule type="cellIs" dxfId="41" priority="86" stopIfTrue="1" operator="greaterThanOrEqual">
      <formula>0</formula>
    </cfRule>
  </conditionalFormatting>
  <conditionalFormatting sqref="AP21:AT21 AP27:AT27 AP35:AT35 AP42:AQ42 AT42:AU42">
    <cfRule type="cellIs" dxfId="40" priority="82" stopIfTrue="1" operator="greaterThanOrEqual">
      <formula>0</formula>
    </cfRule>
  </conditionalFormatting>
  <conditionalFormatting sqref="AT21:AV21 AT27:AV27 AT35:AV35">
    <cfRule type="cellIs" dxfId="39" priority="78" stopIfTrue="1" operator="greaterThanOrEqual">
      <formula>0</formula>
    </cfRule>
  </conditionalFormatting>
  <conditionalFormatting sqref="AU21 AU27 AU35 AG42:AI42 AN42">
    <cfRule type="cellIs" dxfId="38" priority="74" stopIfTrue="1" operator="greaterThanOrEqual">
      <formula>0</formula>
    </cfRule>
  </conditionalFormatting>
  <conditionalFormatting sqref="AG42:AI42">
    <cfRule type="cellIs" dxfId="37" priority="70" stopIfTrue="1" operator="greaterThanOrEqual">
      <formula>0</formula>
    </cfRule>
  </conditionalFormatting>
  <conditionalFormatting sqref="AF42:AJ42">
    <cfRule type="cellIs" dxfId="36" priority="66" stopIfTrue="1" operator="greaterThanOrEqual">
      <formula>0</formula>
    </cfRule>
  </conditionalFormatting>
  <conditionalFormatting sqref="AF42 AJ42 AM42">
    <cfRule type="cellIs" dxfId="35" priority="62" stopIfTrue="1" operator="greaterThanOrEqual">
      <formula>0</formula>
    </cfRule>
  </conditionalFormatting>
  <conditionalFormatting sqref="AK42 AM42">
    <cfRule type="cellIs" dxfId="34" priority="58" stopIfTrue="1" operator="greaterThanOrEqual">
      <formula>0</formula>
    </cfRule>
  </conditionalFormatting>
  <conditionalFormatting sqref="AK42">
    <cfRule type="cellIs" dxfId="33" priority="54" stopIfTrue="1" operator="greaterThanOrEqual">
      <formula>0</formula>
    </cfRule>
  </conditionalFormatting>
  <conditionalFormatting sqref="AE21 R27:U27 R35:U35 R42:U42 AC42:AD42 AK42">
    <cfRule type="cellIs" dxfId="32" priority="50" stopIfTrue="1" operator="greaterThanOrEqual">
      <formula>0</formula>
    </cfRule>
  </conditionalFormatting>
  <conditionalFormatting sqref="AD42:AE42">
    <cfRule type="cellIs" dxfId="31" priority="46" stopIfTrue="1" operator="greaterThanOrEqual">
      <formula>0</formula>
    </cfRule>
  </conditionalFormatting>
  <conditionalFormatting sqref="AK27 AK35 AE42">
    <cfRule type="cellIs" dxfId="30" priority="42" stopIfTrue="1" operator="greaterThanOrEqual">
      <formula>0</formula>
    </cfRule>
  </conditionalFormatting>
  <conditionalFormatting sqref="AK27 AK35">
    <cfRule type="cellIs" dxfId="29" priority="38" stopIfTrue="1" operator="greaterThanOrEqual">
      <formula>0</formula>
    </cfRule>
  </conditionalFormatting>
  <conditionalFormatting sqref="AM21 AK27 AM27 AK35 AM35">
    <cfRule type="cellIs" dxfId="28" priority="34" stopIfTrue="1" operator="greaterThanOrEqual">
      <formula>0</formula>
    </cfRule>
  </conditionalFormatting>
  <conditionalFormatting sqref="AM21:AN21 AG27:AI27 AM27:AN27 AG35:AI35 AM35:AN35">
    <cfRule type="cellIs" dxfId="27" priority="30" stopIfTrue="1" operator="greaterThanOrEqual">
      <formula>0</formula>
    </cfRule>
  </conditionalFormatting>
  <conditionalFormatting sqref="AG27:AI27 AG35:AI35">
    <cfRule type="cellIs" dxfId="26" priority="26" stopIfTrue="1" operator="greaterThanOrEqual">
      <formula>0</formula>
    </cfRule>
  </conditionalFormatting>
  <conditionalFormatting sqref="AF27:AJ27 AF35:AJ35">
    <cfRule type="cellIs" dxfId="25" priority="22" stopIfTrue="1" operator="greaterThanOrEqual">
      <formula>0</formula>
    </cfRule>
  </conditionalFormatting>
  <conditionalFormatting sqref="AE27:AF27 AJ27 AE35:AF35 AJ35">
    <cfRule type="cellIs" dxfId="24" priority="18" stopIfTrue="1" operator="greaterThanOrEqual">
      <formula>0</formula>
    </cfRule>
  </conditionalFormatting>
  <conditionalFormatting sqref="AD27:AE27 AD35:AE35">
    <cfRule type="cellIs" dxfId="23" priority="14" stopIfTrue="1" operator="greaterThanOrEqual">
      <formula>0</formula>
    </cfRule>
  </conditionalFormatting>
  <conditionalFormatting sqref="AC27:AD27 AC35:AD35">
    <cfRule type="cellIs" dxfId="22" priority="10" stopIfTrue="1" operator="greaterThanOrEqual">
      <formula>0</formula>
    </cfRule>
  </conditionalFormatting>
  <conditionalFormatting sqref="Z27 AC27 Z35 AC35 Q42 Z42">
    <cfRule type="cellIs" dxfId="21" priority="6" stopIfTrue="1" operator="greaterThanOrEqual">
      <formula>0</formula>
    </cfRule>
  </conditionalFormatting>
  <conditionalFormatting sqref="J21:AD21 AF21:AL21 AO21 J27:Q27 V27:Y27 AA27:AB27 AL27 AO27 J35:Q35 V35:Y35 AA35:AB35 AL35 AO35 I42:Q42 V42:Y42 AA42:AB42 AL42 AO42">
    <cfRule type="cellIs" dxfId="20" priority="1" stopIfTrue="1" operator="greaterThanOrEqual">
      <formula>0</formula>
    </cfRule>
  </conditionalFormatting>
  <pageMargins left="0.70000000000000007" right="0.70000000000000007" top="0.75" bottom="0.75" header="0.30000000000000004" footer="0.3000000000000000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D34"/>
  <sheetViews>
    <sheetView workbookViewId="0"/>
  </sheetViews>
  <sheetFormatPr defaultColWidth="9.109375" defaultRowHeight="14.4" x14ac:dyDescent="0.3"/>
  <cols>
    <col min="1" max="1" width="2.6640625" style="558" bestFit="1" customWidth="1"/>
    <col min="2" max="2" width="4.6640625" style="558" bestFit="1" customWidth="1"/>
    <col min="3" max="3" width="3.6640625" style="558" customWidth="1"/>
    <col min="4" max="5" width="9.109375" style="558" customWidth="1"/>
    <col min="6" max="6" width="22.5546875" style="558" customWidth="1"/>
    <col min="7" max="7" width="4.44140625" style="558" bestFit="1" customWidth="1"/>
    <col min="8" max="8" width="6.33203125" style="558" bestFit="1" customWidth="1"/>
    <col min="9" max="9" width="14.6640625" style="558" customWidth="1"/>
    <col min="10" max="22" width="16.88671875" style="558" bestFit="1" customWidth="1"/>
    <col min="23" max="23" width="16.88671875" style="558" customWidth="1"/>
    <col min="24" max="26" width="16.88671875" style="558" bestFit="1" customWidth="1"/>
    <col min="27" max="27" width="15.6640625" style="558" customWidth="1"/>
    <col min="28" max="28" width="9.109375" style="558" customWidth="1"/>
    <col min="29" max="29" width="12.6640625" style="600" bestFit="1" customWidth="1"/>
    <col min="30" max="30" width="9.33203125" style="600" bestFit="1" customWidth="1"/>
    <col min="31" max="31" width="9.109375" style="558" customWidth="1"/>
    <col min="32" max="16384" width="9.109375" style="558"/>
  </cols>
  <sheetData>
    <row r="1" spans="1:30" ht="17.399999999999999" x14ac:dyDescent="0.3">
      <c r="A1" s="1052" t="s">
        <v>1399</v>
      </c>
      <c r="B1" s="1052"/>
      <c r="C1" s="1052"/>
      <c r="D1" s="1052"/>
      <c r="E1" s="1052"/>
      <c r="F1" s="1052"/>
      <c r="G1" s="1052"/>
      <c r="H1" s="1052"/>
      <c r="I1" s="1052"/>
      <c r="J1" s="1052"/>
    </row>
    <row r="2" spans="1:30" ht="15.6" x14ac:dyDescent="0.3">
      <c r="A2" s="1053" t="s">
        <v>1400</v>
      </c>
      <c r="B2" s="1053"/>
      <c r="C2" s="1053"/>
      <c r="D2" s="1053"/>
      <c r="E2" s="1053"/>
      <c r="F2" s="1053"/>
      <c r="G2" s="1053"/>
      <c r="H2" s="1053"/>
      <c r="I2" s="1053"/>
    </row>
    <row r="3" spans="1:30" ht="15.6" x14ac:dyDescent="0.3">
      <c r="A3" s="560"/>
      <c r="B3" s="560"/>
      <c r="C3" s="560"/>
      <c r="D3" s="561"/>
      <c r="E3" s="203"/>
      <c r="F3" s="203"/>
      <c r="G3" s="203"/>
      <c r="H3" s="203"/>
      <c r="I3" s="203"/>
      <c r="J3" s="776"/>
      <c r="K3" s="705"/>
      <c r="L3" s="777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</row>
    <row r="4" spans="1:30" s="571" customFormat="1" ht="54.75" customHeight="1" thickBot="1" x14ac:dyDescent="0.35">
      <c r="A4" s="562"/>
      <c r="B4" s="563"/>
      <c r="C4" s="563"/>
      <c r="D4" s="563"/>
      <c r="E4" s="563"/>
      <c r="F4" s="563"/>
      <c r="G4" s="564"/>
      <c r="H4" s="565" t="s">
        <v>1275</v>
      </c>
      <c r="I4" s="778" t="s">
        <v>1401</v>
      </c>
      <c r="J4" s="779" t="s">
        <v>1402</v>
      </c>
      <c r="K4" s="780" t="s">
        <v>1403</v>
      </c>
      <c r="L4" s="780" t="s">
        <v>828</v>
      </c>
      <c r="M4" s="780" t="s">
        <v>1404</v>
      </c>
      <c r="N4" s="781" t="s">
        <v>1405</v>
      </c>
      <c r="O4" s="780" t="s">
        <v>1406</v>
      </c>
      <c r="P4" s="780" t="s">
        <v>1407</v>
      </c>
      <c r="Q4" s="780" t="s">
        <v>1408</v>
      </c>
      <c r="R4" s="780" t="s">
        <v>1409</v>
      </c>
      <c r="S4" s="780" t="s">
        <v>1410</v>
      </c>
      <c r="T4" s="780" t="s">
        <v>883</v>
      </c>
      <c r="U4" s="781" t="s">
        <v>1411</v>
      </c>
      <c r="V4" s="780" t="s">
        <v>1412</v>
      </c>
      <c r="W4" s="782" t="s">
        <v>1413</v>
      </c>
      <c r="X4" s="780" t="s">
        <v>1414</v>
      </c>
      <c r="Y4" s="783" t="s">
        <v>1415</v>
      </c>
      <c r="Z4" s="784" t="s">
        <v>1416</v>
      </c>
      <c r="AA4" s="785" t="s">
        <v>1283</v>
      </c>
      <c r="AC4" s="786"/>
      <c r="AD4" s="786"/>
    </row>
    <row r="5" spans="1:30" s="571" customFormat="1" ht="15" customHeight="1" thickBot="1" x14ac:dyDescent="0.35">
      <c r="A5" s="1050" t="s">
        <v>1284</v>
      </c>
      <c r="B5" s="1050"/>
      <c r="C5" s="1050"/>
      <c r="D5" s="1050"/>
      <c r="E5" s="1050"/>
      <c r="F5" s="1050"/>
      <c r="G5" s="1050"/>
      <c r="H5" s="1050"/>
      <c r="I5" s="787">
        <v>181.51</v>
      </c>
      <c r="J5" s="788">
        <f>I5-SUM(K5:Z5)</f>
        <v>150.35</v>
      </c>
      <c r="K5" s="789">
        <v>0.28999999999999998</v>
      </c>
      <c r="L5" s="789">
        <v>13.92</v>
      </c>
      <c r="M5" s="789">
        <f>3.57</f>
        <v>3.57</v>
      </c>
      <c r="N5" s="789">
        <v>0.38</v>
      </c>
      <c r="O5" s="790">
        <v>3.06</v>
      </c>
      <c r="P5" s="789">
        <v>1.4</v>
      </c>
      <c r="Q5" s="789">
        <v>0.5</v>
      </c>
      <c r="R5" s="789">
        <v>1.1499999999999999</v>
      </c>
      <c r="S5" s="789">
        <v>1.22</v>
      </c>
      <c r="T5" s="789">
        <v>0.5</v>
      </c>
      <c r="U5" s="789">
        <v>1.84</v>
      </c>
      <c r="V5" s="789">
        <v>0.91</v>
      </c>
      <c r="W5" s="790">
        <v>0.9</v>
      </c>
      <c r="X5" s="789">
        <v>1</v>
      </c>
      <c r="Y5" s="789">
        <v>0.22</v>
      </c>
      <c r="Z5" s="789">
        <v>0.3</v>
      </c>
      <c r="AA5" s="791">
        <f>I5-SUM(J5:Z5)</f>
        <v>0</v>
      </c>
      <c r="AC5" s="786"/>
      <c r="AD5" s="786"/>
    </row>
    <row r="6" spans="1:30" x14ac:dyDescent="0.3">
      <c r="A6" s="1051" t="s">
        <v>1285</v>
      </c>
      <c r="B6" s="1051"/>
      <c r="C6" s="1051"/>
      <c r="D6" s="1051"/>
      <c r="E6" s="1051"/>
      <c r="F6" s="1051"/>
      <c r="G6" s="576"/>
      <c r="I6" s="577"/>
      <c r="J6" s="578"/>
      <c r="K6" s="792"/>
      <c r="L6" s="792"/>
      <c r="M6" s="792"/>
      <c r="N6" s="792"/>
      <c r="O6" s="793"/>
      <c r="P6" s="792"/>
      <c r="Q6" s="792"/>
      <c r="R6" s="792"/>
      <c r="S6" s="792"/>
      <c r="T6" s="792"/>
      <c r="U6" s="792"/>
      <c r="V6" s="792"/>
      <c r="W6" s="793"/>
      <c r="X6" s="792"/>
      <c r="Y6" s="792"/>
      <c r="Z6" s="792"/>
      <c r="AA6" s="794"/>
    </row>
    <row r="7" spans="1:30" ht="8.25" customHeight="1" x14ac:dyDescent="0.3">
      <c r="A7" s="580"/>
      <c r="G7" s="581"/>
      <c r="I7" s="795"/>
      <c r="J7" s="583"/>
      <c r="K7" s="795"/>
      <c r="L7" s="795"/>
      <c r="M7" s="795"/>
      <c r="N7" s="795"/>
      <c r="O7" s="796"/>
      <c r="P7" s="795"/>
      <c r="Q7" s="795"/>
      <c r="R7" s="795"/>
      <c r="S7" s="795"/>
      <c r="T7" s="795"/>
      <c r="U7" s="795"/>
      <c r="V7" s="795"/>
      <c r="W7" s="796"/>
      <c r="X7" s="795"/>
      <c r="Y7" s="795"/>
      <c r="Z7" s="795"/>
      <c r="AA7" s="797"/>
    </row>
    <row r="8" spans="1:30" x14ac:dyDescent="0.3">
      <c r="A8" s="1038" t="s">
        <v>1286</v>
      </c>
      <c r="B8" s="1038"/>
      <c r="C8" s="1038"/>
      <c r="D8" s="1038"/>
      <c r="E8" s="1038"/>
      <c r="F8" s="1038"/>
      <c r="G8" s="586"/>
      <c r="I8" s="582"/>
      <c r="J8" s="583"/>
      <c r="K8" s="795"/>
      <c r="L8" s="795"/>
      <c r="M8" s="795"/>
      <c r="N8" s="795"/>
      <c r="O8" s="796"/>
      <c r="P8" s="795"/>
      <c r="Q8" s="795"/>
      <c r="R8" s="795"/>
      <c r="S8" s="795"/>
      <c r="T8" s="795"/>
      <c r="U8" s="795"/>
      <c r="V8" s="795"/>
      <c r="W8" s="796"/>
      <c r="X8" s="795"/>
      <c r="Y8" s="795"/>
      <c r="Z8" s="795"/>
      <c r="AA8" s="797"/>
    </row>
    <row r="9" spans="1:30" x14ac:dyDescent="0.3">
      <c r="A9" s="585"/>
      <c r="B9" s="587" t="s">
        <v>1287</v>
      </c>
      <c r="C9" s="588"/>
      <c r="D9" s="588"/>
      <c r="E9" s="588"/>
      <c r="F9" s="588"/>
      <c r="G9" s="589" t="s">
        <v>1288</v>
      </c>
      <c r="H9" s="590">
        <v>9900</v>
      </c>
      <c r="I9" s="798">
        <f>I10-I13</f>
        <v>11902634.540000001</v>
      </c>
      <c r="J9" s="799">
        <f t="shared" ref="J9:J19" si="0">I9-SUM(K9:Z9)</f>
        <v>10015756.690000001</v>
      </c>
      <c r="K9" s="800">
        <f t="shared" ref="K9:Z9" si="1">K10-K13</f>
        <v>13269.43</v>
      </c>
      <c r="L9" s="801">
        <f t="shared" si="1"/>
        <v>888926.6</v>
      </c>
      <c r="M9" s="801">
        <f t="shared" si="1"/>
        <v>180514.39</v>
      </c>
      <c r="N9" s="801">
        <f t="shared" si="1"/>
        <v>30000</v>
      </c>
      <c r="O9" s="802">
        <f t="shared" si="1"/>
        <v>180105.63999999998</v>
      </c>
      <c r="P9" s="803">
        <f t="shared" si="1"/>
        <v>75058.259999999995</v>
      </c>
      <c r="Q9" s="803">
        <f t="shared" si="1"/>
        <v>20614</v>
      </c>
      <c r="R9" s="801">
        <f t="shared" si="1"/>
        <v>48125</v>
      </c>
      <c r="S9" s="804">
        <f t="shared" si="1"/>
        <v>91381.71</v>
      </c>
      <c r="T9" s="801">
        <f t="shared" si="1"/>
        <v>42473.79</v>
      </c>
      <c r="U9" s="803">
        <f t="shared" si="1"/>
        <v>95249.87</v>
      </c>
      <c r="V9" s="803">
        <f t="shared" si="1"/>
        <v>56700</v>
      </c>
      <c r="W9" s="805">
        <f t="shared" si="1"/>
        <v>59514.64</v>
      </c>
      <c r="X9" s="803">
        <f t="shared" si="1"/>
        <v>54729.21</v>
      </c>
      <c r="Y9" s="795">
        <f t="shared" si="1"/>
        <v>24607.8</v>
      </c>
      <c r="Z9" s="795">
        <f t="shared" si="1"/>
        <v>25607.51</v>
      </c>
      <c r="AA9" s="806">
        <f t="shared" ref="AA9:AA19" si="2">I9-SUM(J9:Z9)</f>
        <v>0</v>
      </c>
    </row>
    <row r="10" spans="1:30" s="705" customFormat="1" x14ac:dyDescent="0.3">
      <c r="A10" s="807"/>
      <c r="B10" s="808"/>
      <c r="C10" s="1067" t="s">
        <v>1289</v>
      </c>
      <c r="D10" s="1067"/>
      <c r="E10" s="1067"/>
      <c r="F10" s="1067"/>
      <c r="G10" s="809"/>
      <c r="H10" s="672" t="s">
        <v>1290</v>
      </c>
      <c r="I10" s="810">
        <v>13170676.24</v>
      </c>
      <c r="J10" s="799">
        <f t="shared" si="0"/>
        <v>11134279.640000001</v>
      </c>
      <c r="K10" s="803">
        <v>13333.7</v>
      </c>
      <c r="L10" s="803">
        <f>971810.08+15.6</f>
        <v>971825.67999999993</v>
      </c>
      <c r="M10" s="804">
        <v>208903.2</v>
      </c>
      <c r="N10" s="804">
        <v>30000</v>
      </c>
      <c r="O10" s="802">
        <v>191929.49</v>
      </c>
      <c r="P10" s="801">
        <v>78701.53</v>
      </c>
      <c r="Q10" s="801">
        <v>20614</v>
      </c>
      <c r="R10" s="801">
        <v>48125</v>
      </c>
      <c r="S10" s="811">
        <f>89777.63+7770</f>
        <v>97547.63</v>
      </c>
      <c r="T10" s="811">
        <v>42674.13</v>
      </c>
      <c r="U10" s="811">
        <v>96000</v>
      </c>
      <c r="V10" s="811">
        <v>56700</v>
      </c>
      <c r="W10" s="811">
        <v>61188.99</v>
      </c>
      <c r="X10" s="811">
        <v>66006.84</v>
      </c>
      <c r="Y10" s="804">
        <f>21529+4650</f>
        <v>26179</v>
      </c>
      <c r="Z10" s="811">
        <v>26667.41</v>
      </c>
      <c r="AA10" s="811">
        <f t="shared" si="2"/>
        <v>0</v>
      </c>
      <c r="AC10" s="812"/>
      <c r="AD10" s="812"/>
    </row>
    <row r="11" spans="1:30" s="705" customFormat="1" x14ac:dyDescent="0.3">
      <c r="A11" s="807"/>
      <c r="B11" s="1028"/>
      <c r="C11" s="1028"/>
      <c r="D11" s="1057" t="s">
        <v>1291</v>
      </c>
      <c r="E11" s="1057"/>
      <c r="F11" s="1057"/>
      <c r="G11" s="809"/>
      <c r="H11" s="672">
        <v>70</v>
      </c>
      <c r="I11" s="810">
        <v>586916.43999999994</v>
      </c>
      <c r="J11" s="813">
        <f t="shared" si="0"/>
        <v>586821.35</v>
      </c>
      <c r="K11" s="814"/>
      <c r="L11" s="810"/>
      <c r="M11" s="803">
        <v>95.09</v>
      </c>
      <c r="N11" s="803"/>
      <c r="O11" s="815"/>
      <c r="P11" s="815"/>
      <c r="Q11" s="815"/>
      <c r="R11" s="815"/>
      <c r="S11" s="815"/>
      <c r="T11" s="815"/>
      <c r="U11" s="815"/>
      <c r="V11" s="815"/>
      <c r="W11" s="816"/>
      <c r="X11" s="804"/>
      <c r="Y11" s="817"/>
      <c r="Z11" s="817"/>
      <c r="AA11" s="818">
        <f t="shared" si="2"/>
        <v>0</v>
      </c>
      <c r="AC11" s="812"/>
      <c r="AD11" s="812"/>
    </row>
    <row r="12" spans="1:30" s="705" customFormat="1" x14ac:dyDescent="0.3">
      <c r="A12" s="807"/>
      <c r="D12" s="1058" t="s">
        <v>331</v>
      </c>
      <c r="E12" s="1058"/>
      <c r="F12" s="1058"/>
      <c r="G12" s="819"/>
      <c r="H12" s="672">
        <v>73</v>
      </c>
      <c r="I12" s="815">
        <v>12583759.800000001</v>
      </c>
      <c r="J12" s="820">
        <f t="shared" si="0"/>
        <v>10568363.760000002</v>
      </c>
      <c r="K12" s="821">
        <v>13333.7</v>
      </c>
      <c r="L12" s="803">
        <v>971810.08</v>
      </c>
      <c r="M12" s="804">
        <v>206344.67</v>
      </c>
      <c r="N12" s="804">
        <v>30000</v>
      </c>
      <c r="O12" s="822">
        <v>191929.49</v>
      </c>
      <c r="P12" s="803">
        <v>78701.53</v>
      </c>
      <c r="Q12" s="803">
        <f>20614</f>
        <v>20614</v>
      </c>
      <c r="R12" s="803">
        <v>48125</v>
      </c>
      <c r="S12" s="803">
        <f>84777.63+5000</f>
        <v>89777.63</v>
      </c>
      <c r="T12" s="803">
        <v>42674.13</v>
      </c>
      <c r="U12" s="803">
        <v>96000</v>
      </c>
      <c r="V12" s="803">
        <v>56700</v>
      </c>
      <c r="W12" s="823">
        <v>61188.99</v>
      </c>
      <c r="X12" s="803">
        <v>60000</v>
      </c>
      <c r="Y12" s="803">
        <f>18529.41+3000</f>
        <v>21529.41</v>
      </c>
      <c r="Z12" s="803">
        <v>26667.41</v>
      </c>
      <c r="AA12" s="824">
        <f t="shared" si="2"/>
        <v>0</v>
      </c>
      <c r="AC12" s="812"/>
      <c r="AD12" s="812"/>
    </row>
    <row r="13" spans="1:30" s="705" customFormat="1" ht="25.5" customHeight="1" x14ac:dyDescent="0.3">
      <c r="A13" s="807"/>
      <c r="B13" s="825"/>
      <c r="C13" s="1045" t="s">
        <v>1292</v>
      </c>
      <c r="D13" s="1045"/>
      <c r="E13" s="1045"/>
      <c r="F13" s="1045"/>
      <c r="G13" s="809"/>
      <c r="H13" s="672" t="s">
        <v>1293</v>
      </c>
      <c r="I13" s="815">
        <f>1015696.68+252345.02</f>
        <v>1268041.7</v>
      </c>
      <c r="J13" s="820">
        <f t="shared" si="0"/>
        <v>1118522.95</v>
      </c>
      <c r="K13" s="826">
        <v>64.27</v>
      </c>
      <c r="L13" s="804">
        <v>82899.08</v>
      </c>
      <c r="M13" s="804">
        <v>28388.81</v>
      </c>
      <c r="N13" s="804"/>
      <c r="O13" s="827">
        <v>11823.85</v>
      </c>
      <c r="P13" s="804">
        <v>3643.27</v>
      </c>
      <c r="Q13" s="828">
        <v>0</v>
      </c>
      <c r="R13" s="815"/>
      <c r="S13" s="804">
        <v>6165.92</v>
      </c>
      <c r="T13" s="804">
        <v>200.34</v>
      </c>
      <c r="U13" s="804">
        <v>750.13</v>
      </c>
      <c r="V13" s="815"/>
      <c r="W13" s="829">
        <v>1674.35</v>
      </c>
      <c r="X13" s="804">
        <v>11277.63</v>
      </c>
      <c r="Y13" s="804">
        <v>1571.2</v>
      </c>
      <c r="Z13" s="804">
        <v>1059.9000000000001</v>
      </c>
      <c r="AA13" s="818">
        <f t="shared" si="2"/>
        <v>0</v>
      </c>
      <c r="AC13" s="812"/>
      <c r="AD13" s="812"/>
    </row>
    <row r="14" spans="1:30" s="705" customFormat="1" ht="26.25" customHeight="1" x14ac:dyDescent="0.3">
      <c r="A14" s="807"/>
      <c r="B14" s="1045" t="s">
        <v>1294</v>
      </c>
      <c r="C14" s="1045"/>
      <c r="D14" s="1045"/>
      <c r="E14" s="1045"/>
      <c r="F14" s="1045"/>
      <c r="G14" s="809" t="s">
        <v>1288</v>
      </c>
      <c r="H14" s="672">
        <v>62</v>
      </c>
      <c r="I14" s="810">
        <v>11345146.49</v>
      </c>
      <c r="J14" s="820">
        <f t="shared" si="0"/>
        <v>9492671.6699999999</v>
      </c>
      <c r="K14" s="830">
        <v>13437.44</v>
      </c>
      <c r="L14" s="803">
        <v>876873.32</v>
      </c>
      <c r="M14" s="803">
        <v>166104.91</v>
      </c>
      <c r="N14" s="803">
        <v>14870.52</v>
      </c>
      <c r="O14" s="822">
        <v>173963.53</v>
      </c>
      <c r="P14" s="803">
        <v>74083.070000000007</v>
      </c>
      <c r="Q14" s="803">
        <v>20742.09</v>
      </c>
      <c r="R14" s="803">
        <v>60285.32</v>
      </c>
      <c r="S14" s="803">
        <v>69414.53</v>
      </c>
      <c r="T14" s="803">
        <f>38937.41+77.51+17.13+3736.72</f>
        <v>42768.770000000004</v>
      </c>
      <c r="U14" s="803">
        <v>116515.81</v>
      </c>
      <c r="V14" s="803">
        <v>57111.73</v>
      </c>
      <c r="W14" s="822">
        <v>61082.35</v>
      </c>
      <c r="X14" s="803">
        <v>63982.82</v>
      </c>
      <c r="Y14" s="803">
        <f>10791.76+2883.32+34.19</f>
        <v>13709.27</v>
      </c>
      <c r="Z14" s="803">
        <v>27529.34</v>
      </c>
      <c r="AA14" s="818">
        <f t="shared" si="2"/>
        <v>0</v>
      </c>
      <c r="AC14" s="812"/>
      <c r="AD14" s="812"/>
    </row>
    <row r="15" spans="1:30" s="705" customFormat="1" ht="38.25" customHeight="1" x14ac:dyDescent="0.3">
      <c r="A15" s="807"/>
      <c r="B15" s="1045" t="s">
        <v>1295</v>
      </c>
      <c r="C15" s="1045"/>
      <c r="D15" s="1045"/>
      <c r="E15" s="1045"/>
      <c r="F15" s="1045"/>
      <c r="G15" s="809" t="s">
        <v>1288</v>
      </c>
      <c r="H15" s="672">
        <v>630</v>
      </c>
      <c r="I15" s="815">
        <v>654171.59</v>
      </c>
      <c r="J15" s="820">
        <f t="shared" si="0"/>
        <v>603070.15999999992</v>
      </c>
      <c r="K15" s="831"/>
      <c r="L15" s="804">
        <v>4295.67</v>
      </c>
      <c r="M15" s="804">
        <v>38372.78</v>
      </c>
      <c r="N15" s="804"/>
      <c r="O15" s="804">
        <v>1172.6600000000001</v>
      </c>
      <c r="P15" s="803">
        <f>367.23+1804.51</f>
        <v>2171.7399999999998</v>
      </c>
      <c r="Q15" s="828">
        <v>0</v>
      </c>
      <c r="R15" s="815"/>
      <c r="S15" s="804">
        <v>4779.9799999999996</v>
      </c>
      <c r="T15" s="815"/>
      <c r="U15" s="815"/>
      <c r="V15" s="815"/>
      <c r="W15" s="832">
        <v>0</v>
      </c>
      <c r="X15" s="804">
        <v>308.60000000000002</v>
      </c>
      <c r="Y15" s="817"/>
      <c r="Z15" s="817"/>
      <c r="AA15" s="818">
        <f t="shared" si="2"/>
        <v>0</v>
      </c>
      <c r="AC15" s="812"/>
      <c r="AD15" s="812"/>
    </row>
    <row r="16" spans="1:30" ht="39" customHeight="1" x14ac:dyDescent="0.3">
      <c r="A16" s="580"/>
      <c r="B16" s="1044" t="s">
        <v>1296</v>
      </c>
      <c r="C16" s="1044"/>
      <c r="D16" s="1044"/>
      <c r="E16" s="1044"/>
      <c r="F16" s="1044"/>
      <c r="G16" s="586" t="s">
        <v>1288</v>
      </c>
      <c r="H16" s="590" t="s">
        <v>1297</v>
      </c>
      <c r="I16" s="815">
        <v>-2289</v>
      </c>
      <c r="J16" s="820">
        <f t="shared" si="0"/>
        <v>-2289</v>
      </c>
      <c r="K16" s="831"/>
      <c r="L16" s="815"/>
      <c r="M16" s="815"/>
      <c r="N16" s="815"/>
      <c r="O16" s="816"/>
      <c r="P16" s="815"/>
      <c r="Q16" s="815"/>
      <c r="R16" s="815"/>
      <c r="S16" s="815"/>
      <c r="T16" s="815"/>
      <c r="U16" s="815"/>
      <c r="V16" s="815"/>
      <c r="W16" s="816"/>
      <c r="X16" s="815"/>
      <c r="Y16" s="817"/>
      <c r="Z16" s="817"/>
      <c r="AA16" s="818">
        <f t="shared" si="2"/>
        <v>0</v>
      </c>
    </row>
    <row r="17" spans="1:30" ht="24.75" customHeight="1" x14ac:dyDescent="0.3">
      <c r="A17" s="580"/>
      <c r="B17" s="1044" t="s">
        <v>1298</v>
      </c>
      <c r="C17" s="1044"/>
      <c r="D17" s="1044"/>
      <c r="E17" s="1044"/>
      <c r="F17" s="1044"/>
      <c r="G17" s="586" t="s">
        <v>1288</v>
      </c>
      <c r="H17" s="590" t="s">
        <v>1299</v>
      </c>
      <c r="I17" s="815">
        <v>14136.11</v>
      </c>
      <c r="J17" s="799">
        <f t="shared" si="0"/>
        <v>14136.11</v>
      </c>
      <c r="K17" s="815"/>
      <c r="L17" s="815"/>
      <c r="M17" s="815"/>
      <c r="N17" s="815"/>
      <c r="O17" s="816"/>
      <c r="P17" s="815"/>
      <c r="Q17" s="815"/>
      <c r="R17" s="815"/>
      <c r="S17" s="815"/>
      <c r="T17" s="815"/>
      <c r="U17" s="815"/>
      <c r="V17" s="815"/>
      <c r="W17" s="816"/>
      <c r="X17" s="815"/>
      <c r="Y17" s="817"/>
      <c r="Z17" s="817"/>
      <c r="AA17" s="818">
        <f t="shared" si="2"/>
        <v>0</v>
      </c>
    </row>
    <row r="18" spans="1:30" s="705" customFormat="1" ht="12.75" customHeight="1" x14ac:dyDescent="0.3">
      <c r="A18" s="807"/>
      <c r="B18" s="1045" t="s">
        <v>1300</v>
      </c>
      <c r="C18" s="1045"/>
      <c r="D18" s="1045"/>
      <c r="E18" s="1045"/>
      <c r="F18" s="1045"/>
      <c r="G18" s="809"/>
      <c r="H18" s="672" t="s">
        <v>1301</v>
      </c>
      <c r="I18" s="815">
        <v>205171.32</v>
      </c>
      <c r="J18" s="799">
        <f t="shared" si="0"/>
        <v>141422.76</v>
      </c>
      <c r="K18" s="833">
        <v>2556.12</v>
      </c>
      <c r="L18" s="804">
        <v>6907.93</v>
      </c>
      <c r="M18" s="833">
        <v>3053.29</v>
      </c>
      <c r="N18" s="833"/>
      <c r="O18" s="827">
        <v>8065.35</v>
      </c>
      <c r="P18" s="804">
        <v>246.72</v>
      </c>
      <c r="Q18" s="828">
        <v>0</v>
      </c>
      <c r="R18" s="815"/>
      <c r="S18" s="804">
        <v>18474.13</v>
      </c>
      <c r="T18" s="804"/>
      <c r="U18" s="815"/>
      <c r="V18" s="815"/>
      <c r="W18" s="834">
        <v>1435.23</v>
      </c>
      <c r="X18" s="804">
        <v>11662.03</v>
      </c>
      <c r="Y18" s="817">
        <f>9383+1964.76</f>
        <v>11347.76</v>
      </c>
      <c r="Z18" s="817"/>
      <c r="AA18" s="818">
        <f t="shared" si="2"/>
        <v>0</v>
      </c>
      <c r="AC18" s="812"/>
      <c r="AD18" s="812"/>
    </row>
    <row r="19" spans="1:30" ht="24.75" customHeight="1" x14ac:dyDescent="0.3">
      <c r="A19" s="580"/>
      <c r="B19" s="1044" t="s">
        <v>1302</v>
      </c>
      <c r="C19" s="1044"/>
      <c r="D19" s="1044"/>
      <c r="E19" s="1044"/>
      <c r="F19" s="1044"/>
      <c r="G19" s="586" t="s">
        <v>1303</v>
      </c>
      <c r="H19" s="590">
        <v>649</v>
      </c>
      <c r="I19" s="835">
        <v>0</v>
      </c>
      <c r="J19" s="799">
        <f t="shared" si="0"/>
        <v>0</v>
      </c>
      <c r="K19" s="815"/>
      <c r="L19" s="815"/>
      <c r="M19" s="815"/>
      <c r="N19" s="815"/>
      <c r="O19" s="816"/>
      <c r="P19" s="815"/>
      <c r="Q19" s="815"/>
      <c r="R19" s="815"/>
      <c r="S19" s="815"/>
      <c r="T19" s="815"/>
      <c r="U19" s="815"/>
      <c r="V19" s="815"/>
      <c r="W19" s="816"/>
      <c r="X19" s="815"/>
      <c r="Y19" s="817"/>
      <c r="Z19" s="817"/>
      <c r="AA19" s="818">
        <f t="shared" si="2"/>
        <v>0</v>
      </c>
    </row>
    <row r="20" spans="1:30" x14ac:dyDescent="0.3">
      <c r="A20" s="580"/>
      <c r="B20" s="601"/>
      <c r="C20" s="561"/>
      <c r="D20" s="593"/>
      <c r="E20" s="593"/>
      <c r="F20" s="593"/>
      <c r="G20" s="586"/>
      <c r="H20" s="590"/>
      <c r="I20" s="836"/>
      <c r="J20" s="837"/>
      <c r="K20" s="838"/>
      <c r="L20" s="838"/>
      <c r="M20" s="838"/>
      <c r="N20" s="838"/>
      <c r="O20" s="839"/>
      <c r="P20" s="838"/>
      <c r="Q20" s="838"/>
      <c r="R20" s="838"/>
      <c r="S20" s="838"/>
      <c r="T20" s="838"/>
      <c r="U20" s="838"/>
      <c r="V20" s="838"/>
      <c r="W20" s="839"/>
      <c r="X20" s="838"/>
      <c r="Y20" s="840"/>
      <c r="Z20" s="840"/>
      <c r="AA20" s="841"/>
    </row>
    <row r="21" spans="1:30" s="608" customFormat="1" x14ac:dyDescent="0.3">
      <c r="A21" s="1046" t="s">
        <v>1304</v>
      </c>
      <c r="B21" s="1046"/>
      <c r="C21" s="1046"/>
      <c r="D21" s="1046"/>
      <c r="E21" s="1046"/>
      <c r="F21" s="1046"/>
      <c r="G21" s="605" t="s">
        <v>1288</v>
      </c>
      <c r="H21" s="606">
        <v>9901</v>
      </c>
      <c r="I21" s="835">
        <f t="shared" ref="I21:W21" si="3">I9-I14-I15-I16-I17-I18-I19</f>
        <v>-313701.96999999922</v>
      </c>
      <c r="J21" s="842">
        <f t="shared" si="3"/>
        <v>-233255.0099999985</v>
      </c>
      <c r="K21" s="815">
        <f t="shared" si="3"/>
        <v>-2724.13</v>
      </c>
      <c r="L21" s="815">
        <f t="shared" si="3"/>
        <v>849.68000000002758</v>
      </c>
      <c r="M21" s="815">
        <f t="shared" si="3"/>
        <v>-27016.589999999989</v>
      </c>
      <c r="N21" s="815">
        <f t="shared" si="3"/>
        <v>15129.48</v>
      </c>
      <c r="O21" s="816">
        <f t="shared" si="3"/>
        <v>-3095.9000000000142</v>
      </c>
      <c r="P21" s="815">
        <f t="shared" si="3"/>
        <v>-1443.270000000012</v>
      </c>
      <c r="Q21" s="815">
        <f t="shared" si="3"/>
        <v>-128.09000000000015</v>
      </c>
      <c r="R21" s="815">
        <f t="shared" si="3"/>
        <v>-12160.32</v>
      </c>
      <c r="S21" s="815">
        <f t="shared" si="3"/>
        <v>-1286.929999999993</v>
      </c>
      <c r="T21" s="815">
        <f t="shared" si="3"/>
        <v>-294.9800000000032</v>
      </c>
      <c r="U21" s="815">
        <f t="shared" si="3"/>
        <v>-21265.940000000002</v>
      </c>
      <c r="V21" s="815">
        <f t="shared" si="3"/>
        <v>-411.7300000000032</v>
      </c>
      <c r="W21" s="831">
        <f t="shared" si="3"/>
        <v>-3002.9399999999991</v>
      </c>
      <c r="X21" s="815">
        <f>X9+X11-X14-X15-X16-X17-X18-X19</f>
        <v>-21224.240000000002</v>
      </c>
      <c r="Y21" s="817">
        <f>Y9-Y14-Y15-Y16-Y17-Y18-Y19</f>
        <v>-449.23000000000138</v>
      </c>
      <c r="Z21" s="817">
        <f>Z9-Z14-Z15-Z16-Z17-Z18-Z19</f>
        <v>-1921.8300000000017</v>
      </c>
      <c r="AA21" s="818">
        <f>AA9-AA14-AA15-AA16-AA17-AA18-AA19</f>
        <v>0</v>
      </c>
      <c r="AC21" s="843"/>
      <c r="AD21" s="843"/>
    </row>
    <row r="22" spans="1:30" s="608" customFormat="1" x14ac:dyDescent="0.3">
      <c r="A22" s="609"/>
      <c r="B22" s="1041"/>
      <c r="C22" s="1041"/>
      <c r="D22" s="1041"/>
      <c r="E22" s="1041"/>
      <c r="F22" s="1041"/>
      <c r="G22" s="605"/>
      <c r="H22" s="606"/>
      <c r="I22" s="844"/>
      <c r="J22" s="845"/>
      <c r="K22" s="846"/>
      <c r="L22" s="846"/>
      <c r="M22" s="846"/>
      <c r="N22" s="846"/>
      <c r="O22" s="847"/>
      <c r="P22" s="846"/>
      <c r="Q22" s="846"/>
      <c r="R22" s="846"/>
      <c r="S22" s="846"/>
      <c r="T22" s="846"/>
      <c r="U22" s="846"/>
      <c r="V22" s="846"/>
      <c r="W22" s="847"/>
      <c r="X22" s="846"/>
      <c r="Y22" s="848"/>
      <c r="Z22" s="848"/>
      <c r="AA22" s="849"/>
      <c r="AC22" s="843"/>
      <c r="AD22" s="843"/>
    </row>
    <row r="23" spans="1:30" s="705" customFormat="1" x14ac:dyDescent="0.3">
      <c r="A23" s="850" t="s">
        <v>1305</v>
      </c>
      <c r="B23" s="851"/>
      <c r="C23" s="851"/>
      <c r="D23" s="851"/>
      <c r="E23" s="851"/>
      <c r="F23" s="851"/>
      <c r="G23" s="852"/>
      <c r="H23" s="672">
        <v>75</v>
      </c>
      <c r="I23" s="810">
        <v>24.28</v>
      </c>
      <c r="J23" s="799">
        <f>I23-SUM(L23:Z23)</f>
        <v>15.270000000000001</v>
      </c>
      <c r="K23" s="810"/>
      <c r="L23" s="810"/>
      <c r="M23" s="853">
        <v>9.01</v>
      </c>
      <c r="N23" s="853"/>
      <c r="O23" s="854"/>
      <c r="P23" s="810"/>
      <c r="Q23" s="810"/>
      <c r="R23" s="810"/>
      <c r="S23" s="810"/>
      <c r="T23" s="810"/>
      <c r="U23" s="810"/>
      <c r="V23" s="810"/>
      <c r="W23" s="854"/>
      <c r="X23" s="810"/>
      <c r="Y23" s="855"/>
      <c r="Z23" s="855"/>
      <c r="AA23" s="824">
        <f>I23-SUM(J23:Z23)</f>
        <v>0</v>
      </c>
      <c r="AC23" s="812"/>
      <c r="AD23" s="812"/>
    </row>
    <row r="24" spans="1:30" s="705" customFormat="1" x14ac:dyDescent="0.3">
      <c r="A24" s="850"/>
      <c r="B24" s="851"/>
      <c r="C24" s="851"/>
      <c r="D24" s="851"/>
      <c r="E24" s="851"/>
      <c r="F24" s="851"/>
      <c r="G24" s="852"/>
      <c r="H24" s="672"/>
      <c r="I24" s="856"/>
      <c r="J24" s="857"/>
      <c r="K24" s="846"/>
      <c r="L24" s="846"/>
      <c r="M24" s="846"/>
      <c r="N24" s="846"/>
      <c r="O24" s="847"/>
      <c r="P24" s="846"/>
      <c r="Q24" s="846"/>
      <c r="R24" s="846"/>
      <c r="S24" s="846"/>
      <c r="T24" s="846"/>
      <c r="U24" s="846"/>
      <c r="V24" s="846"/>
      <c r="W24" s="847"/>
      <c r="X24" s="846"/>
      <c r="Y24" s="848"/>
      <c r="Z24" s="848"/>
      <c r="AA24" s="849"/>
      <c r="AC24" s="812"/>
      <c r="AD24" s="812"/>
    </row>
    <row r="25" spans="1:30" s="705" customFormat="1" x14ac:dyDescent="0.3">
      <c r="A25" s="1038" t="s">
        <v>1306</v>
      </c>
      <c r="B25" s="1038"/>
      <c r="C25" s="1038"/>
      <c r="D25" s="1038"/>
      <c r="E25" s="1038"/>
      <c r="F25" s="1038"/>
      <c r="G25" s="852"/>
      <c r="H25" s="672">
        <v>65</v>
      </c>
      <c r="I25" s="858">
        <v>7199.57</v>
      </c>
      <c r="J25" s="799">
        <f>I25-SUM(L25:Z25)</f>
        <v>7190.5599999999995</v>
      </c>
      <c r="K25" s="858"/>
      <c r="L25" s="858"/>
      <c r="M25" s="759">
        <v>9.01</v>
      </c>
      <c r="N25" s="759"/>
      <c r="O25" s="859"/>
      <c r="P25" s="858"/>
      <c r="Q25" s="858"/>
      <c r="R25" s="858"/>
      <c r="S25" s="858"/>
      <c r="T25" s="858"/>
      <c r="U25" s="858"/>
      <c r="V25" s="858"/>
      <c r="W25" s="859"/>
      <c r="X25" s="858"/>
      <c r="Y25" s="860"/>
      <c r="Z25" s="860"/>
      <c r="AA25" s="861">
        <f>I25-SUM(J25:Z25)</f>
        <v>0</v>
      </c>
      <c r="AC25" s="812"/>
      <c r="AD25" s="812"/>
    </row>
    <row r="26" spans="1:30" x14ac:dyDescent="0.3">
      <c r="A26" s="585"/>
      <c r="B26" s="588"/>
      <c r="C26" s="588"/>
      <c r="D26" s="588"/>
      <c r="E26" s="588"/>
      <c r="F26" s="588"/>
      <c r="G26" s="581"/>
      <c r="H26" s="590"/>
      <c r="I26" s="862"/>
      <c r="J26" s="863"/>
      <c r="K26" s="864"/>
      <c r="L26" s="864"/>
      <c r="M26" s="864"/>
      <c r="N26" s="864"/>
      <c r="O26" s="865"/>
      <c r="P26" s="864"/>
      <c r="Q26" s="864"/>
      <c r="R26" s="864"/>
      <c r="S26" s="864"/>
      <c r="T26" s="864"/>
      <c r="U26" s="864"/>
      <c r="V26" s="864"/>
      <c r="W26" s="865"/>
      <c r="X26" s="864"/>
      <c r="Y26" s="866"/>
      <c r="Z26" s="866"/>
      <c r="AA26" s="867"/>
    </row>
    <row r="27" spans="1:30" x14ac:dyDescent="0.3">
      <c r="A27" s="1039" t="s">
        <v>1307</v>
      </c>
      <c r="B27" s="1039"/>
      <c r="C27" s="1039"/>
      <c r="D27" s="1039"/>
      <c r="E27" s="1039"/>
      <c r="F27" s="1039"/>
      <c r="G27" s="621" t="s">
        <v>1288</v>
      </c>
      <c r="H27" s="590">
        <v>9902</v>
      </c>
      <c r="I27" s="835">
        <f t="shared" ref="I27:AA27" si="4">I21+I23-I25</f>
        <v>-320877.25999999919</v>
      </c>
      <c r="J27" s="842">
        <f t="shared" si="4"/>
        <v>-240430.2999999985</v>
      </c>
      <c r="K27" s="815">
        <f t="shared" si="4"/>
        <v>-2724.13</v>
      </c>
      <c r="L27" s="815">
        <f t="shared" si="4"/>
        <v>849.68000000002758</v>
      </c>
      <c r="M27" s="815">
        <f t="shared" si="4"/>
        <v>-27016.589999999989</v>
      </c>
      <c r="N27" s="815">
        <f t="shared" si="4"/>
        <v>15129.48</v>
      </c>
      <c r="O27" s="816">
        <f t="shared" si="4"/>
        <v>-3095.9000000000142</v>
      </c>
      <c r="P27" s="815">
        <f t="shared" si="4"/>
        <v>-1443.270000000012</v>
      </c>
      <c r="Q27" s="815">
        <f t="shared" si="4"/>
        <v>-128.09000000000015</v>
      </c>
      <c r="R27" s="815">
        <f t="shared" si="4"/>
        <v>-12160.32</v>
      </c>
      <c r="S27" s="815">
        <f t="shared" si="4"/>
        <v>-1286.929999999993</v>
      </c>
      <c r="T27" s="815">
        <f t="shared" si="4"/>
        <v>-294.9800000000032</v>
      </c>
      <c r="U27" s="815">
        <f t="shared" si="4"/>
        <v>-21265.940000000002</v>
      </c>
      <c r="V27" s="815">
        <f t="shared" si="4"/>
        <v>-411.7300000000032</v>
      </c>
      <c r="W27" s="831">
        <f t="shared" si="4"/>
        <v>-3002.9399999999991</v>
      </c>
      <c r="X27" s="815">
        <f t="shared" si="4"/>
        <v>-21224.240000000002</v>
      </c>
      <c r="Y27" s="817">
        <f t="shared" si="4"/>
        <v>-449.23000000000138</v>
      </c>
      <c r="Z27" s="817">
        <f t="shared" si="4"/>
        <v>-1921.8300000000017</v>
      </c>
      <c r="AA27" s="818">
        <f t="shared" si="4"/>
        <v>0</v>
      </c>
    </row>
    <row r="28" spans="1:30" x14ac:dyDescent="0.3">
      <c r="A28" s="580"/>
      <c r="G28" s="581"/>
      <c r="H28" s="590"/>
      <c r="I28" s="836"/>
      <c r="J28" s="837"/>
      <c r="K28" s="838"/>
      <c r="L28" s="838"/>
      <c r="M28" s="838"/>
      <c r="N28" s="838"/>
      <c r="O28" s="839"/>
      <c r="P28" s="838"/>
      <c r="Q28" s="868"/>
      <c r="R28" s="838"/>
      <c r="S28" s="838"/>
      <c r="T28" s="838"/>
      <c r="U28" s="838"/>
      <c r="V28" s="838"/>
      <c r="W28" s="839"/>
      <c r="X28" s="838"/>
      <c r="Y28" s="840"/>
      <c r="Z28" s="840"/>
      <c r="AA28" s="841"/>
    </row>
    <row r="29" spans="1:30" s="705" customFormat="1" x14ac:dyDescent="0.3">
      <c r="A29" s="1038" t="s">
        <v>1308</v>
      </c>
      <c r="B29" s="1038"/>
      <c r="C29" s="1038"/>
      <c r="D29" s="1038"/>
      <c r="E29" s="1038"/>
      <c r="F29" s="1038"/>
      <c r="G29" s="852"/>
      <c r="H29" s="672">
        <v>76</v>
      </c>
      <c r="I29" s="810">
        <v>14942.11</v>
      </c>
      <c r="J29" s="799">
        <f>I29-SUM(L29:Z29)</f>
        <v>14428.91</v>
      </c>
      <c r="K29" s="810"/>
      <c r="L29" s="810"/>
      <c r="M29" s="853"/>
      <c r="N29" s="853"/>
      <c r="O29" s="854"/>
      <c r="P29" s="810"/>
      <c r="Q29" s="869"/>
      <c r="R29" s="810"/>
      <c r="S29" s="803">
        <v>513.20000000000005</v>
      </c>
      <c r="T29" s="810"/>
      <c r="U29" s="810"/>
      <c r="V29" s="810"/>
      <c r="W29" s="854"/>
      <c r="X29" s="803"/>
      <c r="Y29" s="855"/>
      <c r="Z29" s="855"/>
      <c r="AA29" s="824">
        <f>I29-SUM(J29:Z29)</f>
        <v>0</v>
      </c>
      <c r="AC29" s="812"/>
      <c r="AD29" s="812"/>
    </row>
    <row r="30" spans="1:30" x14ac:dyDescent="0.3">
      <c r="A30" s="585"/>
      <c r="B30" s="588"/>
      <c r="C30" s="588"/>
      <c r="D30" s="588"/>
      <c r="E30" s="588"/>
      <c r="F30" s="588"/>
      <c r="G30" s="581"/>
      <c r="H30" s="590"/>
      <c r="I30" s="844"/>
      <c r="J30" s="845"/>
      <c r="K30" s="846"/>
      <c r="L30" s="846"/>
      <c r="M30" s="846"/>
      <c r="N30" s="846"/>
      <c r="O30" s="847"/>
      <c r="P30" s="846"/>
      <c r="Q30" s="870"/>
      <c r="R30" s="846"/>
      <c r="S30" s="846"/>
      <c r="T30" s="846"/>
      <c r="U30" s="846"/>
      <c r="V30" s="846"/>
      <c r="W30" s="847"/>
      <c r="X30" s="846"/>
      <c r="Y30" s="848"/>
      <c r="Z30" s="848"/>
      <c r="AA30" s="849"/>
    </row>
    <row r="31" spans="1:30" s="705" customFormat="1" x14ac:dyDescent="0.3">
      <c r="A31" s="1038" t="s">
        <v>1309</v>
      </c>
      <c r="B31" s="1038"/>
      <c r="C31" s="1038"/>
      <c r="D31" s="1038"/>
      <c r="E31" s="1038"/>
      <c r="F31" s="1038"/>
      <c r="G31" s="852"/>
      <c r="H31" s="672">
        <v>66</v>
      </c>
      <c r="I31" s="858">
        <v>3334.45</v>
      </c>
      <c r="J31" s="799">
        <f>I31-SUM(L31:Z31)</f>
        <v>1834.4499999999998</v>
      </c>
      <c r="K31" s="858"/>
      <c r="L31" s="871"/>
      <c r="M31" s="871">
        <v>1500</v>
      </c>
      <c r="N31" s="871"/>
      <c r="O31" s="859"/>
      <c r="P31" s="858"/>
      <c r="Q31" s="872"/>
      <c r="R31" s="858"/>
      <c r="S31" s="858"/>
      <c r="T31" s="858"/>
      <c r="U31" s="858"/>
      <c r="V31" s="858"/>
      <c r="W31" s="859"/>
      <c r="X31" s="858"/>
      <c r="Y31" s="860"/>
      <c r="Z31" s="860"/>
      <c r="AA31" s="861">
        <f>I31-SUM(J31:Z31)</f>
        <v>0</v>
      </c>
      <c r="AC31" s="812"/>
      <c r="AD31" s="812"/>
    </row>
    <row r="32" spans="1:30" x14ac:dyDescent="0.3">
      <c r="A32" s="580"/>
      <c r="G32" s="581"/>
      <c r="H32" s="590"/>
      <c r="I32" s="836"/>
      <c r="J32" s="837"/>
      <c r="K32" s="838"/>
      <c r="L32" s="838"/>
      <c r="M32" s="838"/>
      <c r="N32" s="838"/>
      <c r="O32" s="839"/>
      <c r="P32" s="838"/>
      <c r="Q32" s="868"/>
      <c r="R32" s="838"/>
      <c r="S32" s="838"/>
      <c r="T32" s="838"/>
      <c r="U32" s="838"/>
      <c r="V32" s="838"/>
      <c r="W32" s="839"/>
      <c r="X32" s="838"/>
      <c r="Y32" s="840"/>
      <c r="Z32" s="840"/>
      <c r="AA32" s="841"/>
    </row>
    <row r="33" spans="1:30" s="608" customFormat="1" x14ac:dyDescent="0.3">
      <c r="A33" s="1040" t="s">
        <v>1310</v>
      </c>
      <c r="B33" s="1040"/>
      <c r="C33" s="1040"/>
      <c r="D33" s="1040"/>
      <c r="E33" s="1040"/>
      <c r="F33" s="1040"/>
      <c r="G33" s="622" t="s">
        <v>1288</v>
      </c>
      <c r="H33" s="606">
        <v>9904</v>
      </c>
      <c r="I33" s="815">
        <f t="shared" ref="I33:AA33" si="5">I27+I29-I31</f>
        <v>-309269.59999999922</v>
      </c>
      <c r="J33" s="842">
        <f t="shared" si="5"/>
        <v>-227835.83999999851</v>
      </c>
      <c r="K33" s="815">
        <f t="shared" si="5"/>
        <v>-2724.13</v>
      </c>
      <c r="L33" s="815">
        <f t="shared" si="5"/>
        <v>849.68000000002758</v>
      </c>
      <c r="M33" s="815">
        <f t="shared" si="5"/>
        <v>-28516.589999999989</v>
      </c>
      <c r="N33" s="815">
        <f t="shared" si="5"/>
        <v>15129.48</v>
      </c>
      <c r="O33" s="816">
        <f t="shared" si="5"/>
        <v>-3095.9000000000142</v>
      </c>
      <c r="P33" s="815">
        <f t="shared" si="5"/>
        <v>-1443.270000000012</v>
      </c>
      <c r="Q33" s="815">
        <f t="shared" si="5"/>
        <v>-128.09000000000015</v>
      </c>
      <c r="R33" s="815">
        <f t="shared" si="5"/>
        <v>-12160.32</v>
      </c>
      <c r="S33" s="815">
        <f t="shared" si="5"/>
        <v>-773.72999999999297</v>
      </c>
      <c r="T33" s="815">
        <f t="shared" si="5"/>
        <v>-294.9800000000032</v>
      </c>
      <c r="U33" s="815">
        <f t="shared" si="5"/>
        <v>-21265.940000000002</v>
      </c>
      <c r="V33" s="815">
        <f t="shared" si="5"/>
        <v>-411.7300000000032</v>
      </c>
      <c r="W33" s="831">
        <f t="shared" si="5"/>
        <v>-3002.9399999999991</v>
      </c>
      <c r="X33" s="815">
        <f t="shared" si="5"/>
        <v>-21224.240000000002</v>
      </c>
      <c r="Y33" s="817">
        <f t="shared" si="5"/>
        <v>-449.23000000000138</v>
      </c>
      <c r="Z33" s="817">
        <f t="shared" si="5"/>
        <v>-1921.8300000000017</v>
      </c>
      <c r="AA33" s="818">
        <f t="shared" si="5"/>
        <v>0</v>
      </c>
      <c r="AC33" s="843"/>
      <c r="AD33" s="843"/>
    </row>
    <row r="34" spans="1:30" ht="8.25" customHeight="1" thickBot="1" x14ac:dyDescent="0.35">
      <c r="A34" s="623"/>
      <c r="B34" s="624"/>
      <c r="C34" s="624"/>
      <c r="D34" s="624"/>
      <c r="E34" s="624"/>
      <c r="F34" s="624"/>
      <c r="G34" s="625"/>
      <c r="H34" s="626"/>
      <c r="I34" s="627"/>
      <c r="J34" s="628"/>
      <c r="K34" s="860"/>
      <c r="L34" s="860"/>
      <c r="M34" s="860"/>
      <c r="N34" s="860"/>
      <c r="O34" s="873"/>
      <c r="P34" s="860"/>
      <c r="Q34" s="860"/>
      <c r="R34" s="860"/>
      <c r="S34" s="860"/>
      <c r="T34" s="860"/>
      <c r="U34" s="860"/>
      <c r="V34" s="860"/>
      <c r="W34" s="873"/>
      <c r="X34" s="860"/>
      <c r="Y34" s="860"/>
      <c r="Z34" s="860"/>
      <c r="AA34" s="874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AA21 I27:AA27 I33:AA33">
    <cfRule type="cellIs" dxfId="19" priority="89" stopIfTrue="1" operator="lessThan">
      <formula>0</formula>
    </cfRule>
  </conditionalFormatting>
  <conditionalFormatting sqref="I21:AA21 I27:AA27 I33:AA33">
    <cfRule type="cellIs" dxfId="18" priority="86" stopIfTrue="1" operator="greaterThanOrEqual">
      <formula>0</formula>
    </cfRule>
  </conditionalFormatting>
  <pageMargins left="0.70000000000000007" right="0.70000000000000007" top="0.75" bottom="0.75" header="0.30000000000000004" footer="0.3000000000000000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35"/>
  <sheetViews>
    <sheetView workbookViewId="0"/>
  </sheetViews>
  <sheetFormatPr defaultColWidth="9.109375" defaultRowHeight="14.4" x14ac:dyDescent="0.3"/>
  <cols>
    <col min="1" max="1" width="2.6640625" style="558" bestFit="1" customWidth="1"/>
    <col min="2" max="2" width="4.6640625" style="558" bestFit="1" customWidth="1"/>
    <col min="3" max="3" width="3.6640625" style="558" customWidth="1"/>
    <col min="4" max="5" width="9.109375" style="558" customWidth="1"/>
    <col min="6" max="6" width="22.5546875" style="558" customWidth="1"/>
    <col min="7" max="7" width="4.44140625" style="558" bestFit="1" customWidth="1"/>
    <col min="8" max="8" width="6.33203125" style="558" bestFit="1" customWidth="1"/>
    <col min="9" max="9" width="18.109375" style="558" customWidth="1"/>
    <col min="10" max="10" width="16.88671875" style="558" bestFit="1" customWidth="1"/>
    <col min="11" max="11" width="20.44140625" style="558" customWidth="1"/>
    <col min="12" max="12" width="16.88671875" style="558" bestFit="1" customWidth="1"/>
    <col min="13" max="14" width="16.88671875" style="558" customWidth="1"/>
    <col min="15" max="19" width="16.88671875" style="558" bestFit="1" customWidth="1"/>
    <col min="20" max="20" width="17.109375" style="558" customWidth="1"/>
    <col min="21" max="24" width="16.88671875" style="558" bestFit="1" customWidth="1"/>
    <col min="25" max="25" width="18.88671875" style="558" customWidth="1"/>
    <col min="26" max="26" width="12.109375" style="558" customWidth="1"/>
    <col min="27" max="27" width="9.109375" style="558" customWidth="1"/>
    <col min="28" max="16384" width="9.109375" style="558"/>
  </cols>
  <sheetData>
    <row r="1" spans="1:26" ht="17.399999999999999" x14ac:dyDescent="0.3">
      <c r="A1" s="1052" t="s">
        <v>1323</v>
      </c>
      <c r="B1" s="1052"/>
      <c r="C1" s="1052"/>
      <c r="D1" s="1052"/>
      <c r="E1" s="1052"/>
      <c r="F1" s="1052"/>
      <c r="G1" s="1052"/>
      <c r="H1" s="1052"/>
      <c r="I1" s="1052"/>
      <c r="J1" s="1052"/>
    </row>
    <row r="2" spans="1:26" ht="15.6" x14ac:dyDescent="0.3">
      <c r="A2" s="1053" t="s">
        <v>1417</v>
      </c>
      <c r="B2" s="1053"/>
      <c r="C2" s="1053"/>
      <c r="D2" s="1053"/>
      <c r="E2" s="1053"/>
      <c r="F2" s="1053"/>
      <c r="G2" s="1053"/>
      <c r="H2" s="1053"/>
      <c r="I2" s="1053"/>
    </row>
    <row r="3" spans="1:26" ht="15.6" x14ac:dyDescent="0.3">
      <c r="A3" s="560"/>
      <c r="B3" s="560"/>
      <c r="C3" s="560"/>
      <c r="D3" s="561"/>
      <c r="E3" s="203"/>
      <c r="F3" s="203"/>
      <c r="G3" s="203"/>
      <c r="H3" s="203"/>
      <c r="I3" s="203"/>
    </row>
    <row r="4" spans="1:26" s="571" customFormat="1" ht="68.25" customHeight="1" thickBot="1" x14ac:dyDescent="0.35">
      <c r="A4" s="562"/>
      <c r="B4" s="563"/>
      <c r="C4" s="563"/>
      <c r="D4" s="563"/>
      <c r="E4" s="563"/>
      <c r="F4" s="563"/>
      <c r="G4" s="564"/>
      <c r="H4" s="565" t="s">
        <v>1275</v>
      </c>
      <c r="I4" s="566" t="s">
        <v>1418</v>
      </c>
      <c r="J4" s="695" t="s">
        <v>1419</v>
      </c>
      <c r="K4" s="696" t="s">
        <v>1420</v>
      </c>
      <c r="L4" s="696" t="s">
        <v>1421</v>
      </c>
      <c r="M4" s="696" t="s">
        <v>1422</v>
      </c>
      <c r="N4" s="696" t="s">
        <v>1423</v>
      </c>
      <c r="O4" s="696" t="s">
        <v>1424</v>
      </c>
      <c r="P4" s="696" t="s">
        <v>1425</v>
      </c>
      <c r="Q4" s="696" t="s">
        <v>1426</v>
      </c>
      <c r="R4" s="696" t="s">
        <v>1427</v>
      </c>
      <c r="S4" s="696" t="s">
        <v>1428</v>
      </c>
      <c r="T4" s="696" t="s">
        <v>1429</v>
      </c>
      <c r="U4" s="875" t="s">
        <v>1430</v>
      </c>
      <c r="V4" s="875" t="s">
        <v>1431</v>
      </c>
      <c r="W4" s="875" t="s">
        <v>1432</v>
      </c>
      <c r="X4" s="875" t="s">
        <v>1433</v>
      </c>
      <c r="Y4" s="875" t="s">
        <v>1434</v>
      </c>
      <c r="Z4" s="570" t="s">
        <v>1283</v>
      </c>
    </row>
    <row r="5" spans="1:26" s="571" customFormat="1" ht="15" customHeight="1" thickBot="1" x14ac:dyDescent="0.35">
      <c r="A5" s="1050" t="s">
        <v>1284</v>
      </c>
      <c r="B5" s="1050"/>
      <c r="C5" s="1050"/>
      <c r="D5" s="1050"/>
      <c r="E5" s="1050"/>
      <c r="F5" s="1050"/>
      <c r="G5" s="1050"/>
      <c r="H5" s="1050"/>
      <c r="I5" s="572">
        <v>138.99</v>
      </c>
      <c r="J5" s="634">
        <v>122.19</v>
      </c>
      <c r="K5" s="876">
        <v>1.4</v>
      </c>
      <c r="L5" s="876">
        <v>0.5</v>
      </c>
      <c r="M5" s="876">
        <v>0.63</v>
      </c>
      <c r="N5" s="876">
        <v>0.16</v>
      </c>
      <c r="O5" s="876">
        <v>1.25</v>
      </c>
      <c r="P5" s="574">
        <v>1.5</v>
      </c>
      <c r="Q5" s="876">
        <v>2</v>
      </c>
      <c r="R5" s="876">
        <v>3.45</v>
      </c>
      <c r="S5" s="876">
        <v>1.5</v>
      </c>
      <c r="T5" s="574">
        <v>1.1000000000000001</v>
      </c>
      <c r="U5" s="876">
        <v>0.5</v>
      </c>
      <c r="V5" s="876">
        <v>0.36</v>
      </c>
      <c r="W5" s="574">
        <v>1.45</v>
      </c>
      <c r="X5" s="574">
        <v>1</v>
      </c>
      <c r="Y5" s="876">
        <v>0</v>
      </c>
      <c r="Z5" s="575">
        <f>I5-SUM(J5:Y5)</f>
        <v>0</v>
      </c>
    </row>
    <row r="6" spans="1:26" x14ac:dyDescent="0.3">
      <c r="A6" s="1051" t="s">
        <v>1285</v>
      </c>
      <c r="B6" s="1051"/>
      <c r="C6" s="1051"/>
      <c r="D6" s="1051"/>
      <c r="E6" s="1051"/>
      <c r="F6" s="1051"/>
      <c r="G6" s="576"/>
      <c r="I6" s="577"/>
      <c r="J6" s="578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9"/>
    </row>
    <row r="7" spans="1:26" ht="8.25" customHeight="1" x14ac:dyDescent="0.3">
      <c r="A7" s="580"/>
      <c r="G7" s="581"/>
      <c r="I7" s="582"/>
      <c r="J7" s="583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4"/>
    </row>
    <row r="8" spans="1:26" x14ac:dyDescent="0.3">
      <c r="A8" s="1038" t="s">
        <v>1286</v>
      </c>
      <c r="B8" s="1038"/>
      <c r="C8" s="1038"/>
      <c r="D8" s="1038"/>
      <c r="E8" s="1038"/>
      <c r="F8" s="1038"/>
      <c r="G8" s="586"/>
      <c r="I8" s="582"/>
      <c r="J8" s="583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4"/>
    </row>
    <row r="9" spans="1:26" x14ac:dyDescent="0.3">
      <c r="A9" s="585"/>
      <c r="B9" s="587" t="s">
        <v>1287</v>
      </c>
      <c r="C9" s="588"/>
      <c r="D9" s="588"/>
      <c r="E9" s="588"/>
      <c r="F9" s="588"/>
      <c r="G9" s="589" t="s">
        <v>1288</v>
      </c>
      <c r="H9" s="590">
        <v>9900</v>
      </c>
      <c r="I9" s="582">
        <f t="shared" ref="I9:Y9" si="0">I10-I13</f>
        <v>8997234.4199999999</v>
      </c>
      <c r="J9" s="591">
        <f t="shared" si="0"/>
        <v>8049247.5399999991</v>
      </c>
      <c r="K9" s="636">
        <f t="shared" si="0"/>
        <v>88909.5</v>
      </c>
      <c r="L9" s="591">
        <f t="shared" si="0"/>
        <v>32551.919999999998</v>
      </c>
      <c r="M9" s="591">
        <f t="shared" si="0"/>
        <v>43813.829999999994</v>
      </c>
      <c r="N9" s="591">
        <f t="shared" si="0"/>
        <v>21939.439999999999</v>
      </c>
      <c r="O9" s="591">
        <f t="shared" si="0"/>
        <v>89787.21</v>
      </c>
      <c r="P9" s="591">
        <f t="shared" si="0"/>
        <v>52245.51</v>
      </c>
      <c r="Q9" s="591">
        <f t="shared" si="0"/>
        <v>98104.62999999999</v>
      </c>
      <c r="R9" s="591">
        <f t="shared" si="0"/>
        <v>191927.63999999998</v>
      </c>
      <c r="S9" s="591">
        <f t="shared" si="0"/>
        <v>76724.37000000001</v>
      </c>
      <c r="T9" s="591">
        <f t="shared" si="0"/>
        <v>65794.16</v>
      </c>
      <c r="U9" s="591">
        <f t="shared" si="0"/>
        <v>38513.99</v>
      </c>
      <c r="V9" s="591">
        <f t="shared" si="0"/>
        <v>12908.14</v>
      </c>
      <c r="W9" s="591">
        <f t="shared" si="0"/>
        <v>79935.47</v>
      </c>
      <c r="X9" s="591">
        <f t="shared" si="0"/>
        <v>54831.07</v>
      </c>
      <c r="Y9" s="591">
        <f t="shared" si="0"/>
        <v>0</v>
      </c>
      <c r="Z9" s="592">
        <f t="shared" ref="Z9:Z19" si="1">I9-SUM(J9:Y9)</f>
        <v>0</v>
      </c>
    </row>
    <row r="10" spans="1:26" x14ac:dyDescent="0.3">
      <c r="A10" s="580"/>
      <c r="B10" s="593"/>
      <c r="C10" s="1047" t="s">
        <v>1289</v>
      </c>
      <c r="D10" s="1047"/>
      <c r="E10" s="1047"/>
      <c r="F10" s="1047"/>
      <c r="G10" s="586"/>
      <c r="H10" s="590" t="s">
        <v>1290</v>
      </c>
      <c r="I10" s="700">
        <f>316416.08+9240818.49+225836.69</f>
        <v>9783071.2599999998</v>
      </c>
      <c r="J10" s="637">
        <f>303924.51+8204345.33+211667.68</f>
        <v>8719937.5199999996</v>
      </c>
      <c r="K10" s="595">
        <v>93668.98</v>
      </c>
      <c r="L10" s="595">
        <v>33334.28</v>
      </c>
      <c r="M10" s="595">
        <v>45764.88</v>
      </c>
      <c r="N10" s="595">
        <v>22882.44</v>
      </c>
      <c r="O10" s="595">
        <f>12491.57+83000+56.23+19.75</f>
        <v>95567.55</v>
      </c>
      <c r="P10" s="595">
        <v>56703.55</v>
      </c>
      <c r="Q10" s="595">
        <f>123397.26+173.09+131.39</f>
        <v>123701.73999999999</v>
      </c>
      <c r="R10" s="595">
        <v>202164.62</v>
      </c>
      <c r="S10" s="595">
        <v>81182.41</v>
      </c>
      <c r="T10" s="595">
        <v>69055.13</v>
      </c>
      <c r="U10" s="595">
        <v>40000</v>
      </c>
      <c r="V10" s="595">
        <v>13981.39</v>
      </c>
      <c r="W10" s="595">
        <v>84228.4</v>
      </c>
      <c r="X10" s="595">
        <v>55396.46</v>
      </c>
      <c r="Y10" s="595">
        <v>45501.91</v>
      </c>
      <c r="Z10" s="592">
        <f t="shared" si="1"/>
        <v>0</v>
      </c>
    </row>
    <row r="11" spans="1:26" x14ac:dyDescent="0.3">
      <c r="A11" s="580"/>
      <c r="B11" s="1041"/>
      <c r="C11" s="1041"/>
      <c r="D11" s="1042" t="s">
        <v>1291</v>
      </c>
      <c r="E11" s="1042"/>
      <c r="F11" s="1042"/>
      <c r="G11" s="586"/>
      <c r="H11" s="590">
        <v>70</v>
      </c>
      <c r="I11" s="700">
        <v>316416.08</v>
      </c>
      <c r="J11" s="637">
        <v>303924.51</v>
      </c>
      <c r="K11" s="595">
        <v>0</v>
      </c>
      <c r="L11" s="595">
        <v>0</v>
      </c>
      <c r="M11" s="595"/>
      <c r="N11" s="595"/>
      <c r="O11" s="595">
        <v>12491.57</v>
      </c>
      <c r="P11" s="595">
        <v>0</v>
      </c>
      <c r="Q11" s="595">
        <v>0</v>
      </c>
      <c r="R11" s="595">
        <v>0</v>
      </c>
      <c r="S11" s="595">
        <v>0</v>
      </c>
      <c r="T11" s="595">
        <v>0</v>
      </c>
      <c r="U11" s="595">
        <v>0</v>
      </c>
      <c r="V11" s="595">
        <v>0</v>
      </c>
      <c r="W11" s="595">
        <v>0</v>
      </c>
      <c r="X11" s="595">
        <v>0</v>
      </c>
      <c r="Y11" s="595">
        <v>0</v>
      </c>
      <c r="Z11" s="592">
        <f t="shared" si="1"/>
        <v>0</v>
      </c>
    </row>
    <row r="12" spans="1:26" x14ac:dyDescent="0.3">
      <c r="A12" s="580"/>
      <c r="D12" s="1043" t="s">
        <v>331</v>
      </c>
      <c r="E12" s="1043"/>
      <c r="F12" s="1043"/>
      <c r="G12" s="596"/>
      <c r="H12" s="590">
        <v>73</v>
      </c>
      <c r="I12" s="701">
        <v>9240818.4900000002</v>
      </c>
      <c r="J12" s="599">
        <v>8204345.3300000001</v>
      </c>
      <c r="K12" s="594">
        <v>93668.98</v>
      </c>
      <c r="L12" s="594">
        <v>33334.28</v>
      </c>
      <c r="M12" s="594">
        <v>45764.88</v>
      </c>
      <c r="N12" s="594">
        <v>22882.44</v>
      </c>
      <c r="O12" s="594">
        <f>83000+19.75</f>
        <v>83019.75</v>
      </c>
      <c r="P12" s="594">
        <v>56703.55</v>
      </c>
      <c r="Q12" s="594">
        <f>123397.26+173.09</f>
        <v>123570.34999999999</v>
      </c>
      <c r="R12" s="594">
        <v>202164.62</v>
      </c>
      <c r="S12" s="594">
        <v>81182.41</v>
      </c>
      <c r="T12" s="594">
        <v>69055.13</v>
      </c>
      <c r="U12" s="594">
        <v>40000</v>
      </c>
      <c r="V12" s="594">
        <v>0</v>
      </c>
      <c r="W12" s="594">
        <v>84228.4</v>
      </c>
      <c r="X12" s="594">
        <v>55396.46</v>
      </c>
      <c r="Y12" s="594">
        <v>45501.91</v>
      </c>
      <c r="Z12" s="592">
        <f t="shared" si="1"/>
        <v>0</v>
      </c>
    </row>
    <row r="13" spans="1:26" ht="25.5" customHeight="1" x14ac:dyDescent="0.3">
      <c r="A13" s="580"/>
      <c r="B13" s="597"/>
      <c r="C13" s="1044" t="s">
        <v>1292</v>
      </c>
      <c r="D13" s="1044"/>
      <c r="E13" s="1044"/>
      <c r="F13" s="1044"/>
      <c r="G13" s="586"/>
      <c r="H13" s="590" t="s">
        <v>1293</v>
      </c>
      <c r="I13" s="701">
        <v>785836.84</v>
      </c>
      <c r="J13" s="599">
        <v>670689.98</v>
      </c>
      <c r="K13" s="594">
        <v>4759.4799999999996</v>
      </c>
      <c r="L13" s="594">
        <f>782.36</f>
        <v>782.36</v>
      </c>
      <c r="M13" s="594">
        <v>1951.05</v>
      </c>
      <c r="N13" s="594">
        <v>943</v>
      </c>
      <c r="O13" s="594">
        <v>5780.34</v>
      </c>
      <c r="P13" s="594">
        <v>4458.04</v>
      </c>
      <c r="Q13" s="594">
        <v>25597.11</v>
      </c>
      <c r="R13" s="594">
        <v>10236.98</v>
      </c>
      <c r="S13" s="594">
        <v>4458.04</v>
      </c>
      <c r="T13" s="594">
        <v>3260.97</v>
      </c>
      <c r="U13" s="594">
        <v>1486.01</v>
      </c>
      <c r="V13" s="594">
        <f>1073.23+0.02</f>
        <v>1073.25</v>
      </c>
      <c r="W13" s="594">
        <v>4292.93</v>
      </c>
      <c r="X13" s="594">
        <v>565.39</v>
      </c>
      <c r="Y13" s="594">
        <v>45501.91</v>
      </c>
      <c r="Z13" s="592">
        <f t="shared" si="1"/>
        <v>0</v>
      </c>
    </row>
    <row r="14" spans="1:26" ht="26.25" customHeight="1" x14ac:dyDescent="0.3">
      <c r="A14" s="580"/>
      <c r="B14" s="1044" t="s">
        <v>1294</v>
      </c>
      <c r="C14" s="1044"/>
      <c r="D14" s="1044"/>
      <c r="E14" s="1044"/>
      <c r="F14" s="1044"/>
      <c r="G14" s="586" t="s">
        <v>1288</v>
      </c>
      <c r="H14" s="590">
        <v>62</v>
      </c>
      <c r="I14" s="700">
        <v>8374403.5599999996</v>
      </c>
      <c r="J14" s="637">
        <f>7411168.12+0.01</f>
        <v>7411168.1299999999</v>
      </c>
      <c r="K14" s="595">
        <v>99203.26</v>
      </c>
      <c r="L14" s="595">
        <f>34936.87</f>
        <v>34936.870000000003</v>
      </c>
      <c r="M14" s="595">
        <v>49330.78</v>
      </c>
      <c r="N14" s="595">
        <v>9121.0300000000007</v>
      </c>
      <c r="O14" s="595">
        <v>76254.320000000007</v>
      </c>
      <c r="P14" s="595">
        <v>57591.88</v>
      </c>
      <c r="Q14" s="595">
        <v>114696.43</v>
      </c>
      <c r="R14" s="595">
        <v>169732.42</v>
      </c>
      <c r="S14" s="595">
        <v>91997.74</v>
      </c>
      <c r="T14" s="595">
        <f>68216.38</f>
        <v>68216.38</v>
      </c>
      <c r="U14" s="595">
        <v>40562.480000000003</v>
      </c>
      <c r="V14" s="595">
        <v>14414.6</v>
      </c>
      <c r="W14" s="595">
        <v>82016.479999999996</v>
      </c>
      <c r="X14" s="595">
        <v>55160.76</v>
      </c>
      <c r="Y14" s="595">
        <v>0</v>
      </c>
      <c r="Z14" s="592">
        <f t="shared" si="1"/>
        <v>0</v>
      </c>
    </row>
    <row r="15" spans="1:26" ht="38.25" customHeight="1" x14ac:dyDescent="0.3">
      <c r="A15" s="580"/>
      <c r="B15" s="1044" t="s">
        <v>1295</v>
      </c>
      <c r="C15" s="1044"/>
      <c r="D15" s="1044"/>
      <c r="E15" s="1044"/>
      <c r="F15" s="1044"/>
      <c r="G15" s="586" t="s">
        <v>1288</v>
      </c>
      <c r="H15" s="590">
        <v>630</v>
      </c>
      <c r="I15" s="701">
        <v>351477.52</v>
      </c>
      <c r="J15" s="599">
        <v>334606.94</v>
      </c>
      <c r="K15" s="594">
        <v>1265.98</v>
      </c>
      <c r="L15" s="594">
        <v>451.24</v>
      </c>
      <c r="M15" s="594">
        <v>564.04999999999995</v>
      </c>
      <c r="N15" s="594">
        <v>150.41</v>
      </c>
      <c r="O15" s="594">
        <v>2563.8200000000002</v>
      </c>
      <c r="P15" s="594">
        <v>1353.73</v>
      </c>
      <c r="Q15" s="594">
        <f>280.65+1804.97</f>
        <v>2085.62</v>
      </c>
      <c r="R15" s="594">
        <v>3108.56</v>
      </c>
      <c r="S15" s="594">
        <v>1353.73</v>
      </c>
      <c r="T15" s="594">
        <v>990.23</v>
      </c>
      <c r="U15" s="594">
        <v>451.24</v>
      </c>
      <c r="V15" s="594">
        <v>325.89999999999998</v>
      </c>
      <c r="W15" s="594">
        <v>1303.5899999999999</v>
      </c>
      <c r="X15" s="594">
        <v>902.48</v>
      </c>
      <c r="Y15" s="594">
        <v>0</v>
      </c>
      <c r="Z15" s="592">
        <f t="shared" si="1"/>
        <v>0</v>
      </c>
    </row>
    <row r="16" spans="1:26" ht="39" customHeight="1" x14ac:dyDescent="0.3">
      <c r="A16" s="580"/>
      <c r="B16" s="1044" t="s">
        <v>1296</v>
      </c>
      <c r="C16" s="1044"/>
      <c r="D16" s="1044"/>
      <c r="E16" s="1044"/>
      <c r="F16" s="1044"/>
      <c r="G16" s="586" t="s">
        <v>1288</v>
      </c>
      <c r="H16" s="590" t="s">
        <v>1297</v>
      </c>
      <c r="I16" s="701">
        <v>2868.15</v>
      </c>
      <c r="J16" s="599">
        <v>2422.86</v>
      </c>
      <c r="K16" s="594">
        <v>0</v>
      </c>
      <c r="L16" s="594">
        <v>0</v>
      </c>
      <c r="M16" s="594">
        <v>0</v>
      </c>
      <c r="N16" s="594">
        <v>0</v>
      </c>
      <c r="O16" s="594">
        <v>445.29</v>
      </c>
      <c r="P16" s="594">
        <v>0</v>
      </c>
      <c r="Q16" s="594">
        <v>0</v>
      </c>
      <c r="R16" s="594">
        <v>0</v>
      </c>
      <c r="S16" s="594">
        <v>0</v>
      </c>
      <c r="T16" s="594">
        <v>0</v>
      </c>
      <c r="U16" s="594">
        <v>0</v>
      </c>
      <c r="V16" s="594">
        <v>0</v>
      </c>
      <c r="W16" s="594">
        <v>0</v>
      </c>
      <c r="X16" s="594">
        <v>0</v>
      </c>
      <c r="Y16" s="594">
        <v>0</v>
      </c>
      <c r="Z16" s="592">
        <f t="shared" si="1"/>
        <v>0</v>
      </c>
    </row>
    <row r="17" spans="1:26" ht="24.75" customHeight="1" x14ac:dyDescent="0.3">
      <c r="A17" s="580"/>
      <c r="B17" s="1044" t="s">
        <v>1298</v>
      </c>
      <c r="C17" s="1044"/>
      <c r="D17" s="1044"/>
      <c r="E17" s="1044"/>
      <c r="F17" s="1044"/>
      <c r="G17" s="586" t="s">
        <v>1288</v>
      </c>
      <c r="H17" s="590" t="s">
        <v>1299</v>
      </c>
      <c r="I17" s="701">
        <v>0</v>
      </c>
      <c r="J17" s="599">
        <v>0</v>
      </c>
      <c r="K17" s="594">
        <v>0</v>
      </c>
      <c r="L17" s="594">
        <v>0</v>
      </c>
      <c r="M17" s="594">
        <v>0</v>
      </c>
      <c r="N17" s="594">
        <v>0</v>
      </c>
      <c r="O17" s="594">
        <v>0</v>
      </c>
      <c r="P17" s="594">
        <v>0</v>
      </c>
      <c r="Q17" s="594">
        <v>0</v>
      </c>
      <c r="R17" s="594">
        <v>0</v>
      </c>
      <c r="S17" s="594">
        <v>0</v>
      </c>
      <c r="T17" s="594">
        <v>0</v>
      </c>
      <c r="U17" s="594">
        <v>0</v>
      </c>
      <c r="V17" s="594">
        <v>0</v>
      </c>
      <c r="W17" s="594">
        <v>0</v>
      </c>
      <c r="X17" s="594">
        <v>0</v>
      </c>
      <c r="Y17" s="594">
        <v>0</v>
      </c>
      <c r="Z17" s="592">
        <f t="shared" si="1"/>
        <v>0</v>
      </c>
    </row>
    <row r="18" spans="1:26" ht="12.75" customHeight="1" x14ac:dyDescent="0.3">
      <c r="A18" s="580"/>
      <c r="B18" s="1045" t="s">
        <v>1300</v>
      </c>
      <c r="C18" s="1045"/>
      <c r="D18" s="1045"/>
      <c r="E18" s="1045"/>
      <c r="F18" s="1045"/>
      <c r="G18" s="586"/>
      <c r="H18" s="590" t="s">
        <v>1301</v>
      </c>
      <c r="I18" s="701">
        <v>106107.61</v>
      </c>
      <c r="J18" s="599">
        <v>95344.89</v>
      </c>
      <c r="K18" s="594">
        <v>944.21</v>
      </c>
      <c r="L18" s="594">
        <v>336.55</v>
      </c>
      <c r="M18" s="594">
        <v>420.69</v>
      </c>
      <c r="N18" s="594">
        <v>112.18</v>
      </c>
      <c r="O18" s="594">
        <v>295.94</v>
      </c>
      <c r="P18" s="594">
        <v>1009.65</v>
      </c>
      <c r="Q18" s="594">
        <f>21.92+1311.5</f>
        <v>1333.42</v>
      </c>
      <c r="R18" s="594">
        <f>78.25+2258.69</f>
        <v>2336.94</v>
      </c>
      <c r="S18" s="594">
        <v>1009.65</v>
      </c>
      <c r="T18" s="594">
        <f>738.54-0.01</f>
        <v>738.53</v>
      </c>
      <c r="U18" s="594">
        <v>336.55</v>
      </c>
      <c r="V18" s="594">
        <v>243.06</v>
      </c>
      <c r="W18" s="594">
        <v>972.25</v>
      </c>
      <c r="X18" s="594">
        <v>673.1</v>
      </c>
      <c r="Y18" s="594">
        <v>0</v>
      </c>
      <c r="Z18" s="592">
        <f t="shared" si="1"/>
        <v>0</v>
      </c>
    </row>
    <row r="19" spans="1:26" ht="24.75" customHeight="1" x14ac:dyDescent="0.3">
      <c r="A19" s="580"/>
      <c r="B19" s="1044" t="s">
        <v>1302</v>
      </c>
      <c r="C19" s="1044"/>
      <c r="D19" s="1044"/>
      <c r="E19" s="1044"/>
      <c r="F19" s="1044"/>
      <c r="G19" s="586" t="s">
        <v>1303</v>
      </c>
      <c r="H19" s="590">
        <v>649</v>
      </c>
      <c r="I19" s="701"/>
      <c r="J19" s="599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2">
        <f t="shared" si="1"/>
        <v>0</v>
      </c>
    </row>
    <row r="20" spans="1:26" x14ac:dyDescent="0.3">
      <c r="A20" s="580"/>
      <c r="B20" s="601"/>
      <c r="C20" s="561"/>
      <c r="D20" s="593"/>
      <c r="E20" s="593"/>
      <c r="F20" s="593"/>
      <c r="G20" s="586"/>
      <c r="H20" s="590"/>
      <c r="I20" s="602"/>
      <c r="J20" s="600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4"/>
    </row>
    <row r="21" spans="1:26" s="608" customFormat="1" x14ac:dyDescent="0.3">
      <c r="A21" s="1046" t="s">
        <v>1304</v>
      </c>
      <c r="B21" s="1046"/>
      <c r="C21" s="1046"/>
      <c r="D21" s="1046"/>
      <c r="E21" s="1046"/>
      <c r="F21" s="1046"/>
      <c r="G21" s="605" t="s">
        <v>1288</v>
      </c>
      <c r="H21" s="606">
        <v>9901</v>
      </c>
      <c r="I21" s="701">
        <f t="shared" ref="I21:Z21" si="2">I9-I14-I15-I16-I17-I18-I19</f>
        <v>162377.58000000031</v>
      </c>
      <c r="J21" s="599">
        <f t="shared" si="2"/>
        <v>205704.71999999922</v>
      </c>
      <c r="K21" s="594">
        <f t="shared" si="2"/>
        <v>-12503.949999999993</v>
      </c>
      <c r="L21" s="594">
        <f t="shared" si="2"/>
        <v>-3172.7400000000043</v>
      </c>
      <c r="M21" s="594">
        <f t="shared" si="2"/>
        <v>-6501.6900000000041</v>
      </c>
      <c r="N21" s="594">
        <f t="shared" si="2"/>
        <v>12555.819999999998</v>
      </c>
      <c r="O21" s="594">
        <f t="shared" si="2"/>
        <v>10227.839999999998</v>
      </c>
      <c r="P21" s="594">
        <f t="shared" si="2"/>
        <v>-7709.7499999999945</v>
      </c>
      <c r="Q21" s="594">
        <f t="shared" si="2"/>
        <v>-20010.840000000004</v>
      </c>
      <c r="R21" s="594">
        <f t="shared" si="2"/>
        <v>16749.719999999972</v>
      </c>
      <c r="S21" s="594">
        <f t="shared" si="2"/>
        <v>-17636.749999999996</v>
      </c>
      <c r="T21" s="594">
        <f t="shared" si="2"/>
        <v>-4150.9800000000014</v>
      </c>
      <c r="U21" s="594">
        <f t="shared" si="2"/>
        <v>-2836.2800000000052</v>
      </c>
      <c r="V21" s="594">
        <f t="shared" si="2"/>
        <v>-2075.420000000001</v>
      </c>
      <c r="W21" s="594">
        <f t="shared" si="2"/>
        <v>-4356.8499999999949</v>
      </c>
      <c r="X21" s="594">
        <f t="shared" si="2"/>
        <v>-1905.2700000000023</v>
      </c>
      <c r="Y21" s="594">
        <f t="shared" si="2"/>
        <v>0</v>
      </c>
      <c r="Z21" s="607">
        <f t="shared" si="2"/>
        <v>0</v>
      </c>
    </row>
    <row r="22" spans="1:26" s="608" customFormat="1" x14ac:dyDescent="0.3">
      <c r="A22" s="609"/>
      <c r="B22" s="1041"/>
      <c r="C22" s="1041"/>
      <c r="D22" s="1041"/>
      <c r="E22" s="1041"/>
      <c r="F22" s="1041"/>
      <c r="G22" s="605"/>
      <c r="H22" s="606"/>
      <c r="I22" s="610"/>
      <c r="J22" s="611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3"/>
    </row>
    <row r="23" spans="1:26" x14ac:dyDescent="0.3">
      <c r="A23" s="614" t="s">
        <v>1305</v>
      </c>
      <c r="B23" s="615"/>
      <c r="C23" s="615"/>
      <c r="D23" s="615"/>
      <c r="E23" s="615"/>
      <c r="F23" s="615"/>
      <c r="G23" s="581"/>
      <c r="H23" s="590">
        <v>75</v>
      </c>
      <c r="I23" s="700">
        <v>933.5</v>
      </c>
      <c r="J23" s="637">
        <v>820.65</v>
      </c>
      <c r="K23" s="595">
        <v>9.43</v>
      </c>
      <c r="L23" s="595">
        <v>3.36</v>
      </c>
      <c r="M23" s="595">
        <v>4.2</v>
      </c>
      <c r="N23" s="595">
        <v>1.1200000000000001</v>
      </c>
      <c r="O23" s="595">
        <v>8.4</v>
      </c>
      <c r="P23" s="595">
        <v>10.08</v>
      </c>
      <c r="Q23" s="595">
        <v>13.44</v>
      </c>
      <c r="R23" s="595">
        <v>23.15</v>
      </c>
      <c r="S23" s="595">
        <f>10.08+0.01</f>
        <v>10.09</v>
      </c>
      <c r="T23" s="595">
        <v>7.37</v>
      </c>
      <c r="U23" s="595">
        <v>3.36</v>
      </c>
      <c r="V23" s="595">
        <v>2.42</v>
      </c>
      <c r="W23" s="595">
        <v>9.7100000000000009</v>
      </c>
      <c r="X23" s="595">
        <v>6.72</v>
      </c>
      <c r="Y23" s="595">
        <v>0</v>
      </c>
      <c r="Z23" s="592">
        <f>I23-SUM(J23:Y23)</f>
        <v>0</v>
      </c>
    </row>
    <row r="24" spans="1:26" x14ac:dyDescent="0.3">
      <c r="A24" s="614"/>
      <c r="B24" s="615"/>
      <c r="C24" s="615"/>
      <c r="D24" s="615"/>
      <c r="E24" s="615"/>
      <c r="F24" s="615"/>
      <c r="G24" s="581"/>
      <c r="H24" s="590"/>
      <c r="I24" s="610"/>
      <c r="J24" s="611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3"/>
    </row>
    <row r="25" spans="1:26" x14ac:dyDescent="0.3">
      <c r="A25" s="1038" t="s">
        <v>1306</v>
      </c>
      <c r="B25" s="1038"/>
      <c r="C25" s="1038"/>
      <c r="D25" s="1038"/>
      <c r="E25" s="1038"/>
      <c r="F25" s="1038"/>
      <c r="G25" s="581"/>
      <c r="H25" s="590">
        <v>65</v>
      </c>
      <c r="I25" s="627">
        <v>28252.799999999999</v>
      </c>
      <c r="J25" s="639">
        <v>24853.85</v>
      </c>
      <c r="K25" s="616">
        <v>248.21</v>
      </c>
      <c r="L25" s="616">
        <v>88.47</v>
      </c>
      <c r="M25" s="616">
        <v>110.59</v>
      </c>
      <c r="N25" s="616">
        <v>29.49</v>
      </c>
      <c r="O25" s="616">
        <v>652.76</v>
      </c>
      <c r="P25" s="616">
        <v>265.41000000000003</v>
      </c>
      <c r="Q25" s="616">
        <v>353.88</v>
      </c>
      <c r="R25" s="616">
        <f>1.82+603.89</f>
        <v>605.71</v>
      </c>
      <c r="S25" s="616">
        <v>265.41000000000003</v>
      </c>
      <c r="T25" s="616">
        <v>194.14</v>
      </c>
      <c r="U25" s="616">
        <v>88.47</v>
      </c>
      <c r="V25" s="616">
        <v>63.89</v>
      </c>
      <c r="W25" s="616">
        <v>255.58</v>
      </c>
      <c r="X25" s="616">
        <v>176.94</v>
      </c>
      <c r="Y25" s="616">
        <v>0</v>
      </c>
      <c r="Z25" s="592">
        <f>I25-SUM(J25:Y25)</f>
        <v>0</v>
      </c>
    </row>
    <row r="26" spans="1:26" x14ac:dyDescent="0.3">
      <c r="A26" s="585"/>
      <c r="B26" s="588"/>
      <c r="C26" s="588"/>
      <c r="D26" s="588"/>
      <c r="E26" s="588"/>
      <c r="F26" s="588"/>
      <c r="G26" s="581"/>
      <c r="H26" s="590"/>
      <c r="I26" s="617"/>
      <c r="J26" s="618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20"/>
    </row>
    <row r="27" spans="1:26" x14ac:dyDescent="0.3">
      <c r="A27" s="1039" t="s">
        <v>1307</v>
      </c>
      <c r="B27" s="1039"/>
      <c r="C27" s="1039"/>
      <c r="D27" s="1039"/>
      <c r="E27" s="1039"/>
      <c r="F27" s="1039"/>
      <c r="G27" s="621" t="s">
        <v>1288</v>
      </c>
      <c r="H27" s="590">
        <v>9902</v>
      </c>
      <c r="I27" s="701">
        <f t="shared" ref="I27:Z27" si="3">I21+I23-I25</f>
        <v>135058.28000000032</v>
      </c>
      <c r="J27" s="599">
        <f t="shared" si="3"/>
        <v>181671.5199999992</v>
      </c>
      <c r="K27" s="594">
        <f t="shared" si="3"/>
        <v>-12742.729999999992</v>
      </c>
      <c r="L27" s="594">
        <f t="shared" si="3"/>
        <v>-3257.850000000004</v>
      </c>
      <c r="M27" s="594">
        <f t="shared" si="3"/>
        <v>-6608.0800000000045</v>
      </c>
      <c r="N27" s="594">
        <f t="shared" si="3"/>
        <v>12527.449999999999</v>
      </c>
      <c r="O27" s="594">
        <f t="shared" si="3"/>
        <v>9583.4799999999977</v>
      </c>
      <c r="P27" s="594">
        <f t="shared" si="3"/>
        <v>-7965.0799999999945</v>
      </c>
      <c r="Q27" s="594">
        <f t="shared" si="3"/>
        <v>-20351.280000000006</v>
      </c>
      <c r="R27" s="594">
        <f t="shared" si="3"/>
        <v>16167.159999999974</v>
      </c>
      <c r="S27" s="594">
        <f t="shared" si="3"/>
        <v>-17892.069999999996</v>
      </c>
      <c r="T27" s="594">
        <f t="shared" si="3"/>
        <v>-4337.7500000000018</v>
      </c>
      <c r="U27" s="594">
        <f t="shared" si="3"/>
        <v>-2921.3900000000049</v>
      </c>
      <c r="V27" s="594">
        <f t="shared" si="3"/>
        <v>-2136.8900000000008</v>
      </c>
      <c r="W27" s="594">
        <f t="shared" si="3"/>
        <v>-4602.7199999999948</v>
      </c>
      <c r="X27" s="594">
        <f t="shared" si="3"/>
        <v>-2075.4900000000021</v>
      </c>
      <c r="Y27" s="594">
        <f t="shared" si="3"/>
        <v>0</v>
      </c>
      <c r="Z27" s="607">
        <f t="shared" si="3"/>
        <v>0</v>
      </c>
    </row>
    <row r="28" spans="1:26" x14ac:dyDescent="0.3">
      <c r="A28" s="580"/>
      <c r="G28" s="581"/>
      <c r="H28" s="590"/>
      <c r="I28" s="602"/>
      <c r="J28" s="600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4"/>
    </row>
    <row r="29" spans="1:26" x14ac:dyDescent="0.3">
      <c r="A29" s="1038" t="s">
        <v>1308</v>
      </c>
      <c r="B29" s="1038"/>
      <c r="C29" s="1038"/>
      <c r="D29" s="1038"/>
      <c r="E29" s="1038"/>
      <c r="F29" s="1038"/>
      <c r="G29" s="581"/>
      <c r="H29" s="590">
        <v>76</v>
      </c>
      <c r="I29" s="700">
        <v>1</v>
      </c>
      <c r="J29" s="637">
        <v>1</v>
      </c>
      <c r="K29" s="595">
        <v>0</v>
      </c>
      <c r="L29" s="595">
        <v>0</v>
      </c>
      <c r="M29" s="595"/>
      <c r="N29" s="595"/>
      <c r="O29" s="595">
        <v>0</v>
      </c>
      <c r="P29" s="595">
        <v>0</v>
      </c>
      <c r="Q29" s="595">
        <v>0</v>
      </c>
      <c r="R29" s="595">
        <v>0</v>
      </c>
      <c r="S29" s="595">
        <v>0</v>
      </c>
      <c r="T29" s="595">
        <v>0</v>
      </c>
      <c r="U29" s="595">
        <v>0</v>
      </c>
      <c r="V29" s="595">
        <v>0</v>
      </c>
      <c r="W29" s="595">
        <v>0</v>
      </c>
      <c r="X29" s="595">
        <v>0</v>
      </c>
      <c r="Y29" s="595">
        <v>0</v>
      </c>
      <c r="Z29" s="592">
        <f>I29-SUM(J29:Y29)</f>
        <v>0</v>
      </c>
    </row>
    <row r="30" spans="1:26" x14ac:dyDescent="0.3">
      <c r="A30" s="585"/>
      <c r="B30" s="588"/>
      <c r="C30" s="588"/>
      <c r="D30" s="588"/>
      <c r="E30" s="588"/>
      <c r="F30" s="588"/>
      <c r="G30" s="581"/>
      <c r="H30" s="590"/>
      <c r="I30" s="610"/>
      <c r="J30" s="611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3"/>
    </row>
    <row r="31" spans="1:26" x14ac:dyDescent="0.3">
      <c r="A31" s="1038" t="s">
        <v>1309</v>
      </c>
      <c r="B31" s="1038"/>
      <c r="C31" s="1038"/>
      <c r="D31" s="1038"/>
      <c r="E31" s="1038"/>
      <c r="F31" s="1038"/>
      <c r="G31" s="581"/>
      <c r="H31" s="590">
        <v>66</v>
      </c>
      <c r="I31" s="627">
        <v>0</v>
      </c>
      <c r="J31" s="639">
        <v>0</v>
      </c>
      <c r="K31" s="616">
        <v>0</v>
      </c>
      <c r="L31" s="616">
        <v>0</v>
      </c>
      <c r="M31" s="616"/>
      <c r="N31" s="616"/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0</v>
      </c>
      <c r="W31" s="616">
        <v>0</v>
      </c>
      <c r="X31" s="616">
        <v>0</v>
      </c>
      <c r="Y31" s="616">
        <v>0</v>
      </c>
      <c r="Z31" s="592">
        <f>I31-SUM(J31:Y31)</f>
        <v>0</v>
      </c>
    </row>
    <row r="32" spans="1:26" x14ac:dyDescent="0.3">
      <c r="A32" s="580"/>
      <c r="G32" s="581"/>
      <c r="H32" s="590"/>
      <c r="I32" s="602"/>
      <c r="J32" s="600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4"/>
    </row>
    <row r="33" spans="1:26" s="608" customFormat="1" x14ac:dyDescent="0.3">
      <c r="A33" s="1040" t="s">
        <v>1310</v>
      </c>
      <c r="B33" s="1040"/>
      <c r="C33" s="1040"/>
      <c r="D33" s="1040"/>
      <c r="E33" s="1040"/>
      <c r="F33" s="1040"/>
      <c r="G33" s="622" t="s">
        <v>1288</v>
      </c>
      <c r="H33" s="606">
        <v>9904</v>
      </c>
      <c r="I33" s="701">
        <f t="shared" ref="I33:Z33" si="4">I27+I29-I31</f>
        <v>135059.28000000032</v>
      </c>
      <c r="J33" s="599">
        <f t="shared" si="4"/>
        <v>181672.5199999992</v>
      </c>
      <c r="K33" s="594">
        <f t="shared" si="4"/>
        <v>-12742.729999999992</v>
      </c>
      <c r="L33" s="594">
        <f t="shared" si="4"/>
        <v>-3257.850000000004</v>
      </c>
      <c r="M33" s="594">
        <f t="shared" si="4"/>
        <v>-6608.0800000000045</v>
      </c>
      <c r="N33" s="594">
        <f t="shared" si="4"/>
        <v>12527.449999999999</v>
      </c>
      <c r="O33" s="594">
        <f t="shared" si="4"/>
        <v>9583.4799999999977</v>
      </c>
      <c r="P33" s="594">
        <f t="shared" si="4"/>
        <v>-7965.0799999999945</v>
      </c>
      <c r="Q33" s="594">
        <f t="shared" si="4"/>
        <v>-20351.280000000006</v>
      </c>
      <c r="R33" s="594">
        <f t="shared" si="4"/>
        <v>16167.159999999974</v>
      </c>
      <c r="S33" s="594">
        <f t="shared" si="4"/>
        <v>-17892.069999999996</v>
      </c>
      <c r="T33" s="594">
        <f t="shared" si="4"/>
        <v>-4337.7500000000018</v>
      </c>
      <c r="U33" s="594">
        <f t="shared" si="4"/>
        <v>-2921.3900000000049</v>
      </c>
      <c r="V33" s="594">
        <f t="shared" si="4"/>
        <v>-2136.8900000000008</v>
      </c>
      <c r="W33" s="594">
        <f t="shared" si="4"/>
        <v>-4602.7199999999948</v>
      </c>
      <c r="X33" s="594">
        <f t="shared" si="4"/>
        <v>-2075.4900000000021</v>
      </c>
      <c r="Y33" s="594">
        <f t="shared" si="4"/>
        <v>0</v>
      </c>
      <c r="Z33" s="607">
        <f t="shared" si="4"/>
        <v>0</v>
      </c>
    </row>
    <row r="34" spans="1:26" ht="8.25" customHeight="1" thickBot="1" x14ac:dyDescent="0.35">
      <c r="A34" s="623"/>
      <c r="B34" s="624"/>
      <c r="C34" s="624"/>
      <c r="D34" s="624"/>
      <c r="E34" s="624"/>
      <c r="F34" s="624"/>
      <c r="G34" s="625"/>
      <c r="H34" s="626"/>
      <c r="I34" s="627"/>
      <c r="J34" s="628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9"/>
    </row>
    <row r="35" spans="1:26" x14ac:dyDescent="0.3">
      <c r="Z35" s="592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Z21 I27:Z27 I33:Z33">
    <cfRule type="cellIs" dxfId="17" priority="89" stopIfTrue="1" operator="lessThan">
      <formula>0</formula>
    </cfRule>
  </conditionalFormatting>
  <conditionalFormatting sqref="I21:Z21 I27:Z27 I33:Z33">
    <cfRule type="cellIs" dxfId="16" priority="86" stopIfTrue="1" operator="greaterThanOrEqual">
      <formula>0</formula>
    </cfRule>
  </conditionalFormatting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workbookViewId="0"/>
  </sheetViews>
  <sheetFormatPr defaultRowHeight="14.4" x14ac:dyDescent="0.3"/>
  <cols>
    <col min="1" max="1" width="27.44140625" customWidth="1"/>
    <col min="2" max="2" width="59.109375" customWidth="1"/>
    <col min="3" max="4" width="22.6640625" customWidth="1"/>
    <col min="5" max="5" width="11.6640625" bestFit="1" customWidth="1"/>
    <col min="6" max="6" width="10.109375" bestFit="1" customWidth="1"/>
    <col min="7" max="256" width="8.88671875" customWidth="1"/>
    <col min="257" max="257" width="27.44140625" customWidth="1"/>
    <col min="258" max="258" width="59.109375" customWidth="1"/>
    <col min="259" max="260" width="22.6640625" customWidth="1"/>
    <col min="261" max="261" width="11.6640625" bestFit="1" customWidth="1"/>
    <col min="262" max="262" width="10.109375" bestFit="1" customWidth="1"/>
    <col min="263" max="512" width="8.88671875" customWidth="1"/>
    <col min="513" max="513" width="27.44140625" customWidth="1"/>
    <col min="514" max="514" width="59.109375" customWidth="1"/>
    <col min="515" max="516" width="22.6640625" customWidth="1"/>
    <col min="517" max="517" width="11.6640625" bestFit="1" customWidth="1"/>
    <col min="518" max="518" width="10.109375" bestFit="1" customWidth="1"/>
    <col min="519" max="768" width="8.88671875" customWidth="1"/>
    <col min="769" max="769" width="27.44140625" customWidth="1"/>
    <col min="770" max="770" width="59.109375" customWidth="1"/>
    <col min="771" max="772" width="22.6640625" customWidth="1"/>
    <col min="773" max="773" width="11.6640625" bestFit="1" customWidth="1"/>
    <col min="774" max="774" width="10.109375" bestFit="1" customWidth="1"/>
    <col min="775" max="1024" width="8.88671875" customWidth="1"/>
    <col min="1025" max="1025" width="27.44140625" customWidth="1"/>
    <col min="1026" max="1026" width="59.109375" customWidth="1"/>
    <col min="1027" max="1028" width="22.6640625" customWidth="1"/>
    <col min="1029" max="1029" width="11.6640625" bestFit="1" customWidth="1"/>
    <col min="1030" max="1030" width="10.109375" bestFit="1" customWidth="1"/>
    <col min="1031" max="1280" width="8.88671875" customWidth="1"/>
    <col min="1281" max="1281" width="27.44140625" customWidth="1"/>
    <col min="1282" max="1282" width="59.109375" customWidth="1"/>
    <col min="1283" max="1284" width="22.6640625" customWidth="1"/>
    <col min="1285" max="1285" width="11.6640625" bestFit="1" customWidth="1"/>
    <col min="1286" max="1286" width="10.109375" bestFit="1" customWidth="1"/>
    <col min="1287" max="1536" width="8.88671875" customWidth="1"/>
    <col min="1537" max="1537" width="27.44140625" customWidth="1"/>
    <col min="1538" max="1538" width="59.109375" customWidth="1"/>
    <col min="1539" max="1540" width="22.6640625" customWidth="1"/>
    <col min="1541" max="1541" width="11.6640625" bestFit="1" customWidth="1"/>
    <col min="1542" max="1542" width="10.109375" bestFit="1" customWidth="1"/>
    <col min="1543" max="1792" width="8.88671875" customWidth="1"/>
    <col min="1793" max="1793" width="27.44140625" customWidth="1"/>
    <col min="1794" max="1794" width="59.109375" customWidth="1"/>
    <col min="1795" max="1796" width="22.6640625" customWidth="1"/>
    <col min="1797" max="1797" width="11.6640625" bestFit="1" customWidth="1"/>
    <col min="1798" max="1798" width="10.109375" bestFit="1" customWidth="1"/>
    <col min="1799" max="2048" width="8.88671875" customWidth="1"/>
    <col min="2049" max="2049" width="27.44140625" customWidth="1"/>
    <col min="2050" max="2050" width="59.109375" customWidth="1"/>
    <col min="2051" max="2052" width="22.6640625" customWidth="1"/>
    <col min="2053" max="2053" width="11.6640625" bestFit="1" customWidth="1"/>
    <col min="2054" max="2054" width="10.109375" bestFit="1" customWidth="1"/>
    <col min="2055" max="2304" width="8.88671875" customWidth="1"/>
    <col min="2305" max="2305" width="27.44140625" customWidth="1"/>
    <col min="2306" max="2306" width="59.109375" customWidth="1"/>
    <col min="2307" max="2308" width="22.6640625" customWidth="1"/>
    <col min="2309" max="2309" width="11.6640625" bestFit="1" customWidth="1"/>
    <col min="2310" max="2310" width="10.109375" bestFit="1" customWidth="1"/>
    <col min="2311" max="2560" width="8.88671875" customWidth="1"/>
    <col min="2561" max="2561" width="27.44140625" customWidth="1"/>
    <col min="2562" max="2562" width="59.109375" customWidth="1"/>
    <col min="2563" max="2564" width="22.6640625" customWidth="1"/>
    <col min="2565" max="2565" width="11.6640625" bestFit="1" customWidth="1"/>
    <col min="2566" max="2566" width="10.109375" bestFit="1" customWidth="1"/>
    <col min="2567" max="2816" width="8.88671875" customWidth="1"/>
    <col min="2817" max="2817" width="27.44140625" customWidth="1"/>
    <col min="2818" max="2818" width="59.109375" customWidth="1"/>
    <col min="2819" max="2820" width="22.6640625" customWidth="1"/>
    <col min="2821" max="2821" width="11.6640625" bestFit="1" customWidth="1"/>
    <col min="2822" max="2822" width="10.109375" bestFit="1" customWidth="1"/>
    <col min="2823" max="3072" width="8.88671875" customWidth="1"/>
    <col min="3073" max="3073" width="27.44140625" customWidth="1"/>
    <col min="3074" max="3074" width="59.109375" customWidth="1"/>
    <col min="3075" max="3076" width="22.6640625" customWidth="1"/>
    <col min="3077" max="3077" width="11.6640625" bestFit="1" customWidth="1"/>
    <col min="3078" max="3078" width="10.109375" bestFit="1" customWidth="1"/>
    <col min="3079" max="3328" width="8.88671875" customWidth="1"/>
    <col min="3329" max="3329" width="27.44140625" customWidth="1"/>
    <col min="3330" max="3330" width="59.109375" customWidth="1"/>
    <col min="3331" max="3332" width="22.6640625" customWidth="1"/>
    <col min="3333" max="3333" width="11.6640625" bestFit="1" customWidth="1"/>
    <col min="3334" max="3334" width="10.109375" bestFit="1" customWidth="1"/>
    <col min="3335" max="3584" width="8.88671875" customWidth="1"/>
    <col min="3585" max="3585" width="27.44140625" customWidth="1"/>
    <col min="3586" max="3586" width="59.109375" customWidth="1"/>
    <col min="3587" max="3588" width="22.6640625" customWidth="1"/>
    <col min="3589" max="3589" width="11.6640625" bestFit="1" customWidth="1"/>
    <col min="3590" max="3590" width="10.109375" bestFit="1" customWidth="1"/>
    <col min="3591" max="3840" width="8.88671875" customWidth="1"/>
    <col min="3841" max="3841" width="27.44140625" customWidth="1"/>
    <col min="3842" max="3842" width="59.109375" customWidth="1"/>
    <col min="3843" max="3844" width="22.6640625" customWidth="1"/>
    <col min="3845" max="3845" width="11.6640625" bestFit="1" customWidth="1"/>
    <col min="3846" max="3846" width="10.109375" bestFit="1" customWidth="1"/>
    <col min="3847" max="4096" width="8.88671875" customWidth="1"/>
    <col min="4097" max="4097" width="27.44140625" customWidth="1"/>
    <col min="4098" max="4098" width="59.109375" customWidth="1"/>
    <col min="4099" max="4100" width="22.6640625" customWidth="1"/>
    <col min="4101" max="4101" width="11.6640625" bestFit="1" customWidth="1"/>
    <col min="4102" max="4102" width="10.109375" bestFit="1" customWidth="1"/>
    <col min="4103" max="4352" width="8.88671875" customWidth="1"/>
    <col min="4353" max="4353" width="27.44140625" customWidth="1"/>
    <col min="4354" max="4354" width="59.109375" customWidth="1"/>
    <col min="4355" max="4356" width="22.6640625" customWidth="1"/>
    <col min="4357" max="4357" width="11.6640625" bestFit="1" customWidth="1"/>
    <col min="4358" max="4358" width="10.109375" bestFit="1" customWidth="1"/>
    <col min="4359" max="4608" width="8.88671875" customWidth="1"/>
    <col min="4609" max="4609" width="27.44140625" customWidth="1"/>
    <col min="4610" max="4610" width="59.109375" customWidth="1"/>
    <col min="4611" max="4612" width="22.6640625" customWidth="1"/>
    <col min="4613" max="4613" width="11.6640625" bestFit="1" customWidth="1"/>
    <col min="4614" max="4614" width="10.109375" bestFit="1" customWidth="1"/>
    <col min="4615" max="4864" width="8.88671875" customWidth="1"/>
    <col min="4865" max="4865" width="27.44140625" customWidth="1"/>
    <col min="4866" max="4866" width="59.109375" customWidth="1"/>
    <col min="4867" max="4868" width="22.6640625" customWidth="1"/>
    <col min="4869" max="4869" width="11.6640625" bestFit="1" customWidth="1"/>
    <col min="4870" max="4870" width="10.109375" bestFit="1" customWidth="1"/>
    <col min="4871" max="5120" width="8.88671875" customWidth="1"/>
    <col min="5121" max="5121" width="27.44140625" customWidth="1"/>
    <col min="5122" max="5122" width="59.109375" customWidth="1"/>
    <col min="5123" max="5124" width="22.6640625" customWidth="1"/>
    <col min="5125" max="5125" width="11.6640625" bestFit="1" customWidth="1"/>
    <col min="5126" max="5126" width="10.109375" bestFit="1" customWidth="1"/>
    <col min="5127" max="5376" width="8.88671875" customWidth="1"/>
    <col min="5377" max="5377" width="27.44140625" customWidth="1"/>
    <col min="5378" max="5378" width="59.109375" customWidth="1"/>
    <col min="5379" max="5380" width="22.6640625" customWidth="1"/>
    <col min="5381" max="5381" width="11.6640625" bestFit="1" customWidth="1"/>
    <col min="5382" max="5382" width="10.109375" bestFit="1" customWidth="1"/>
    <col min="5383" max="5632" width="8.88671875" customWidth="1"/>
    <col min="5633" max="5633" width="27.44140625" customWidth="1"/>
    <col min="5634" max="5634" width="59.109375" customWidth="1"/>
    <col min="5635" max="5636" width="22.6640625" customWidth="1"/>
    <col min="5637" max="5637" width="11.6640625" bestFit="1" customWidth="1"/>
    <col min="5638" max="5638" width="10.109375" bestFit="1" customWidth="1"/>
    <col min="5639" max="5888" width="8.88671875" customWidth="1"/>
    <col min="5889" max="5889" width="27.44140625" customWidth="1"/>
    <col min="5890" max="5890" width="59.109375" customWidth="1"/>
    <col min="5891" max="5892" width="22.6640625" customWidth="1"/>
    <col min="5893" max="5893" width="11.6640625" bestFit="1" customWidth="1"/>
    <col min="5894" max="5894" width="10.109375" bestFit="1" customWidth="1"/>
    <col min="5895" max="6144" width="8.88671875" customWidth="1"/>
    <col min="6145" max="6145" width="27.44140625" customWidth="1"/>
    <col min="6146" max="6146" width="59.109375" customWidth="1"/>
    <col min="6147" max="6148" width="22.6640625" customWidth="1"/>
    <col min="6149" max="6149" width="11.6640625" bestFit="1" customWidth="1"/>
    <col min="6150" max="6150" width="10.109375" bestFit="1" customWidth="1"/>
    <col min="6151" max="6400" width="8.88671875" customWidth="1"/>
    <col min="6401" max="6401" width="27.44140625" customWidth="1"/>
    <col min="6402" max="6402" width="59.109375" customWidth="1"/>
    <col min="6403" max="6404" width="22.6640625" customWidth="1"/>
    <col min="6405" max="6405" width="11.6640625" bestFit="1" customWidth="1"/>
    <col min="6406" max="6406" width="10.109375" bestFit="1" customWidth="1"/>
    <col min="6407" max="6656" width="8.88671875" customWidth="1"/>
    <col min="6657" max="6657" width="27.44140625" customWidth="1"/>
    <col min="6658" max="6658" width="59.109375" customWidth="1"/>
    <col min="6659" max="6660" width="22.6640625" customWidth="1"/>
    <col min="6661" max="6661" width="11.6640625" bestFit="1" customWidth="1"/>
    <col min="6662" max="6662" width="10.109375" bestFit="1" customWidth="1"/>
    <col min="6663" max="6912" width="8.88671875" customWidth="1"/>
    <col min="6913" max="6913" width="27.44140625" customWidth="1"/>
    <col min="6914" max="6914" width="59.109375" customWidth="1"/>
    <col min="6915" max="6916" width="22.6640625" customWidth="1"/>
    <col min="6917" max="6917" width="11.6640625" bestFit="1" customWidth="1"/>
    <col min="6918" max="6918" width="10.109375" bestFit="1" customWidth="1"/>
    <col min="6919" max="7168" width="8.88671875" customWidth="1"/>
    <col min="7169" max="7169" width="27.44140625" customWidth="1"/>
    <col min="7170" max="7170" width="59.109375" customWidth="1"/>
    <col min="7171" max="7172" width="22.6640625" customWidth="1"/>
    <col min="7173" max="7173" width="11.6640625" bestFit="1" customWidth="1"/>
    <col min="7174" max="7174" width="10.109375" bestFit="1" customWidth="1"/>
    <col min="7175" max="7424" width="8.88671875" customWidth="1"/>
    <col min="7425" max="7425" width="27.44140625" customWidth="1"/>
    <col min="7426" max="7426" width="59.109375" customWidth="1"/>
    <col min="7427" max="7428" width="22.6640625" customWidth="1"/>
    <col min="7429" max="7429" width="11.6640625" bestFit="1" customWidth="1"/>
    <col min="7430" max="7430" width="10.109375" bestFit="1" customWidth="1"/>
    <col min="7431" max="7680" width="8.88671875" customWidth="1"/>
    <col min="7681" max="7681" width="27.44140625" customWidth="1"/>
    <col min="7682" max="7682" width="59.109375" customWidth="1"/>
    <col min="7683" max="7684" width="22.6640625" customWidth="1"/>
    <col min="7685" max="7685" width="11.6640625" bestFit="1" customWidth="1"/>
    <col min="7686" max="7686" width="10.109375" bestFit="1" customWidth="1"/>
    <col min="7687" max="7936" width="8.88671875" customWidth="1"/>
    <col min="7937" max="7937" width="27.44140625" customWidth="1"/>
    <col min="7938" max="7938" width="59.109375" customWidth="1"/>
    <col min="7939" max="7940" width="22.6640625" customWidth="1"/>
    <col min="7941" max="7941" width="11.6640625" bestFit="1" customWidth="1"/>
    <col min="7942" max="7942" width="10.109375" bestFit="1" customWidth="1"/>
    <col min="7943" max="8192" width="8.88671875" customWidth="1"/>
    <col min="8193" max="8193" width="27.44140625" customWidth="1"/>
    <col min="8194" max="8194" width="59.109375" customWidth="1"/>
    <col min="8195" max="8196" width="22.6640625" customWidth="1"/>
    <col min="8197" max="8197" width="11.6640625" bestFit="1" customWidth="1"/>
    <col min="8198" max="8198" width="10.109375" bestFit="1" customWidth="1"/>
    <col min="8199" max="8448" width="8.88671875" customWidth="1"/>
    <col min="8449" max="8449" width="27.44140625" customWidth="1"/>
    <col min="8450" max="8450" width="59.109375" customWidth="1"/>
    <col min="8451" max="8452" width="22.6640625" customWidth="1"/>
    <col min="8453" max="8453" width="11.6640625" bestFit="1" customWidth="1"/>
    <col min="8454" max="8454" width="10.109375" bestFit="1" customWidth="1"/>
    <col min="8455" max="8704" width="8.88671875" customWidth="1"/>
    <col min="8705" max="8705" width="27.44140625" customWidth="1"/>
    <col min="8706" max="8706" width="59.109375" customWidth="1"/>
    <col min="8707" max="8708" width="22.6640625" customWidth="1"/>
    <col min="8709" max="8709" width="11.6640625" bestFit="1" customWidth="1"/>
    <col min="8710" max="8710" width="10.109375" bestFit="1" customWidth="1"/>
    <col min="8711" max="8960" width="8.88671875" customWidth="1"/>
    <col min="8961" max="8961" width="27.44140625" customWidth="1"/>
    <col min="8962" max="8962" width="59.109375" customWidth="1"/>
    <col min="8963" max="8964" width="22.6640625" customWidth="1"/>
    <col min="8965" max="8965" width="11.6640625" bestFit="1" customWidth="1"/>
    <col min="8966" max="8966" width="10.109375" bestFit="1" customWidth="1"/>
    <col min="8967" max="9216" width="8.88671875" customWidth="1"/>
    <col min="9217" max="9217" width="27.44140625" customWidth="1"/>
    <col min="9218" max="9218" width="59.109375" customWidth="1"/>
    <col min="9219" max="9220" width="22.6640625" customWidth="1"/>
    <col min="9221" max="9221" width="11.6640625" bestFit="1" customWidth="1"/>
    <col min="9222" max="9222" width="10.109375" bestFit="1" customWidth="1"/>
    <col min="9223" max="9472" width="8.88671875" customWidth="1"/>
    <col min="9473" max="9473" width="27.44140625" customWidth="1"/>
    <col min="9474" max="9474" width="59.109375" customWidth="1"/>
    <col min="9475" max="9476" width="22.6640625" customWidth="1"/>
    <col min="9477" max="9477" width="11.6640625" bestFit="1" customWidth="1"/>
    <col min="9478" max="9478" width="10.109375" bestFit="1" customWidth="1"/>
    <col min="9479" max="9728" width="8.88671875" customWidth="1"/>
    <col min="9729" max="9729" width="27.44140625" customWidth="1"/>
    <col min="9730" max="9730" width="59.109375" customWidth="1"/>
    <col min="9731" max="9732" width="22.6640625" customWidth="1"/>
    <col min="9733" max="9733" width="11.6640625" bestFit="1" customWidth="1"/>
    <col min="9734" max="9734" width="10.109375" bestFit="1" customWidth="1"/>
    <col min="9735" max="9984" width="8.88671875" customWidth="1"/>
    <col min="9985" max="9985" width="27.44140625" customWidth="1"/>
    <col min="9986" max="9986" width="59.109375" customWidth="1"/>
    <col min="9987" max="9988" width="22.6640625" customWidth="1"/>
    <col min="9989" max="9989" width="11.6640625" bestFit="1" customWidth="1"/>
    <col min="9990" max="9990" width="10.109375" bestFit="1" customWidth="1"/>
    <col min="9991" max="10240" width="8.88671875" customWidth="1"/>
    <col min="10241" max="10241" width="27.44140625" customWidth="1"/>
    <col min="10242" max="10242" width="59.109375" customWidth="1"/>
    <col min="10243" max="10244" width="22.6640625" customWidth="1"/>
    <col min="10245" max="10245" width="11.6640625" bestFit="1" customWidth="1"/>
    <col min="10246" max="10246" width="10.109375" bestFit="1" customWidth="1"/>
    <col min="10247" max="10496" width="8.88671875" customWidth="1"/>
    <col min="10497" max="10497" width="27.44140625" customWidth="1"/>
    <col min="10498" max="10498" width="59.109375" customWidth="1"/>
    <col min="10499" max="10500" width="22.6640625" customWidth="1"/>
    <col min="10501" max="10501" width="11.6640625" bestFit="1" customWidth="1"/>
    <col min="10502" max="10502" width="10.109375" bestFit="1" customWidth="1"/>
    <col min="10503" max="10752" width="8.88671875" customWidth="1"/>
    <col min="10753" max="10753" width="27.44140625" customWidth="1"/>
    <col min="10754" max="10754" width="59.109375" customWidth="1"/>
    <col min="10755" max="10756" width="22.6640625" customWidth="1"/>
    <col min="10757" max="10757" width="11.6640625" bestFit="1" customWidth="1"/>
    <col min="10758" max="10758" width="10.109375" bestFit="1" customWidth="1"/>
    <col min="10759" max="11008" width="8.88671875" customWidth="1"/>
    <col min="11009" max="11009" width="27.44140625" customWidth="1"/>
    <col min="11010" max="11010" width="59.109375" customWidth="1"/>
    <col min="11011" max="11012" width="22.6640625" customWidth="1"/>
    <col min="11013" max="11013" width="11.6640625" bestFit="1" customWidth="1"/>
    <col min="11014" max="11014" width="10.109375" bestFit="1" customWidth="1"/>
    <col min="11015" max="11264" width="8.88671875" customWidth="1"/>
    <col min="11265" max="11265" width="27.44140625" customWidth="1"/>
    <col min="11266" max="11266" width="59.109375" customWidth="1"/>
    <col min="11267" max="11268" width="22.6640625" customWidth="1"/>
    <col min="11269" max="11269" width="11.6640625" bestFit="1" customWidth="1"/>
    <col min="11270" max="11270" width="10.109375" bestFit="1" customWidth="1"/>
    <col min="11271" max="11520" width="8.88671875" customWidth="1"/>
    <col min="11521" max="11521" width="27.44140625" customWidth="1"/>
    <col min="11522" max="11522" width="59.109375" customWidth="1"/>
    <col min="11523" max="11524" width="22.6640625" customWidth="1"/>
    <col min="11525" max="11525" width="11.6640625" bestFit="1" customWidth="1"/>
    <col min="11526" max="11526" width="10.109375" bestFit="1" customWidth="1"/>
    <col min="11527" max="11776" width="8.88671875" customWidth="1"/>
    <col min="11777" max="11777" width="27.44140625" customWidth="1"/>
    <col min="11778" max="11778" width="59.109375" customWidth="1"/>
    <col min="11779" max="11780" width="22.6640625" customWidth="1"/>
    <col min="11781" max="11781" width="11.6640625" bestFit="1" customWidth="1"/>
    <col min="11782" max="11782" width="10.109375" bestFit="1" customWidth="1"/>
    <col min="11783" max="12032" width="8.88671875" customWidth="1"/>
    <col min="12033" max="12033" width="27.44140625" customWidth="1"/>
    <col min="12034" max="12034" width="59.109375" customWidth="1"/>
    <col min="12035" max="12036" width="22.6640625" customWidth="1"/>
    <col min="12037" max="12037" width="11.6640625" bestFit="1" customWidth="1"/>
    <col min="12038" max="12038" width="10.109375" bestFit="1" customWidth="1"/>
    <col min="12039" max="12288" width="8.88671875" customWidth="1"/>
    <col min="12289" max="12289" width="27.44140625" customWidth="1"/>
    <col min="12290" max="12290" width="59.109375" customWidth="1"/>
    <col min="12291" max="12292" width="22.6640625" customWidth="1"/>
    <col min="12293" max="12293" width="11.6640625" bestFit="1" customWidth="1"/>
    <col min="12294" max="12294" width="10.109375" bestFit="1" customWidth="1"/>
    <col min="12295" max="12544" width="8.88671875" customWidth="1"/>
    <col min="12545" max="12545" width="27.44140625" customWidth="1"/>
    <col min="12546" max="12546" width="59.109375" customWidth="1"/>
    <col min="12547" max="12548" width="22.6640625" customWidth="1"/>
    <col min="12549" max="12549" width="11.6640625" bestFit="1" customWidth="1"/>
    <col min="12550" max="12550" width="10.109375" bestFit="1" customWidth="1"/>
    <col min="12551" max="12800" width="8.88671875" customWidth="1"/>
    <col min="12801" max="12801" width="27.44140625" customWidth="1"/>
    <col min="12802" max="12802" width="59.109375" customWidth="1"/>
    <col min="12803" max="12804" width="22.6640625" customWidth="1"/>
    <col min="12805" max="12805" width="11.6640625" bestFit="1" customWidth="1"/>
    <col min="12806" max="12806" width="10.109375" bestFit="1" customWidth="1"/>
    <col min="12807" max="13056" width="8.88671875" customWidth="1"/>
    <col min="13057" max="13057" width="27.44140625" customWidth="1"/>
    <col min="13058" max="13058" width="59.109375" customWidth="1"/>
    <col min="13059" max="13060" width="22.6640625" customWidth="1"/>
    <col min="13061" max="13061" width="11.6640625" bestFit="1" customWidth="1"/>
    <col min="13062" max="13062" width="10.109375" bestFit="1" customWidth="1"/>
    <col min="13063" max="13312" width="8.88671875" customWidth="1"/>
    <col min="13313" max="13313" width="27.44140625" customWidth="1"/>
    <col min="13314" max="13314" width="59.109375" customWidth="1"/>
    <col min="13315" max="13316" width="22.6640625" customWidth="1"/>
    <col min="13317" max="13317" width="11.6640625" bestFit="1" customWidth="1"/>
    <col min="13318" max="13318" width="10.109375" bestFit="1" customWidth="1"/>
    <col min="13319" max="13568" width="8.88671875" customWidth="1"/>
    <col min="13569" max="13569" width="27.44140625" customWidth="1"/>
    <col min="13570" max="13570" width="59.109375" customWidth="1"/>
    <col min="13571" max="13572" width="22.6640625" customWidth="1"/>
    <col min="13573" max="13573" width="11.6640625" bestFit="1" customWidth="1"/>
    <col min="13574" max="13574" width="10.109375" bestFit="1" customWidth="1"/>
    <col min="13575" max="13824" width="8.88671875" customWidth="1"/>
    <col min="13825" max="13825" width="27.44140625" customWidth="1"/>
    <col min="13826" max="13826" width="59.109375" customWidth="1"/>
    <col min="13827" max="13828" width="22.6640625" customWidth="1"/>
    <col min="13829" max="13829" width="11.6640625" bestFit="1" customWidth="1"/>
    <col min="13830" max="13830" width="10.109375" bestFit="1" customWidth="1"/>
    <col min="13831" max="14080" width="8.88671875" customWidth="1"/>
    <col min="14081" max="14081" width="27.44140625" customWidth="1"/>
    <col min="14082" max="14082" width="59.109375" customWidth="1"/>
    <col min="14083" max="14084" width="22.6640625" customWidth="1"/>
    <col min="14085" max="14085" width="11.6640625" bestFit="1" customWidth="1"/>
    <col min="14086" max="14086" width="10.109375" bestFit="1" customWidth="1"/>
    <col min="14087" max="14336" width="8.88671875" customWidth="1"/>
    <col min="14337" max="14337" width="27.44140625" customWidth="1"/>
    <col min="14338" max="14338" width="59.109375" customWidth="1"/>
    <col min="14339" max="14340" width="22.6640625" customWidth="1"/>
    <col min="14341" max="14341" width="11.6640625" bestFit="1" customWidth="1"/>
    <col min="14342" max="14342" width="10.109375" bestFit="1" customWidth="1"/>
    <col min="14343" max="14592" width="8.88671875" customWidth="1"/>
    <col min="14593" max="14593" width="27.44140625" customWidth="1"/>
    <col min="14594" max="14594" width="59.109375" customWidth="1"/>
    <col min="14595" max="14596" width="22.6640625" customWidth="1"/>
    <col min="14597" max="14597" width="11.6640625" bestFit="1" customWidth="1"/>
    <col min="14598" max="14598" width="10.109375" bestFit="1" customWidth="1"/>
    <col min="14599" max="14848" width="8.88671875" customWidth="1"/>
    <col min="14849" max="14849" width="27.44140625" customWidth="1"/>
    <col min="14850" max="14850" width="59.109375" customWidth="1"/>
    <col min="14851" max="14852" width="22.6640625" customWidth="1"/>
    <col min="14853" max="14853" width="11.6640625" bestFit="1" customWidth="1"/>
    <col min="14854" max="14854" width="10.109375" bestFit="1" customWidth="1"/>
    <col min="14855" max="15104" width="8.88671875" customWidth="1"/>
    <col min="15105" max="15105" width="27.44140625" customWidth="1"/>
    <col min="15106" max="15106" width="59.109375" customWidth="1"/>
    <col min="15107" max="15108" width="22.6640625" customWidth="1"/>
    <col min="15109" max="15109" width="11.6640625" bestFit="1" customWidth="1"/>
    <col min="15110" max="15110" width="10.109375" bestFit="1" customWidth="1"/>
    <col min="15111" max="15360" width="8.88671875" customWidth="1"/>
    <col min="15361" max="15361" width="27.44140625" customWidth="1"/>
    <col min="15362" max="15362" width="59.109375" customWidth="1"/>
    <col min="15363" max="15364" width="22.6640625" customWidth="1"/>
    <col min="15365" max="15365" width="11.6640625" bestFit="1" customWidth="1"/>
    <col min="15366" max="15366" width="10.109375" bestFit="1" customWidth="1"/>
    <col min="15367" max="15616" width="8.88671875" customWidth="1"/>
    <col min="15617" max="15617" width="27.44140625" customWidth="1"/>
    <col min="15618" max="15618" width="59.109375" customWidth="1"/>
    <col min="15619" max="15620" width="22.6640625" customWidth="1"/>
    <col min="15621" max="15621" width="11.6640625" bestFit="1" customWidth="1"/>
    <col min="15622" max="15622" width="10.109375" bestFit="1" customWidth="1"/>
    <col min="15623" max="15872" width="8.88671875" customWidth="1"/>
    <col min="15873" max="15873" width="27.44140625" customWidth="1"/>
    <col min="15874" max="15874" width="59.109375" customWidth="1"/>
    <col min="15875" max="15876" width="22.6640625" customWidth="1"/>
    <col min="15877" max="15877" width="11.6640625" bestFit="1" customWidth="1"/>
    <col min="15878" max="15878" width="10.109375" bestFit="1" customWidth="1"/>
    <col min="15879" max="16128" width="8.88671875" customWidth="1"/>
    <col min="16129" max="16129" width="27.44140625" customWidth="1"/>
    <col min="16130" max="16130" width="59.109375" customWidth="1"/>
    <col min="16131" max="16132" width="22.6640625" customWidth="1"/>
    <col min="16133" max="16133" width="11.6640625" bestFit="1" customWidth="1"/>
    <col min="16134" max="16134" width="10.109375" bestFit="1" customWidth="1"/>
    <col min="16135" max="16384" width="8.88671875" customWidth="1"/>
  </cols>
  <sheetData>
    <row r="1" spans="1:6" ht="15.6" x14ac:dyDescent="0.3">
      <c r="A1" s="48" t="s">
        <v>329</v>
      </c>
    </row>
    <row r="2" spans="1:6" ht="23.25" customHeight="1" x14ac:dyDescent="0.3">
      <c r="A2" s="49" t="s">
        <v>330</v>
      </c>
      <c r="B2" s="49"/>
    </row>
    <row r="3" spans="1:6" ht="15" thickBot="1" x14ac:dyDescent="0.35"/>
    <row r="4" spans="1:6" ht="15" thickBot="1" x14ac:dyDescent="0.35">
      <c r="A4" s="50">
        <v>73</v>
      </c>
      <c r="B4" s="1012" t="s">
        <v>331</v>
      </c>
      <c r="C4" s="1012"/>
      <c r="D4" s="51">
        <f>SUM(D5:D13)</f>
        <v>4754983.709999999</v>
      </c>
    </row>
    <row r="5" spans="1:6" x14ac:dyDescent="0.3">
      <c r="A5" s="52" t="s">
        <v>332</v>
      </c>
      <c r="B5" s="1013" t="s">
        <v>333</v>
      </c>
      <c r="C5" s="1013"/>
      <c r="D5" s="53">
        <v>0</v>
      </c>
    </row>
    <row r="6" spans="1:6" x14ac:dyDescent="0.3">
      <c r="A6" s="52" t="s">
        <v>334</v>
      </c>
      <c r="B6" s="1014" t="s">
        <v>335</v>
      </c>
      <c r="C6" s="1014"/>
      <c r="D6" s="53">
        <f>5332.65+1090</f>
        <v>6422.65</v>
      </c>
    </row>
    <row r="7" spans="1:6" ht="15" thickBot="1" x14ac:dyDescent="0.35">
      <c r="A7" s="54" t="s">
        <v>336</v>
      </c>
      <c r="B7" s="1015" t="s">
        <v>337</v>
      </c>
      <c r="C7" s="1015"/>
      <c r="D7" s="55">
        <v>0</v>
      </c>
    </row>
    <row r="8" spans="1:6" ht="12" customHeight="1" thickBot="1" x14ac:dyDescent="0.35">
      <c r="A8" s="56">
        <v>736</v>
      </c>
      <c r="B8" s="57" t="s">
        <v>11</v>
      </c>
      <c r="C8" s="58"/>
      <c r="D8" s="59">
        <f>27115.78+36009.6+24484.85+39692.05+1799.65</f>
        <v>129101.93</v>
      </c>
    </row>
    <row r="9" spans="1:6" ht="15" thickBot="1" x14ac:dyDescent="0.35">
      <c r="A9" s="56">
        <v>737</v>
      </c>
      <c r="B9" s="60" t="s">
        <v>338</v>
      </c>
      <c r="C9" s="58"/>
      <c r="D9" s="59">
        <f>4109879.11</f>
        <v>4109879.11</v>
      </c>
    </row>
    <row r="10" spans="1:6" ht="15" thickBot="1" x14ac:dyDescent="0.35">
      <c r="A10" s="56"/>
      <c r="B10" s="60" t="s">
        <v>339</v>
      </c>
      <c r="C10" s="58"/>
      <c r="D10" s="59">
        <f>76760.05</f>
        <v>76760.05</v>
      </c>
      <c r="E10" s="6"/>
    </row>
    <row r="11" spans="1:6" ht="15" thickBot="1" x14ac:dyDescent="0.35">
      <c r="A11" s="56"/>
      <c r="B11" s="60" t="s">
        <v>340</v>
      </c>
      <c r="C11" s="58"/>
      <c r="D11" s="59">
        <f>15000</f>
        <v>15000</v>
      </c>
      <c r="E11" s="6"/>
    </row>
    <row r="12" spans="1:6" ht="15" thickBot="1" x14ac:dyDescent="0.35">
      <c r="A12" s="56"/>
      <c r="B12" s="60" t="s">
        <v>341</v>
      </c>
      <c r="C12" s="58"/>
      <c r="D12" s="59">
        <f>40000</f>
        <v>40000</v>
      </c>
      <c r="E12" s="6"/>
    </row>
    <row r="13" spans="1:6" ht="14.25" customHeight="1" thickBot="1" x14ac:dyDescent="0.35">
      <c r="A13" s="7" t="s">
        <v>342</v>
      </c>
      <c r="B13" s="1016" t="s">
        <v>343</v>
      </c>
      <c r="C13" s="1016"/>
      <c r="D13" s="61">
        <f>27500+875+80455.64+3500+257037.08+8452.25</f>
        <v>377819.97</v>
      </c>
      <c r="E13" s="6">
        <f>SUM(D9:D13)</f>
        <v>4619459.13</v>
      </c>
    </row>
    <row r="14" spans="1:6" ht="15" thickBot="1" x14ac:dyDescent="0.35">
      <c r="A14" s="62" t="s">
        <v>5</v>
      </c>
      <c r="B14" s="63" t="s">
        <v>6</v>
      </c>
      <c r="C14" s="62" t="s">
        <v>344</v>
      </c>
      <c r="D14" s="64" t="s">
        <v>345</v>
      </c>
      <c r="F14" s="6"/>
    </row>
    <row r="15" spans="1:6" x14ac:dyDescent="0.3">
      <c r="A15" s="52"/>
      <c r="B15" s="27"/>
      <c r="C15" s="65"/>
      <c r="D15" s="53"/>
      <c r="E15" s="6"/>
    </row>
    <row r="16" spans="1:6" x14ac:dyDescent="0.3">
      <c r="A16" s="66" t="s">
        <v>346</v>
      </c>
      <c r="B16" s="27" t="s">
        <v>347</v>
      </c>
      <c r="C16" s="65" t="s">
        <v>346</v>
      </c>
      <c r="D16" s="53">
        <f>3799037.96</f>
        <v>3799037.96</v>
      </c>
      <c r="E16" s="6"/>
    </row>
    <row r="17" spans="1:6" x14ac:dyDescent="0.3">
      <c r="A17" s="66"/>
      <c r="B17" s="27" t="s">
        <v>348</v>
      </c>
      <c r="C17" s="65" t="s">
        <v>346</v>
      </c>
      <c r="D17" s="53">
        <f>33841.42</f>
        <v>33841.42</v>
      </c>
      <c r="E17" s="6"/>
    </row>
    <row r="18" spans="1:6" x14ac:dyDescent="0.3">
      <c r="A18" s="66"/>
      <c r="B18" s="27" t="s">
        <v>349</v>
      </c>
      <c r="C18" s="65" t="s">
        <v>350</v>
      </c>
      <c r="D18" s="53">
        <f>61840</f>
        <v>61840</v>
      </c>
      <c r="E18" s="6"/>
    </row>
    <row r="19" spans="1:6" x14ac:dyDescent="0.3">
      <c r="A19" s="66"/>
      <c r="B19" s="27" t="s">
        <v>351</v>
      </c>
      <c r="C19" s="65" t="s">
        <v>350</v>
      </c>
      <c r="D19" s="53">
        <f>115331.65</f>
        <v>115331.65</v>
      </c>
      <c r="E19" s="6"/>
    </row>
    <row r="20" spans="1:6" x14ac:dyDescent="0.3">
      <c r="A20" s="66"/>
      <c r="B20" s="27" t="s">
        <v>352</v>
      </c>
      <c r="C20" s="65" t="s">
        <v>350</v>
      </c>
      <c r="D20" s="53">
        <f>24826</f>
        <v>24826</v>
      </c>
      <c r="E20" s="6"/>
      <c r="F20" s="6"/>
    </row>
    <row r="21" spans="1:6" x14ac:dyDescent="0.3">
      <c r="A21" s="66"/>
      <c r="B21" s="27" t="s">
        <v>353</v>
      </c>
      <c r="C21" s="65" t="s">
        <v>354</v>
      </c>
      <c r="D21" s="53">
        <f>75002.08</f>
        <v>75002.080000000002</v>
      </c>
      <c r="E21" s="6"/>
      <c r="F21" s="6"/>
    </row>
    <row r="22" spans="1:6" x14ac:dyDescent="0.3">
      <c r="A22" s="52"/>
      <c r="B22" s="27" t="s">
        <v>355</v>
      </c>
      <c r="C22" s="65" t="s">
        <v>356</v>
      </c>
      <c r="D22" s="53">
        <f>76760.05</f>
        <v>76760.05</v>
      </c>
    </row>
    <row r="23" spans="1:6" x14ac:dyDescent="0.3">
      <c r="A23" s="52"/>
      <c r="B23" s="27" t="s">
        <v>357</v>
      </c>
      <c r="C23" s="65" t="s">
        <v>358</v>
      </c>
      <c r="D23" s="53">
        <f>15000</f>
        <v>15000</v>
      </c>
    </row>
    <row r="24" spans="1:6" x14ac:dyDescent="0.3">
      <c r="A24" s="52"/>
      <c r="B24" s="27"/>
      <c r="C24" s="65"/>
      <c r="D24" s="53"/>
    </row>
    <row r="25" spans="1:6" x14ac:dyDescent="0.3">
      <c r="A25" s="67" t="s">
        <v>359</v>
      </c>
      <c r="B25" s="68" t="s">
        <v>360</v>
      </c>
      <c r="C25" s="69"/>
      <c r="D25" s="70">
        <f>875</f>
        <v>875</v>
      </c>
    </row>
    <row r="26" spans="1:6" x14ac:dyDescent="0.3">
      <c r="A26" s="52"/>
      <c r="B26" s="27"/>
      <c r="C26" s="65"/>
      <c r="D26" s="53"/>
    </row>
    <row r="27" spans="1:6" x14ac:dyDescent="0.3">
      <c r="A27" s="66" t="s">
        <v>361</v>
      </c>
      <c r="B27" s="27" t="s">
        <v>362</v>
      </c>
      <c r="C27" s="65" t="s">
        <v>346</v>
      </c>
      <c r="D27" s="53">
        <f>257037.08</f>
        <v>257037.08</v>
      </c>
    </row>
    <row r="28" spans="1:6" x14ac:dyDescent="0.3">
      <c r="A28" s="52"/>
      <c r="B28" s="27"/>
      <c r="C28" s="65"/>
      <c r="D28" s="53"/>
    </row>
    <row r="29" spans="1:6" x14ac:dyDescent="0.3">
      <c r="A29" s="66" t="s">
        <v>258</v>
      </c>
      <c r="B29" s="27" t="s">
        <v>363</v>
      </c>
      <c r="C29" s="65" t="s">
        <v>364</v>
      </c>
      <c r="D29" s="53">
        <f>27500</f>
        <v>27500</v>
      </c>
    </row>
    <row r="30" spans="1:6" x14ac:dyDescent="0.3">
      <c r="A30" s="66"/>
      <c r="B30" s="27"/>
      <c r="C30" s="65"/>
      <c r="D30" s="53"/>
    </row>
    <row r="31" spans="1:6" x14ac:dyDescent="0.3">
      <c r="A31" s="66"/>
      <c r="B31" s="27"/>
      <c r="C31" s="65"/>
      <c r="D31" s="53"/>
    </row>
    <row r="32" spans="1:6" x14ac:dyDescent="0.3">
      <c r="A32" s="66" t="s">
        <v>365</v>
      </c>
      <c r="B32" s="27" t="s">
        <v>366</v>
      </c>
      <c r="C32" s="65" t="s">
        <v>367</v>
      </c>
      <c r="D32" s="53">
        <f>40000</f>
        <v>40000</v>
      </c>
    </row>
    <row r="33" spans="1:5" x14ac:dyDescent="0.3">
      <c r="A33" s="52"/>
      <c r="B33" s="27"/>
      <c r="C33" s="65"/>
      <c r="D33" s="53"/>
    </row>
    <row r="34" spans="1:5" x14ac:dyDescent="0.3">
      <c r="A34" s="66" t="s">
        <v>368</v>
      </c>
      <c r="B34" s="27" t="s">
        <v>369</v>
      </c>
      <c r="C34" s="65" t="s">
        <v>346</v>
      </c>
      <c r="D34" s="53">
        <f>55955.64</f>
        <v>55955.64</v>
      </c>
    </row>
    <row r="35" spans="1:5" x14ac:dyDescent="0.3">
      <c r="A35" s="66" t="s">
        <v>368</v>
      </c>
      <c r="B35" s="27" t="s">
        <v>370</v>
      </c>
      <c r="C35" s="65" t="s">
        <v>346</v>
      </c>
      <c r="D35" s="53">
        <f>24500</f>
        <v>24500</v>
      </c>
      <c r="E35" s="6"/>
    </row>
    <row r="36" spans="1:5" x14ac:dyDescent="0.3">
      <c r="A36" s="52"/>
      <c r="B36" s="27"/>
      <c r="C36" s="65"/>
      <c r="D36" s="53"/>
    </row>
    <row r="37" spans="1:5" x14ac:dyDescent="0.3">
      <c r="A37" s="66" t="s">
        <v>371</v>
      </c>
      <c r="B37" s="27" t="s">
        <v>372</v>
      </c>
      <c r="C37" s="65" t="s">
        <v>346</v>
      </c>
      <c r="D37" s="53">
        <f>3500</f>
        <v>3500</v>
      </c>
    </row>
    <row r="38" spans="1:5" x14ac:dyDescent="0.3">
      <c r="A38" s="66"/>
      <c r="B38" s="27"/>
      <c r="C38" s="65"/>
      <c r="D38" s="53"/>
    </row>
    <row r="39" spans="1:5" x14ac:dyDescent="0.3">
      <c r="A39" s="66" t="s">
        <v>373</v>
      </c>
      <c r="B39" s="27" t="s">
        <v>372</v>
      </c>
      <c r="C39" s="65" t="s">
        <v>346</v>
      </c>
      <c r="D39" s="53">
        <v>0</v>
      </c>
    </row>
    <row r="40" spans="1:5" x14ac:dyDescent="0.3">
      <c r="A40" s="52"/>
      <c r="B40" s="27"/>
      <c r="C40" s="65"/>
      <c r="D40" s="53"/>
    </row>
    <row r="41" spans="1:5" x14ac:dyDescent="0.3">
      <c r="A41" s="66" t="s">
        <v>374</v>
      </c>
      <c r="B41" s="27" t="s">
        <v>375</v>
      </c>
      <c r="C41" s="65" t="s">
        <v>346</v>
      </c>
      <c r="D41" s="53">
        <f>8452.25</f>
        <v>8452.25</v>
      </c>
    </row>
    <row r="42" spans="1:5" x14ac:dyDescent="0.3">
      <c r="A42" s="71"/>
      <c r="B42" s="31"/>
      <c r="C42" s="72"/>
      <c r="D42" s="73"/>
      <c r="E42" s="6">
        <f>SUM(D16:D41)</f>
        <v>4619459.13</v>
      </c>
    </row>
    <row r="43" spans="1:5" x14ac:dyDescent="0.3">
      <c r="A43" s="71"/>
      <c r="B43" s="31"/>
      <c r="C43" s="72"/>
      <c r="D43" s="73"/>
    </row>
    <row r="44" spans="1:5" ht="15" thickBot="1" x14ac:dyDescent="0.35">
      <c r="A44" s="74"/>
      <c r="B44" s="75"/>
      <c r="C44" s="76"/>
      <c r="D44" s="77"/>
    </row>
    <row r="47" spans="1:5" x14ac:dyDescent="0.3">
      <c r="A47" s="3"/>
    </row>
    <row r="48" spans="1:5" x14ac:dyDescent="0.3">
      <c r="A48" s="78"/>
    </row>
  </sheetData>
  <mergeCells count="5">
    <mergeCell ref="B4:C4"/>
    <mergeCell ref="B5:C5"/>
    <mergeCell ref="B6:C6"/>
    <mergeCell ref="B7:C7"/>
    <mergeCell ref="B13:C13"/>
  </mergeCells>
  <pageMargins left="0.70000000000000007" right="0.70000000000000007" top="0.75" bottom="0.75" header="0.30000000000000004" footer="0.30000000000000004"/>
  <pageSetup paperSize="8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W39"/>
  <sheetViews>
    <sheetView workbookViewId="0"/>
  </sheetViews>
  <sheetFormatPr defaultColWidth="9.109375" defaultRowHeight="13.2" x14ac:dyDescent="0.25"/>
  <cols>
    <col min="1" max="1" width="2.6640625" style="497" bestFit="1" customWidth="1"/>
    <col min="2" max="2" width="4.6640625" style="497" bestFit="1" customWidth="1"/>
    <col min="3" max="3" width="3.6640625" style="497" customWidth="1"/>
    <col min="4" max="5" width="9.109375" style="497" customWidth="1"/>
    <col min="6" max="6" width="22.5546875" style="497" customWidth="1"/>
    <col min="7" max="7" width="4.44140625" style="497" bestFit="1" customWidth="1"/>
    <col min="8" max="8" width="6.33203125" style="497" bestFit="1" customWidth="1"/>
    <col min="9" max="22" width="13.109375" style="497" customWidth="1"/>
    <col min="23" max="27" width="15.5546875" style="538" customWidth="1"/>
    <col min="28" max="29" width="15.6640625" style="497" customWidth="1"/>
    <col min="30" max="43" width="13.109375" style="497" customWidth="1"/>
    <col min="44" max="45" width="14.33203125" style="497" customWidth="1"/>
    <col min="46" max="48" width="13.109375" style="497" customWidth="1"/>
    <col min="49" max="49" width="12.6640625" style="497" customWidth="1"/>
    <col min="50" max="50" width="14.88671875" style="497" customWidth="1"/>
    <col min="51" max="51" width="14.6640625" style="497" customWidth="1"/>
    <col min="52" max="53" width="13" style="497" customWidth="1"/>
    <col min="54" max="54" width="14.88671875" style="497" customWidth="1"/>
    <col min="55" max="56" width="13.109375" style="497" customWidth="1"/>
    <col min="57" max="58" width="14.44140625" style="497" customWidth="1"/>
    <col min="59" max="59" width="13.109375" style="497" customWidth="1"/>
    <col min="60" max="60" width="14.109375" style="497" customWidth="1"/>
    <col min="61" max="64" width="13.109375" style="497" customWidth="1"/>
    <col min="65" max="65" width="13.6640625" style="497" customWidth="1"/>
    <col min="66" max="73" width="13.109375" style="497" customWidth="1"/>
    <col min="74" max="74" width="8.88671875" style="497" bestFit="1" customWidth="1"/>
    <col min="75" max="75" width="11.44140625" style="497" bestFit="1" customWidth="1"/>
    <col min="76" max="76" width="9.109375" style="497" customWidth="1"/>
    <col min="77" max="16384" width="9.109375" style="497"/>
  </cols>
  <sheetData>
    <row r="1" spans="1:75" ht="17.399999999999999" x14ac:dyDescent="0.3">
      <c r="A1" s="1068" t="s">
        <v>1311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877"/>
      <c r="O1" s="877"/>
      <c r="P1" s="877"/>
      <c r="Q1" s="877"/>
      <c r="R1" s="877"/>
      <c r="S1" s="877"/>
      <c r="T1" s="877"/>
      <c r="U1" s="877"/>
      <c r="V1" s="877"/>
      <c r="W1" s="878"/>
      <c r="X1" s="878"/>
      <c r="Y1" s="878"/>
      <c r="Z1" s="878"/>
      <c r="AA1" s="878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  <c r="AT1" s="877"/>
      <c r="AU1" s="877"/>
      <c r="AV1" s="877"/>
      <c r="AW1" s="877"/>
      <c r="AX1" s="877"/>
      <c r="AY1" s="877"/>
      <c r="AZ1" s="877"/>
      <c r="BA1" s="877"/>
      <c r="BB1" s="877"/>
      <c r="BC1" s="877"/>
      <c r="BD1" s="877"/>
      <c r="BE1" s="877"/>
      <c r="BF1" s="877"/>
      <c r="BG1" s="877"/>
      <c r="BH1" s="877"/>
      <c r="BI1" s="877"/>
      <c r="BJ1" s="877"/>
      <c r="BK1" s="877"/>
      <c r="BL1" s="877"/>
      <c r="BM1" s="877"/>
      <c r="BN1" s="877"/>
      <c r="BO1" s="877"/>
      <c r="BP1" s="877"/>
      <c r="BQ1" s="877"/>
      <c r="BR1" s="877"/>
      <c r="BS1" s="877"/>
      <c r="BT1" s="877"/>
      <c r="BU1" s="877"/>
    </row>
    <row r="2" spans="1:75" x14ac:dyDescent="0.25">
      <c r="H2" s="498"/>
      <c r="I2" s="498"/>
      <c r="J2" s="498"/>
      <c r="K2" s="498"/>
      <c r="L2" s="555" t="s">
        <v>619</v>
      </c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555"/>
      <c r="X2" s="555"/>
      <c r="Y2" s="555"/>
      <c r="Z2" s="555"/>
      <c r="AA2" s="555"/>
      <c r="AB2" s="498"/>
      <c r="AC2" s="498"/>
      <c r="AD2" s="498"/>
      <c r="AE2" s="498"/>
      <c r="AF2" s="498"/>
      <c r="AG2" s="555"/>
      <c r="AH2" s="498"/>
      <c r="AI2" s="498"/>
      <c r="AJ2" s="498"/>
      <c r="AK2" s="498"/>
      <c r="AL2" s="498"/>
      <c r="AM2" s="555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555"/>
      <c r="BK2" s="498"/>
      <c r="BL2" s="498"/>
      <c r="BM2" s="498"/>
      <c r="BN2" s="498"/>
      <c r="BO2" s="498"/>
      <c r="BP2" s="498"/>
      <c r="BQ2" s="498"/>
      <c r="BR2" s="498"/>
      <c r="BS2" s="498"/>
      <c r="BT2" s="498"/>
      <c r="BU2" s="498"/>
      <c r="BV2" s="498"/>
      <c r="BW2" s="498"/>
    </row>
    <row r="3" spans="1:75" ht="16.2" thickBot="1" x14ac:dyDescent="0.35">
      <c r="A3" s="1069" t="s">
        <v>968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69"/>
      <c r="AV3" s="1069"/>
      <c r="AW3" s="1069"/>
      <c r="AX3" s="1069"/>
      <c r="AY3" s="1069"/>
      <c r="AZ3" s="1069"/>
      <c r="BA3" s="1069"/>
      <c r="BB3" s="1069"/>
      <c r="BC3" s="1069"/>
      <c r="BD3" s="1069"/>
      <c r="BE3" s="1069"/>
      <c r="BF3" s="1069"/>
      <c r="BG3" s="1069"/>
      <c r="BH3" s="1069"/>
      <c r="BI3" s="1069"/>
      <c r="BJ3" s="1069"/>
      <c r="BK3" s="1069"/>
      <c r="BL3" s="1069"/>
      <c r="BM3" s="1069"/>
      <c r="BN3" s="1069"/>
      <c r="BO3" s="1069"/>
      <c r="BP3" s="1069"/>
      <c r="BQ3" s="1069"/>
      <c r="BR3" s="1069"/>
      <c r="BS3" s="1069"/>
      <c r="BT3" s="1069"/>
      <c r="BU3" s="1069"/>
      <c r="BV3" s="1069"/>
      <c r="BW3" s="1069"/>
    </row>
    <row r="4" spans="1:75" ht="15.75" customHeight="1" thickBot="1" x14ac:dyDescent="0.3">
      <c r="B4" s="879"/>
      <c r="D4" s="500"/>
      <c r="E4" s="501"/>
      <c r="F4" s="501"/>
      <c r="G4" s="501"/>
      <c r="H4" s="501"/>
      <c r="I4" s="1070" t="s">
        <v>1435</v>
      </c>
      <c r="J4" s="1070"/>
      <c r="K4" s="1071" t="s">
        <v>1436</v>
      </c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  <c r="AF4" s="1071"/>
      <c r="AG4" s="1071"/>
      <c r="AH4" s="1071"/>
      <c r="AI4" s="1071"/>
      <c r="AJ4" s="1071"/>
      <c r="AK4" s="1071"/>
      <c r="AL4" s="1071"/>
      <c r="AM4" s="1071"/>
      <c r="AN4" s="1071"/>
      <c r="AO4" s="1071"/>
      <c r="AP4" s="1071"/>
      <c r="AQ4" s="1071"/>
      <c r="AR4" s="1071"/>
      <c r="AS4" s="1071"/>
      <c r="AT4" s="1071"/>
      <c r="AU4" s="1071"/>
      <c r="AV4" s="1071"/>
      <c r="AW4" s="1071"/>
      <c r="AX4" s="1071"/>
      <c r="AY4" s="1071"/>
      <c r="AZ4" s="1071"/>
      <c r="BA4" s="1071"/>
      <c r="BB4" s="1071"/>
      <c r="BC4" s="1071"/>
      <c r="BD4" s="1071"/>
      <c r="BE4" s="1071"/>
      <c r="BF4" s="1071"/>
      <c r="BG4" s="1071"/>
      <c r="BH4" s="1071"/>
      <c r="BI4" s="1071"/>
      <c r="BJ4" s="1071"/>
      <c r="BK4" s="1071"/>
      <c r="BL4" s="1071"/>
      <c r="BM4" s="1071"/>
      <c r="BN4" s="1071"/>
      <c r="BO4" s="1071"/>
      <c r="BP4" s="1071"/>
      <c r="BQ4" s="1071"/>
      <c r="BR4" s="1071"/>
      <c r="BS4" s="1071"/>
      <c r="BT4" s="1071"/>
      <c r="BU4" s="880"/>
      <c r="BV4" s="1070" t="s">
        <v>1437</v>
      </c>
      <c r="BW4" s="1070"/>
    </row>
    <row r="5" spans="1:75" ht="15.75" customHeight="1" thickBot="1" x14ac:dyDescent="0.35">
      <c r="D5" s="500"/>
      <c r="E5" s="501"/>
      <c r="F5" s="501"/>
      <c r="G5" s="501"/>
      <c r="H5" s="501"/>
      <c r="I5" s="1070" t="s">
        <v>711</v>
      </c>
      <c r="J5" s="1070"/>
      <c r="K5" s="1071" t="s">
        <v>711</v>
      </c>
      <c r="L5" s="1071"/>
      <c r="M5" s="1071"/>
      <c r="N5" s="1071"/>
      <c r="O5" s="1071"/>
      <c r="P5" s="1071"/>
      <c r="Q5" s="1071"/>
      <c r="R5" s="1071"/>
      <c r="S5" s="1071"/>
      <c r="T5" s="1071"/>
      <c r="U5" s="880"/>
      <c r="V5" s="880"/>
      <c r="W5" s="1072"/>
      <c r="X5" s="1072"/>
      <c r="Y5" s="1072"/>
      <c r="Z5" s="1072"/>
      <c r="AA5" s="1072"/>
      <c r="AB5" s="1072"/>
      <c r="AC5" s="1072"/>
      <c r="AD5" s="1072"/>
      <c r="AE5" s="1072"/>
      <c r="AF5" s="1072"/>
      <c r="AG5" s="1072"/>
      <c r="AH5" s="1072"/>
      <c r="AI5" s="1072"/>
      <c r="AJ5" s="1072"/>
      <c r="AK5" s="1072"/>
      <c r="AL5" s="1072"/>
      <c r="AM5" s="1072"/>
      <c r="AN5" s="1072"/>
      <c r="AO5" s="1072"/>
      <c r="AP5" s="1072"/>
      <c r="AQ5" s="1071" t="s">
        <v>1438</v>
      </c>
      <c r="AR5" s="1071"/>
      <c r="AS5" s="1071"/>
      <c r="AT5" s="1071"/>
      <c r="AU5" s="1071"/>
      <c r="AV5" s="1071"/>
      <c r="AW5" s="1071"/>
      <c r="AX5" s="1071"/>
      <c r="AY5" s="1071"/>
      <c r="AZ5" s="1071"/>
      <c r="BA5" s="1071"/>
      <c r="BB5" s="1071"/>
      <c r="BC5" s="1071"/>
      <c r="BD5" s="1071"/>
      <c r="BE5" s="1071"/>
      <c r="BF5" s="1071"/>
      <c r="BG5" s="1071"/>
      <c r="BH5" s="1071"/>
      <c r="BI5" s="1073" t="s">
        <v>1439</v>
      </c>
      <c r="BJ5" s="1073"/>
      <c r="BK5" s="1073"/>
      <c r="BL5" s="1073"/>
      <c r="BM5" s="1073"/>
      <c r="BN5" s="1073"/>
      <c r="BO5" s="1073"/>
      <c r="BP5" s="1073"/>
      <c r="BQ5" s="1073"/>
      <c r="BR5" s="1073"/>
      <c r="BS5" s="1073"/>
      <c r="BT5" s="1073"/>
      <c r="BU5" s="880"/>
      <c r="BV5" s="880"/>
      <c r="BW5" s="881"/>
    </row>
    <row r="6" spans="1:75" s="900" customFormat="1" ht="99" customHeight="1" thickBot="1" x14ac:dyDescent="0.35">
      <c r="A6" s="882"/>
      <c r="B6" s="883"/>
      <c r="C6" s="883"/>
      <c r="D6" s="883"/>
      <c r="E6" s="883"/>
      <c r="F6" s="883"/>
      <c r="G6" s="884"/>
      <c r="H6" s="885" t="s">
        <v>1275</v>
      </c>
      <c r="I6" s="886" t="s">
        <v>1276</v>
      </c>
      <c r="J6" s="887" t="s">
        <v>1440</v>
      </c>
      <c r="K6" s="888" t="s">
        <v>1276</v>
      </c>
      <c r="L6" s="889" t="s">
        <v>1441</v>
      </c>
      <c r="M6" s="889" t="s">
        <v>1442</v>
      </c>
      <c r="N6" s="889" t="s">
        <v>1443</v>
      </c>
      <c r="O6" s="889" t="s">
        <v>1444</v>
      </c>
      <c r="P6" s="890" t="s">
        <v>1445</v>
      </c>
      <c r="Q6" s="890" t="s">
        <v>1446</v>
      </c>
      <c r="R6" s="890" t="s">
        <v>1447</v>
      </c>
      <c r="S6" s="890" t="s">
        <v>1448</v>
      </c>
      <c r="T6" s="891" t="s">
        <v>1449</v>
      </c>
      <c r="U6" s="892" t="s">
        <v>1450</v>
      </c>
      <c r="V6" s="893" t="s">
        <v>1165</v>
      </c>
      <c r="W6" s="894" t="s">
        <v>1451</v>
      </c>
      <c r="X6" s="895" t="s">
        <v>1452</v>
      </c>
      <c r="Y6" s="895" t="s">
        <v>1453</v>
      </c>
      <c r="Z6" s="889" t="s">
        <v>1454</v>
      </c>
      <c r="AA6" s="889" t="s">
        <v>1455</v>
      </c>
      <c r="AB6" s="896" t="s">
        <v>1456</v>
      </c>
      <c r="AC6" s="889" t="s">
        <v>1457</v>
      </c>
      <c r="AD6" s="889" t="s">
        <v>1458</v>
      </c>
      <c r="AE6" s="890" t="s">
        <v>1459</v>
      </c>
      <c r="AF6" s="889" t="s">
        <v>1460</v>
      </c>
      <c r="AG6" s="889" t="s">
        <v>1461</v>
      </c>
      <c r="AH6" s="889" t="s">
        <v>1462</v>
      </c>
      <c r="AI6" s="890" t="s">
        <v>1463</v>
      </c>
      <c r="AJ6" s="890" t="s">
        <v>1464</v>
      </c>
      <c r="AK6" s="890" t="s">
        <v>1465</v>
      </c>
      <c r="AL6" s="890" t="s">
        <v>1466</v>
      </c>
      <c r="AM6" s="890" t="s">
        <v>1467</v>
      </c>
      <c r="AN6" s="890" t="s">
        <v>1468</v>
      </c>
      <c r="AO6" s="890" t="s">
        <v>1176</v>
      </c>
      <c r="AP6" s="890" t="s">
        <v>1062</v>
      </c>
      <c r="AQ6" s="891" t="s">
        <v>1098</v>
      </c>
      <c r="AR6" s="897" t="s">
        <v>1469</v>
      </c>
      <c r="AS6" s="897" t="s">
        <v>1470</v>
      </c>
      <c r="AT6" s="897" t="s">
        <v>1471</v>
      </c>
      <c r="AU6" s="897" t="s">
        <v>1472</v>
      </c>
      <c r="AV6" s="889" t="s">
        <v>1473</v>
      </c>
      <c r="AW6" s="889" t="s">
        <v>1474</v>
      </c>
      <c r="AX6" s="898" t="s">
        <v>1475</v>
      </c>
      <c r="AY6" s="898" t="s">
        <v>1476</v>
      </c>
      <c r="AZ6" s="898" t="s">
        <v>1477</v>
      </c>
      <c r="BA6" s="890" t="s">
        <v>1478</v>
      </c>
      <c r="BB6" s="890" t="s">
        <v>1479</v>
      </c>
      <c r="BC6" s="890" t="s">
        <v>1480</v>
      </c>
      <c r="BD6" s="890" t="s">
        <v>1481</v>
      </c>
      <c r="BE6" s="890" t="s">
        <v>1482</v>
      </c>
      <c r="BF6" s="890" t="s">
        <v>1483</v>
      </c>
      <c r="BG6" s="889" t="s">
        <v>1484</v>
      </c>
      <c r="BH6" s="892" t="s">
        <v>1485</v>
      </c>
      <c r="BI6" s="897" t="s">
        <v>1486</v>
      </c>
      <c r="BJ6" s="897" t="s">
        <v>1487</v>
      </c>
      <c r="BK6" s="897" t="s">
        <v>1488</v>
      </c>
      <c r="BL6" s="897" t="s">
        <v>1489</v>
      </c>
      <c r="BM6" s="897" t="s">
        <v>1490</v>
      </c>
      <c r="BN6" s="897" t="s">
        <v>1491</v>
      </c>
      <c r="BO6" s="897" t="s">
        <v>1492</v>
      </c>
      <c r="BP6" s="897" t="s">
        <v>1493</v>
      </c>
      <c r="BQ6" s="897" t="s">
        <v>1494</v>
      </c>
      <c r="BR6" s="897" t="s">
        <v>1495</v>
      </c>
      <c r="BS6" s="897" t="s">
        <v>1496</v>
      </c>
      <c r="BT6" s="887" t="s">
        <v>1497</v>
      </c>
      <c r="BU6" s="897" t="s">
        <v>1283</v>
      </c>
      <c r="BV6" s="899" t="s">
        <v>1276</v>
      </c>
      <c r="BW6" s="887" t="s">
        <v>1498</v>
      </c>
    </row>
    <row r="7" spans="1:75" s="900" customFormat="1" ht="15" customHeight="1" thickBot="1" x14ac:dyDescent="0.35">
      <c r="A7" s="1036" t="s">
        <v>1284</v>
      </c>
      <c r="B7" s="1036"/>
      <c r="C7" s="1036"/>
      <c r="D7" s="1036"/>
      <c r="E7" s="1036"/>
      <c r="F7" s="1036"/>
      <c r="G7" s="1036"/>
      <c r="H7" s="1036"/>
      <c r="I7" s="901">
        <v>388.02</v>
      </c>
      <c r="J7" s="902">
        <v>337.15</v>
      </c>
      <c r="K7" s="903">
        <v>381.43</v>
      </c>
      <c r="L7" s="904">
        <f>+K7-SUM(M7:BT7)</f>
        <v>316.89833333333331</v>
      </c>
      <c r="M7" s="901">
        <v>4.26</v>
      </c>
      <c r="N7" s="901">
        <v>2.9</v>
      </c>
      <c r="O7" s="901">
        <v>0.5</v>
      </c>
      <c r="P7" s="905">
        <v>0.89</v>
      </c>
      <c r="Q7" s="903">
        <v>1.26</v>
      </c>
      <c r="R7" s="903">
        <f>2/12*5/2</f>
        <v>0.41666666666666663</v>
      </c>
      <c r="S7" s="903">
        <v>0.38</v>
      </c>
      <c r="T7" s="906">
        <v>1.31</v>
      </c>
      <c r="U7" s="907">
        <v>0.4</v>
      </c>
      <c r="V7" s="908">
        <f>0.3*6/12</f>
        <v>0.15</v>
      </c>
      <c r="W7" s="909">
        <v>0</v>
      </c>
      <c r="X7" s="909">
        <v>1.51</v>
      </c>
      <c r="Y7" s="910">
        <v>0</v>
      </c>
      <c r="Z7" s="911">
        <v>0.5</v>
      </c>
      <c r="AA7" s="912">
        <v>1.04</v>
      </c>
      <c r="AB7" s="913">
        <v>1</v>
      </c>
      <c r="AC7" s="913">
        <v>0.25</v>
      </c>
      <c r="AD7" s="914">
        <v>3.62</v>
      </c>
      <c r="AE7" s="914">
        <v>9.73</v>
      </c>
      <c r="AF7" s="901">
        <f>0.93+2.03</f>
        <v>2.96</v>
      </c>
      <c r="AG7" s="901">
        <v>1.67</v>
      </c>
      <c r="AH7" s="915">
        <v>2.5499999999999998</v>
      </c>
      <c r="AI7" s="914">
        <v>0.5</v>
      </c>
      <c r="AJ7" s="914">
        <v>0.05</v>
      </c>
      <c r="AK7" s="914">
        <v>0.38</v>
      </c>
      <c r="AL7" s="914">
        <v>0.82</v>
      </c>
      <c r="AM7" s="914">
        <v>2.34</v>
      </c>
      <c r="AN7" s="916">
        <v>0</v>
      </c>
      <c r="AO7" s="911">
        <v>0.46</v>
      </c>
      <c r="AP7" s="911">
        <v>1</v>
      </c>
      <c r="AQ7" s="906">
        <v>6.53</v>
      </c>
      <c r="AR7" s="906">
        <v>0.5</v>
      </c>
      <c r="AS7" s="914">
        <f>0.08+0.13+0.01</f>
        <v>0.22000000000000003</v>
      </c>
      <c r="AT7" s="917">
        <v>0.34</v>
      </c>
      <c r="AU7" s="914">
        <v>1.5</v>
      </c>
      <c r="AV7" s="901">
        <v>0.5</v>
      </c>
      <c r="AW7" s="901">
        <v>1</v>
      </c>
      <c r="AX7" s="901">
        <v>0.3</v>
      </c>
      <c r="AY7" s="901">
        <v>0.7</v>
      </c>
      <c r="AZ7" s="901">
        <f>0.05+0.09</f>
        <v>0.14000000000000001</v>
      </c>
      <c r="BA7" s="905">
        <v>0</v>
      </c>
      <c r="BB7" s="905">
        <v>0.4</v>
      </c>
      <c r="BC7" s="905">
        <v>1</v>
      </c>
      <c r="BD7" s="905">
        <f>0.12+0.2+0.03</f>
        <v>0.35</v>
      </c>
      <c r="BE7" s="905">
        <v>0.32</v>
      </c>
      <c r="BF7" s="905">
        <v>1</v>
      </c>
      <c r="BG7" s="901">
        <v>0.38</v>
      </c>
      <c r="BH7" s="907">
        <v>0.34</v>
      </c>
      <c r="BI7" s="914">
        <v>0.42</v>
      </c>
      <c r="BJ7" s="914">
        <v>0.74</v>
      </c>
      <c r="BK7" s="914">
        <v>0.55000000000000004</v>
      </c>
      <c r="BL7" s="914">
        <f>34.2/38</f>
        <v>0.9</v>
      </c>
      <c r="BM7" s="914">
        <v>0.64</v>
      </c>
      <c r="BN7" s="914">
        <v>0.5</v>
      </c>
      <c r="BO7" s="914">
        <v>0.5</v>
      </c>
      <c r="BP7" s="914">
        <v>0.66</v>
      </c>
      <c r="BQ7" s="914">
        <f>0.5/4</f>
        <v>0.125</v>
      </c>
      <c r="BR7" s="914">
        <v>0.13</v>
      </c>
      <c r="BS7" s="914">
        <v>0.5</v>
      </c>
      <c r="BT7" s="918">
        <v>0.5</v>
      </c>
      <c r="BU7" s="914">
        <f>+K7-SUM(L7:BT7)</f>
        <v>0</v>
      </c>
      <c r="BV7" s="919">
        <f>((K7-I7)/I7)</f>
        <v>-1.6983660636049624E-2</v>
      </c>
      <c r="BW7" s="920">
        <f>((L7-J7)/J7)</f>
        <v>-6.0067230214049139E-2</v>
      </c>
    </row>
    <row r="8" spans="1:75" x14ac:dyDescent="0.25">
      <c r="A8" s="1037" t="s">
        <v>1285</v>
      </c>
      <c r="B8" s="1037"/>
      <c r="C8" s="1037"/>
      <c r="D8" s="1037"/>
      <c r="E8" s="1037"/>
      <c r="F8" s="1037"/>
      <c r="G8" s="514"/>
      <c r="I8" s="515"/>
      <c r="J8" s="921"/>
      <c r="K8" s="922"/>
      <c r="L8" s="923"/>
      <c r="M8" s="515"/>
      <c r="N8" s="515"/>
      <c r="O8" s="515"/>
      <c r="P8" s="924"/>
      <c r="Q8" s="924"/>
      <c r="R8" s="924"/>
      <c r="S8" s="924"/>
      <c r="T8" s="922"/>
      <c r="U8" s="925"/>
      <c r="V8" s="926"/>
      <c r="W8" s="927"/>
      <c r="X8" s="928"/>
      <c r="Y8" s="927"/>
      <c r="Z8" s="923"/>
      <c r="AA8" s="923"/>
      <c r="AB8" s="923"/>
      <c r="AC8" s="923"/>
      <c r="AD8" s="515"/>
      <c r="AE8" s="924"/>
      <c r="AF8" s="515"/>
      <c r="AG8" s="515"/>
      <c r="AH8" s="515"/>
      <c r="AI8" s="924"/>
      <c r="AJ8" s="924"/>
      <c r="AK8" s="924"/>
      <c r="AL8" s="924"/>
      <c r="AM8" s="924"/>
      <c r="AN8" s="924"/>
      <c r="AO8" s="924"/>
      <c r="AP8" s="924"/>
      <c r="AQ8" s="922"/>
      <c r="AR8" s="923"/>
      <c r="AS8" s="923"/>
      <c r="AT8" s="923"/>
      <c r="AU8" s="923"/>
      <c r="AV8" s="520"/>
      <c r="AW8" s="515"/>
      <c r="AX8" s="515"/>
      <c r="AY8" s="515"/>
      <c r="AZ8" s="515"/>
      <c r="BA8" s="924"/>
      <c r="BB8" s="924"/>
      <c r="BC8" s="924"/>
      <c r="BD8" s="924"/>
      <c r="BE8" s="924"/>
      <c r="BF8" s="924"/>
      <c r="BG8" s="515"/>
      <c r="BH8" s="925"/>
      <c r="BI8" s="923"/>
      <c r="BJ8" s="923"/>
      <c r="BK8" s="923"/>
      <c r="BL8" s="923"/>
      <c r="BM8" s="923"/>
      <c r="BN8" s="923"/>
      <c r="BO8" s="923"/>
      <c r="BP8" s="923"/>
      <c r="BQ8" s="923"/>
      <c r="BR8" s="923"/>
      <c r="BS8" s="923"/>
      <c r="BT8" s="921"/>
      <c r="BU8" s="923"/>
      <c r="BV8" s="923"/>
      <c r="BW8" s="929"/>
    </row>
    <row r="9" spans="1:75" ht="8.25" customHeight="1" x14ac:dyDescent="0.25">
      <c r="A9" s="518"/>
      <c r="G9" s="519"/>
      <c r="I9" s="520"/>
      <c r="J9" s="930"/>
      <c r="K9" s="931"/>
      <c r="L9" s="932"/>
      <c r="M9" s="520"/>
      <c r="N9" s="520"/>
      <c r="O9" s="520"/>
      <c r="P9" s="933"/>
      <c r="Q9" s="933"/>
      <c r="R9" s="933"/>
      <c r="S9" s="933"/>
      <c r="T9" s="931"/>
      <c r="U9" s="934"/>
      <c r="V9" s="935"/>
      <c r="W9" s="936"/>
      <c r="X9" s="527"/>
      <c r="Y9" s="936"/>
      <c r="Z9" s="932"/>
      <c r="AA9" s="932"/>
      <c r="AB9" s="932"/>
      <c r="AC9" s="932"/>
      <c r="AD9" s="520"/>
      <c r="AE9" s="933"/>
      <c r="AF9" s="520"/>
      <c r="AG9" s="520"/>
      <c r="AH9" s="520"/>
      <c r="AI9" s="933"/>
      <c r="AJ9" s="933"/>
      <c r="AK9" s="933"/>
      <c r="AL9" s="933"/>
      <c r="AM9" s="933"/>
      <c r="AN9" s="933"/>
      <c r="AO9" s="933"/>
      <c r="AP9" s="933"/>
      <c r="AQ9" s="931"/>
      <c r="AR9" s="932"/>
      <c r="AS9" s="932"/>
      <c r="AT9" s="932"/>
      <c r="AU9" s="932"/>
      <c r="AV9" s="520"/>
      <c r="AW9" s="520"/>
      <c r="AX9" s="520"/>
      <c r="AY9" s="520"/>
      <c r="AZ9" s="520"/>
      <c r="BA9" s="933"/>
      <c r="BB9" s="933"/>
      <c r="BC9" s="933"/>
      <c r="BD9" s="933"/>
      <c r="BE9" s="933"/>
      <c r="BF9" s="933"/>
      <c r="BG9" s="520"/>
      <c r="BH9" s="934"/>
      <c r="BI9" s="932"/>
      <c r="BJ9" s="932"/>
      <c r="BK9" s="932"/>
      <c r="BL9" s="932"/>
      <c r="BM9" s="932"/>
      <c r="BN9" s="932"/>
      <c r="BO9" s="932"/>
      <c r="BP9" s="932"/>
      <c r="BQ9" s="932"/>
      <c r="BR9" s="932"/>
      <c r="BS9" s="932"/>
      <c r="BT9" s="930"/>
      <c r="BU9" s="932"/>
      <c r="BV9" s="932"/>
      <c r="BW9" s="937"/>
    </row>
    <row r="10" spans="1:75" x14ac:dyDescent="0.25">
      <c r="A10" s="1025" t="s">
        <v>1286</v>
      </c>
      <c r="B10" s="1025"/>
      <c r="C10" s="1025"/>
      <c r="D10" s="1025"/>
      <c r="E10" s="1025"/>
      <c r="F10" s="1025"/>
      <c r="G10" s="519"/>
      <c r="I10" s="520"/>
      <c r="J10" s="930"/>
      <c r="K10" s="931"/>
      <c r="L10" s="932"/>
      <c r="M10" s="520"/>
      <c r="N10" s="520"/>
      <c r="O10" s="520"/>
      <c r="P10" s="933"/>
      <c r="Q10" s="933"/>
      <c r="R10" s="933"/>
      <c r="S10" s="933"/>
      <c r="T10" s="931"/>
      <c r="U10" s="934"/>
      <c r="V10" s="935"/>
      <c r="W10" s="936"/>
      <c r="X10" s="527"/>
      <c r="Y10" s="936"/>
      <c r="Z10" s="932"/>
      <c r="AA10" s="932"/>
      <c r="AB10" s="932"/>
      <c r="AC10" s="932"/>
      <c r="AD10" s="520"/>
      <c r="AE10" s="933"/>
      <c r="AF10" s="520"/>
      <c r="AG10" s="520"/>
      <c r="AH10" s="520"/>
      <c r="AI10" s="933"/>
      <c r="AJ10" s="933"/>
      <c r="AK10" s="933"/>
      <c r="AL10" s="933"/>
      <c r="AM10" s="933"/>
      <c r="AN10" s="933"/>
      <c r="AO10" s="933"/>
      <c r="AP10" s="933"/>
      <c r="AQ10" s="931"/>
      <c r="AR10" s="932"/>
      <c r="AS10" s="932"/>
      <c r="AT10" s="932"/>
      <c r="AU10" s="932"/>
      <c r="AV10" s="520"/>
      <c r="AW10" s="520"/>
      <c r="AX10" s="520"/>
      <c r="AY10" s="520"/>
      <c r="AZ10" s="520"/>
      <c r="BA10" s="933"/>
      <c r="BB10" s="933"/>
      <c r="BC10" s="933"/>
      <c r="BD10" s="933"/>
      <c r="BE10" s="933"/>
      <c r="BF10" s="933"/>
      <c r="BG10" s="520"/>
      <c r="BH10" s="934"/>
      <c r="BI10" s="932"/>
      <c r="BJ10" s="932"/>
      <c r="BK10" s="932"/>
      <c r="BL10" s="932"/>
      <c r="BM10" s="932"/>
      <c r="BN10" s="932"/>
      <c r="BO10" s="932"/>
      <c r="BP10" s="932"/>
      <c r="BQ10" s="932"/>
      <c r="BR10" s="932"/>
      <c r="BS10" s="932"/>
      <c r="BT10" s="930"/>
      <c r="BU10" s="932"/>
      <c r="BV10" s="932"/>
      <c r="BW10" s="937"/>
    </row>
    <row r="11" spans="1:75" x14ac:dyDescent="0.25">
      <c r="A11" s="523"/>
      <c r="B11" s="524" t="s">
        <v>1287</v>
      </c>
      <c r="C11" s="525"/>
      <c r="D11" s="525"/>
      <c r="E11" s="525"/>
      <c r="F11" s="525"/>
      <c r="G11" s="526" t="s">
        <v>1288</v>
      </c>
      <c r="H11" s="524">
        <v>9900</v>
      </c>
      <c r="I11" s="938">
        <f t="shared" ref="I11:AN11" si="0">I12-I15</f>
        <v>24159416</v>
      </c>
      <c r="J11" s="939">
        <f t="shared" si="0"/>
        <v>21379466.13115295</v>
      </c>
      <c r="K11" s="940">
        <f t="shared" si="0"/>
        <v>24628236.429999996</v>
      </c>
      <c r="L11" s="941">
        <f t="shared" si="0"/>
        <v>20946490.199999996</v>
      </c>
      <c r="M11" s="941">
        <f t="shared" si="0"/>
        <v>264010.46999999997</v>
      </c>
      <c r="N11" s="941">
        <f t="shared" si="0"/>
        <v>173638.17</v>
      </c>
      <c r="O11" s="941">
        <f t="shared" si="0"/>
        <v>37165.14</v>
      </c>
      <c r="P11" s="941">
        <f t="shared" si="0"/>
        <v>33498.32</v>
      </c>
      <c r="Q11" s="941">
        <f t="shared" si="0"/>
        <v>67339.850000000006</v>
      </c>
      <c r="R11" s="941">
        <f t="shared" si="0"/>
        <v>10601.61</v>
      </c>
      <c r="S11" s="941">
        <f t="shared" si="0"/>
        <v>150139.74</v>
      </c>
      <c r="T11" s="940">
        <f t="shared" si="0"/>
        <v>74186.270000000019</v>
      </c>
      <c r="U11" s="939">
        <f t="shared" si="0"/>
        <v>35567.08</v>
      </c>
      <c r="V11" s="939">
        <f t="shared" si="0"/>
        <v>4435.51</v>
      </c>
      <c r="W11" s="941">
        <f t="shared" si="0"/>
        <v>66000</v>
      </c>
      <c r="X11" s="938">
        <f t="shared" si="0"/>
        <v>67366.95</v>
      </c>
      <c r="Y11" s="938">
        <f t="shared" si="0"/>
        <v>10500</v>
      </c>
      <c r="Z11" s="941">
        <f t="shared" si="0"/>
        <v>37324.75</v>
      </c>
      <c r="AA11" s="938">
        <f t="shared" si="0"/>
        <v>31430.38</v>
      </c>
      <c r="AB11" s="941">
        <f t="shared" si="0"/>
        <v>46269.71</v>
      </c>
      <c r="AC11" s="941">
        <f t="shared" si="0"/>
        <v>15012.51</v>
      </c>
      <c r="AD11" s="941">
        <f t="shared" si="0"/>
        <v>158818.19</v>
      </c>
      <c r="AE11" s="941">
        <f t="shared" si="0"/>
        <v>579249.14</v>
      </c>
      <c r="AF11" s="941">
        <f t="shared" si="0"/>
        <v>204256.8</v>
      </c>
      <c r="AG11" s="941">
        <f t="shared" si="0"/>
        <v>132683.35999999999</v>
      </c>
      <c r="AH11" s="941">
        <f t="shared" si="0"/>
        <v>128221</v>
      </c>
      <c r="AI11" s="941">
        <f t="shared" si="0"/>
        <v>24577.38</v>
      </c>
      <c r="AJ11" s="941">
        <f t="shared" si="0"/>
        <v>5412.93</v>
      </c>
      <c r="AK11" s="941">
        <f t="shared" si="0"/>
        <v>23841.620000000003</v>
      </c>
      <c r="AL11" s="941">
        <f t="shared" si="0"/>
        <v>40329</v>
      </c>
      <c r="AM11" s="941">
        <f t="shared" si="0"/>
        <v>109805.52</v>
      </c>
      <c r="AN11" s="941">
        <f t="shared" si="0"/>
        <v>10377.6</v>
      </c>
      <c r="AO11" s="941">
        <f t="shared" ref="AO11:BT11" si="1">AO12-AO15</f>
        <v>19959.05</v>
      </c>
      <c r="AP11" s="941">
        <f t="shared" si="1"/>
        <v>61799.06</v>
      </c>
      <c r="AQ11" s="940">
        <f t="shared" si="1"/>
        <v>314406.28000000003</v>
      </c>
      <c r="AR11" s="940">
        <f t="shared" si="1"/>
        <v>25000</v>
      </c>
      <c r="AS11" s="940">
        <f t="shared" si="1"/>
        <v>9960</v>
      </c>
      <c r="AT11" s="940">
        <f t="shared" si="1"/>
        <v>20231.45</v>
      </c>
      <c r="AU11" s="940">
        <f t="shared" si="1"/>
        <v>77463.28</v>
      </c>
      <c r="AV11" s="940">
        <f t="shared" si="1"/>
        <v>29464.45</v>
      </c>
      <c r="AW11" s="940">
        <f t="shared" si="1"/>
        <v>53589.240000000005</v>
      </c>
      <c r="AX11" s="940">
        <f t="shared" si="1"/>
        <v>12500</v>
      </c>
      <c r="AY11" s="940">
        <f t="shared" si="1"/>
        <v>25750</v>
      </c>
      <c r="AZ11" s="940">
        <f t="shared" si="1"/>
        <v>5866</v>
      </c>
      <c r="BA11" s="940">
        <f t="shared" si="1"/>
        <v>4991.3599999999997</v>
      </c>
      <c r="BB11" s="940">
        <f t="shared" si="1"/>
        <v>9383.7000000000007</v>
      </c>
      <c r="BC11" s="940">
        <f t="shared" si="1"/>
        <v>43274.41</v>
      </c>
      <c r="BD11" s="940">
        <f t="shared" si="1"/>
        <v>15000</v>
      </c>
      <c r="BE11" s="942">
        <f t="shared" si="1"/>
        <v>14421.77</v>
      </c>
      <c r="BF11" s="942">
        <f t="shared" si="1"/>
        <v>59915.08</v>
      </c>
      <c r="BG11" s="938">
        <f t="shared" si="1"/>
        <v>16921.990000000002</v>
      </c>
      <c r="BH11" s="939">
        <f t="shared" si="1"/>
        <v>14966.1</v>
      </c>
      <c r="BI11" s="941">
        <f t="shared" si="1"/>
        <v>20624.899999999998</v>
      </c>
      <c r="BJ11" s="938">
        <f t="shared" si="1"/>
        <v>14148.870000000003</v>
      </c>
      <c r="BK11" s="938">
        <f t="shared" si="1"/>
        <v>23485.93</v>
      </c>
      <c r="BL11" s="938">
        <f t="shared" si="1"/>
        <v>44371.490000000005</v>
      </c>
      <c r="BM11" s="938">
        <f t="shared" si="1"/>
        <v>52770.240000000005</v>
      </c>
      <c r="BN11" s="938">
        <f t="shared" si="1"/>
        <v>21595.64</v>
      </c>
      <c r="BO11" s="938">
        <f t="shared" si="1"/>
        <v>20403.96</v>
      </c>
      <c r="BP11" s="938">
        <f t="shared" si="1"/>
        <v>26029.42</v>
      </c>
      <c r="BQ11" s="938">
        <f t="shared" si="1"/>
        <v>3288.1800000000003</v>
      </c>
      <c r="BR11" s="938">
        <f t="shared" si="1"/>
        <v>9102.17</v>
      </c>
      <c r="BS11" s="938">
        <f t="shared" si="1"/>
        <v>54902.909999999989</v>
      </c>
      <c r="BT11" s="939">
        <f t="shared" si="1"/>
        <v>14100.3</v>
      </c>
      <c r="BU11" s="941">
        <f t="shared" ref="BU11:BU21" si="2">+K11-SUM(L11:BT11)</f>
        <v>0</v>
      </c>
      <c r="BV11" s="943">
        <f t="shared" ref="BV11:BV21" si="3">((I11-K11)/K11)</f>
        <v>-1.9035891235351279E-2</v>
      </c>
      <c r="BW11" s="944">
        <f t="shared" ref="BW11:BW21" si="4">((L11-J11)/J11)</f>
        <v>-2.0251952434024844E-2</v>
      </c>
    </row>
    <row r="12" spans="1:75" x14ac:dyDescent="0.25">
      <c r="A12" s="518"/>
      <c r="C12" s="1033" t="s">
        <v>1289</v>
      </c>
      <c r="D12" s="1033"/>
      <c r="E12" s="1033"/>
      <c r="F12" s="1033"/>
      <c r="G12" s="519"/>
      <c r="H12" s="524" t="s">
        <v>1290</v>
      </c>
      <c r="I12" s="529">
        <f>+I13+I14+336400</f>
        <v>28040116</v>
      </c>
      <c r="J12" s="529">
        <f>+J13+J14+335322.33</f>
        <v>24583888.979999997</v>
      </c>
      <c r="K12" s="945">
        <f>+K13+K14+485451.63</f>
        <v>28653399.929999996</v>
      </c>
      <c r="L12" s="946">
        <f t="shared" ref="L12:L21" si="5">+K12-SUM(M12:BT12)</f>
        <v>24365054.799999997</v>
      </c>
      <c r="M12" s="529">
        <f>+M13+M14+514.62</f>
        <v>293944.18</v>
      </c>
      <c r="N12" s="529">
        <f>+N13+N14+1457.98</f>
        <v>204682.1</v>
      </c>
      <c r="O12" s="529">
        <f>+O13+O14+206.45</f>
        <v>43065.7</v>
      </c>
      <c r="P12" s="529">
        <f>+P13+P14+19.53+73.93</f>
        <v>36053.61</v>
      </c>
      <c r="Q12" s="529">
        <f>+Q13+Q14+645.19</f>
        <v>78638.47</v>
      </c>
      <c r="R12" s="529">
        <f t="shared" ref="R12:BH12" si="6">+R13+R14</f>
        <v>10601.61</v>
      </c>
      <c r="S12" s="529">
        <f t="shared" si="6"/>
        <v>150139.74</v>
      </c>
      <c r="T12" s="529">
        <f t="shared" si="6"/>
        <v>137881.70000000001</v>
      </c>
      <c r="U12" s="947">
        <f t="shared" si="6"/>
        <v>37995.83</v>
      </c>
      <c r="V12" s="947">
        <f t="shared" si="6"/>
        <v>4648.0600000000004</v>
      </c>
      <c r="W12" s="946">
        <f t="shared" si="6"/>
        <v>66000</v>
      </c>
      <c r="X12" s="529">
        <f t="shared" si="6"/>
        <v>67366.95</v>
      </c>
      <c r="Y12" s="529">
        <f t="shared" si="6"/>
        <v>10500</v>
      </c>
      <c r="Z12" s="946">
        <f t="shared" si="6"/>
        <v>40072.879999999997</v>
      </c>
      <c r="AA12" s="529">
        <f t="shared" si="6"/>
        <v>35254.19</v>
      </c>
      <c r="AB12" s="529">
        <f t="shared" si="6"/>
        <v>46269.71</v>
      </c>
      <c r="AC12" s="529">
        <f t="shared" si="6"/>
        <v>18548.54</v>
      </c>
      <c r="AD12" s="529">
        <f t="shared" si="6"/>
        <v>159476</v>
      </c>
      <c r="AE12" s="529">
        <f t="shared" si="6"/>
        <v>791573</v>
      </c>
      <c r="AF12" s="529">
        <f t="shared" si="6"/>
        <v>256093.4</v>
      </c>
      <c r="AG12" s="529">
        <f t="shared" si="6"/>
        <v>145635.54999999999</v>
      </c>
      <c r="AH12" s="529">
        <f t="shared" si="6"/>
        <v>128273</v>
      </c>
      <c r="AI12" s="529">
        <f t="shared" si="6"/>
        <v>30640.2</v>
      </c>
      <c r="AJ12" s="529">
        <f t="shared" si="6"/>
        <v>5789.45</v>
      </c>
      <c r="AK12" s="529">
        <f t="shared" si="6"/>
        <v>30557.15</v>
      </c>
      <c r="AL12" s="529">
        <f t="shared" si="6"/>
        <v>40329</v>
      </c>
      <c r="AM12" s="529">
        <f t="shared" si="6"/>
        <v>116047.8</v>
      </c>
      <c r="AN12" s="529">
        <f t="shared" si="6"/>
        <v>10377.6</v>
      </c>
      <c r="AO12" s="529">
        <f t="shared" si="6"/>
        <v>19959.05</v>
      </c>
      <c r="AP12" s="946">
        <f t="shared" si="6"/>
        <v>65201</v>
      </c>
      <c r="AQ12" s="529">
        <f t="shared" si="6"/>
        <v>332928</v>
      </c>
      <c r="AR12" s="529">
        <f t="shared" si="6"/>
        <v>25000</v>
      </c>
      <c r="AS12" s="529">
        <f t="shared" si="6"/>
        <v>10000</v>
      </c>
      <c r="AT12" s="529">
        <f t="shared" si="6"/>
        <v>20231.45</v>
      </c>
      <c r="AU12" s="529">
        <f t="shared" si="6"/>
        <v>77471.28</v>
      </c>
      <c r="AV12" s="529">
        <f t="shared" si="6"/>
        <v>30000</v>
      </c>
      <c r="AW12" s="529">
        <f t="shared" si="6"/>
        <v>53828.62</v>
      </c>
      <c r="AX12" s="529">
        <f t="shared" si="6"/>
        <v>12500</v>
      </c>
      <c r="AY12" s="529">
        <f t="shared" si="6"/>
        <v>25750</v>
      </c>
      <c r="AZ12" s="529">
        <f t="shared" si="6"/>
        <v>5866</v>
      </c>
      <c r="BA12" s="529">
        <f t="shared" si="6"/>
        <v>4991.3599999999997</v>
      </c>
      <c r="BB12" s="529">
        <f t="shared" si="6"/>
        <v>15000</v>
      </c>
      <c r="BC12" s="529">
        <f t="shared" si="6"/>
        <v>50000</v>
      </c>
      <c r="BD12" s="529">
        <f t="shared" si="6"/>
        <v>15000</v>
      </c>
      <c r="BE12" s="529">
        <f t="shared" si="6"/>
        <v>15000</v>
      </c>
      <c r="BF12" s="948">
        <f t="shared" si="6"/>
        <v>60000</v>
      </c>
      <c r="BG12" s="529">
        <f t="shared" si="6"/>
        <v>16921.990000000002</v>
      </c>
      <c r="BH12" s="947">
        <f t="shared" si="6"/>
        <v>15804.91</v>
      </c>
      <c r="BI12" s="946">
        <f>17700+3313.78</f>
        <v>21013.78</v>
      </c>
      <c r="BJ12" s="529">
        <f>+BJ13+BJ14+11471.64</f>
        <v>63467.4</v>
      </c>
      <c r="BK12" s="529">
        <v>30000</v>
      </c>
      <c r="BL12" s="529">
        <f>+BL13+BL14</f>
        <v>45549.120000000003</v>
      </c>
      <c r="BM12" s="529">
        <f>+BM13+BM14</f>
        <v>55772.9</v>
      </c>
      <c r="BN12" s="529">
        <v>26727.7</v>
      </c>
      <c r="BO12" s="529">
        <v>30000</v>
      </c>
      <c r="BP12" s="529">
        <v>28400</v>
      </c>
      <c r="BQ12" s="529">
        <v>5000</v>
      </c>
      <c r="BR12" s="529">
        <v>14310.17</v>
      </c>
      <c r="BS12" s="529">
        <v>76207.039999999994</v>
      </c>
      <c r="BT12" s="947">
        <v>23987.94</v>
      </c>
      <c r="BU12" s="949">
        <f t="shared" si="2"/>
        <v>0</v>
      </c>
      <c r="BV12" s="950">
        <f t="shared" si="3"/>
        <v>-2.1403530872365694E-2</v>
      </c>
      <c r="BW12" s="951">
        <f t="shared" si="4"/>
        <v>-8.9015281584630609E-3</v>
      </c>
    </row>
    <row r="13" spans="1:75" ht="14.4" x14ac:dyDescent="0.3">
      <c r="A13" s="518"/>
      <c r="B13" s="1028"/>
      <c r="C13" s="1028"/>
      <c r="D13" s="1029" t="s">
        <v>1291</v>
      </c>
      <c r="E13" s="1029"/>
      <c r="F13" s="1029"/>
      <c r="G13" s="519"/>
      <c r="H13" s="524">
        <v>70</v>
      </c>
      <c r="I13" s="529">
        <v>2074000</v>
      </c>
      <c r="J13" s="952">
        <v>2003400</v>
      </c>
      <c r="K13" s="945">
        <v>1734764.99</v>
      </c>
      <c r="L13" s="536">
        <f t="shared" si="5"/>
        <v>1575757.44</v>
      </c>
      <c r="M13" s="529">
        <v>255</v>
      </c>
      <c r="N13" s="529">
        <v>12475.29</v>
      </c>
      <c r="O13" s="529">
        <v>2150.92</v>
      </c>
      <c r="P13" s="948">
        <v>0</v>
      </c>
      <c r="Q13" s="948">
        <v>2965.3</v>
      </c>
      <c r="R13" s="948"/>
      <c r="S13" s="948"/>
      <c r="T13" s="945">
        <v>52796</v>
      </c>
      <c r="U13" s="947"/>
      <c r="V13" s="953"/>
      <c r="W13" s="954">
        <v>0</v>
      </c>
      <c r="X13" s="529">
        <v>0</v>
      </c>
      <c r="Y13" s="946">
        <v>0</v>
      </c>
      <c r="Z13" s="946">
        <v>0</v>
      </c>
      <c r="AA13" s="946">
        <v>0</v>
      </c>
      <c r="AB13" s="946">
        <v>0</v>
      </c>
      <c r="AC13" s="946">
        <v>2376</v>
      </c>
      <c r="AD13" s="529"/>
      <c r="AE13" s="948">
        <v>6860</v>
      </c>
      <c r="AF13" s="529"/>
      <c r="AG13" s="529"/>
      <c r="AH13" s="529"/>
      <c r="AI13" s="948">
        <v>1153.2</v>
      </c>
      <c r="AJ13" s="948"/>
      <c r="AK13" s="948"/>
      <c r="AL13" s="948">
        <v>0</v>
      </c>
      <c r="AM13" s="948">
        <v>1768.8</v>
      </c>
      <c r="AN13" s="529">
        <v>0</v>
      </c>
      <c r="AO13" s="529">
        <v>0</v>
      </c>
      <c r="AP13" s="946"/>
      <c r="AQ13" s="955"/>
      <c r="AR13" s="956"/>
      <c r="AS13" s="956"/>
      <c r="AT13" s="956"/>
      <c r="AU13" s="956"/>
      <c r="AV13" s="956"/>
      <c r="AW13" s="956"/>
      <c r="AX13" s="956"/>
      <c r="AY13" s="956"/>
      <c r="AZ13" s="956"/>
      <c r="BA13" s="956"/>
      <c r="BB13" s="956"/>
      <c r="BC13" s="956"/>
      <c r="BD13" s="956"/>
      <c r="BE13" s="956"/>
      <c r="BF13" s="957"/>
      <c r="BG13" s="958"/>
      <c r="BH13" s="959"/>
      <c r="BI13" s="946"/>
      <c r="BJ13" s="946"/>
      <c r="BK13" s="946"/>
      <c r="BL13" s="946"/>
      <c r="BM13" s="946"/>
      <c r="BN13" s="946"/>
      <c r="BO13" s="946"/>
      <c r="BP13" s="946"/>
      <c r="BQ13" s="946"/>
      <c r="BR13" s="946"/>
      <c r="BS13" s="946">
        <v>76207.039999999994</v>
      </c>
      <c r="BT13" s="960"/>
      <c r="BU13" s="961">
        <f t="shared" si="2"/>
        <v>0</v>
      </c>
      <c r="BV13" s="962">
        <f t="shared" si="3"/>
        <v>0.19555098930143847</v>
      </c>
      <c r="BW13" s="963">
        <f t="shared" si="4"/>
        <v>-0.21345840071877811</v>
      </c>
    </row>
    <row r="14" spans="1:75" x14ac:dyDescent="0.25">
      <c r="A14" s="518"/>
      <c r="D14" s="1030" t="s">
        <v>331</v>
      </c>
      <c r="E14" s="1030"/>
      <c r="F14" s="1030"/>
      <c r="G14" s="532"/>
      <c r="H14" s="524">
        <v>73</v>
      </c>
      <c r="I14" s="536">
        <v>25629716</v>
      </c>
      <c r="J14" s="952">
        <v>22245166.649999999</v>
      </c>
      <c r="K14" s="964">
        <v>26433183.309999999</v>
      </c>
      <c r="L14" s="536">
        <f t="shared" si="5"/>
        <v>22318235.07</v>
      </c>
      <c r="M14" s="529">
        <v>293174.56</v>
      </c>
      <c r="N14" s="529">
        <v>190748.83</v>
      </c>
      <c r="O14" s="529">
        <v>40708.33</v>
      </c>
      <c r="P14" s="948">
        <f>35556.61+31.22+300.8+14.58+49.17+7.77</f>
        <v>35960.15</v>
      </c>
      <c r="Q14" s="948">
        <v>75027.98</v>
      </c>
      <c r="R14" s="948">
        <v>10601.61</v>
      </c>
      <c r="S14" s="948">
        <v>150139.74</v>
      </c>
      <c r="T14" s="945">
        <v>85085.7</v>
      </c>
      <c r="U14" s="947">
        <f>8768.5+29227.33</f>
        <v>37995.83</v>
      </c>
      <c r="V14" s="953">
        <v>4648.0600000000004</v>
      </c>
      <c r="W14" s="954">
        <v>66000</v>
      </c>
      <c r="X14" s="536">
        <v>67366.95</v>
      </c>
      <c r="Y14" s="954">
        <v>10500</v>
      </c>
      <c r="Z14" s="954">
        <f>36717.95+10+3344.93</f>
        <v>40072.879999999997</v>
      </c>
      <c r="AA14" s="954">
        <f>34236.82+1017.37</f>
        <v>35254.19</v>
      </c>
      <c r="AB14" s="954">
        <v>46269.71</v>
      </c>
      <c r="AC14" s="954">
        <v>16172.54</v>
      </c>
      <c r="AD14" s="536">
        <f>159476</f>
        <v>159476</v>
      </c>
      <c r="AE14" s="965">
        <v>784713</v>
      </c>
      <c r="AF14" s="536">
        <v>256093.4</v>
      </c>
      <c r="AG14" s="536">
        <v>145635.54999999999</v>
      </c>
      <c r="AH14" s="536">
        <v>128273</v>
      </c>
      <c r="AI14" s="965">
        <v>29487</v>
      </c>
      <c r="AJ14" s="965">
        <v>5789.45</v>
      </c>
      <c r="AK14" s="965">
        <v>30557.15</v>
      </c>
      <c r="AL14" s="965">
        <v>40329</v>
      </c>
      <c r="AM14" s="966">
        <v>114279</v>
      </c>
      <c r="AN14" s="536">
        <v>10377.6</v>
      </c>
      <c r="AO14" s="536">
        <v>19959.05</v>
      </c>
      <c r="AP14" s="954">
        <f>65201</f>
        <v>65201</v>
      </c>
      <c r="AQ14" s="945">
        <v>332928</v>
      </c>
      <c r="AR14" s="946">
        <f>25000</f>
        <v>25000</v>
      </c>
      <c r="AS14" s="946">
        <v>10000</v>
      </c>
      <c r="AT14" s="967">
        <f>7386.52+1534.52+4048.52+7261.89</f>
        <v>20231.45</v>
      </c>
      <c r="AU14" s="946">
        <f>2900.72+3636.92+13933.36+2879.12+3398.84+24156.86+25301.02+6473.57+3710.06+3888.31-5630.6-3529.53-3647.37</f>
        <v>77471.28</v>
      </c>
      <c r="AV14" s="529">
        <v>30000</v>
      </c>
      <c r="AW14" s="529">
        <f>40000+13828.62</f>
        <v>53828.62</v>
      </c>
      <c r="AX14" s="529">
        <v>12500</v>
      </c>
      <c r="AY14" s="968">
        <v>25750</v>
      </c>
      <c r="AZ14" s="968">
        <v>5866</v>
      </c>
      <c r="BA14" s="969">
        <v>4991.3599999999997</v>
      </c>
      <c r="BB14" s="948">
        <v>15000</v>
      </c>
      <c r="BC14" s="948">
        <v>50000</v>
      </c>
      <c r="BD14" s="948">
        <v>15000</v>
      </c>
      <c r="BE14" s="948">
        <v>15000</v>
      </c>
      <c r="BF14" s="948">
        <v>60000</v>
      </c>
      <c r="BG14" s="529">
        <v>16921.990000000002</v>
      </c>
      <c r="BH14" s="947">
        <v>15804.91</v>
      </c>
      <c r="BI14" s="954">
        <f>17700+3313.78</f>
        <v>21013.78</v>
      </c>
      <c r="BJ14" s="954">
        <v>51995.76</v>
      </c>
      <c r="BK14" s="954">
        <v>30000</v>
      </c>
      <c r="BL14" s="954">
        <v>45549.120000000003</v>
      </c>
      <c r="BM14" s="954">
        <v>55772.9</v>
      </c>
      <c r="BN14" s="954">
        <v>26727.7</v>
      </c>
      <c r="BO14" s="954">
        <v>30000</v>
      </c>
      <c r="BP14" s="954">
        <v>28400</v>
      </c>
      <c r="BQ14" s="954">
        <v>5000</v>
      </c>
      <c r="BR14" s="954">
        <v>14310.17</v>
      </c>
      <c r="BS14" s="954"/>
      <c r="BT14" s="970">
        <v>23987.94</v>
      </c>
      <c r="BU14" s="961">
        <f t="shared" si="2"/>
        <v>0</v>
      </c>
      <c r="BV14" s="962">
        <f t="shared" si="3"/>
        <v>-3.0396161543510995E-2</v>
      </c>
      <c r="BW14" s="963">
        <f t="shared" si="4"/>
        <v>3.2846874626584013E-3</v>
      </c>
    </row>
    <row r="15" spans="1:75" ht="25.5" customHeight="1" x14ac:dyDescent="0.25">
      <c r="A15" s="518"/>
      <c r="B15" s="535"/>
      <c r="C15" s="1031" t="s">
        <v>1292</v>
      </c>
      <c r="D15" s="1031"/>
      <c r="E15" s="1031"/>
      <c r="F15" s="1031"/>
      <c r="G15" s="519"/>
      <c r="H15" s="524" t="s">
        <v>1293</v>
      </c>
      <c r="I15" s="536">
        <f>687500+3193200</f>
        <v>3880700</v>
      </c>
      <c r="J15" s="952">
        <v>3204422.848847046</v>
      </c>
      <c r="K15" s="964">
        <f>452007.86+3573155.64</f>
        <v>4025163.5</v>
      </c>
      <c r="L15" s="536">
        <f t="shared" si="5"/>
        <v>3418564.6</v>
      </c>
      <c r="M15" s="529">
        <f>1705.26+42274.13-14045.68</f>
        <v>29933.71</v>
      </c>
      <c r="N15" s="529">
        <f>3357.9+36708.7-9022.67</f>
        <v>31043.93</v>
      </c>
      <c r="O15" s="529">
        <f>750.61+6835.49-1685.54</f>
        <v>5900.5599999999995</v>
      </c>
      <c r="P15" s="948">
        <f>488.09+308.86+61.84+334.74+440.9+91.27+294.66+15.77+11.52+38.22+34.9+21.31+239.84+25.79+70.04+77.54</f>
        <v>2555.2900000000004</v>
      </c>
      <c r="Q15" s="948">
        <f>1424.97+13866.45-3992.8</f>
        <v>11298.619999999999</v>
      </c>
      <c r="R15" s="948"/>
      <c r="S15" s="948"/>
      <c r="T15" s="945">
        <v>63695.43</v>
      </c>
      <c r="U15" s="947">
        <v>2428.75</v>
      </c>
      <c r="V15" s="953">
        <f>168.99+43.56</f>
        <v>212.55</v>
      </c>
      <c r="W15" s="954">
        <v>0</v>
      </c>
      <c r="X15" s="536">
        <v>0</v>
      </c>
      <c r="Y15" s="954">
        <v>0</v>
      </c>
      <c r="Z15" s="954">
        <f>2219.38+528.75</f>
        <v>2748.13</v>
      </c>
      <c r="AA15" s="954">
        <v>3823.81</v>
      </c>
      <c r="AB15" s="954">
        <v>0</v>
      </c>
      <c r="AC15" s="954">
        <v>3536.03</v>
      </c>
      <c r="AD15" s="536">
        <v>657.81</v>
      </c>
      <c r="AE15" s="965">
        <f>213054.77-680.91-50</f>
        <v>212323.86</v>
      </c>
      <c r="AF15" s="536">
        <f>15962.76+35873.84</f>
        <v>51836.6</v>
      </c>
      <c r="AG15" s="536">
        <f>3427.18+9525.01</f>
        <v>12952.19</v>
      </c>
      <c r="AH15" s="536">
        <f>35.89+16.11</f>
        <v>52</v>
      </c>
      <c r="AI15" s="965">
        <f>7277.24-1214.42</f>
        <v>6062.82</v>
      </c>
      <c r="AJ15" s="965">
        <v>376.52</v>
      </c>
      <c r="AK15" s="965">
        <v>6715.53</v>
      </c>
      <c r="AL15" s="965">
        <v>0</v>
      </c>
      <c r="AM15" s="965">
        <f>8221.33-1979.05</f>
        <v>6242.28</v>
      </c>
      <c r="AN15" s="536">
        <v>0</v>
      </c>
      <c r="AO15" s="536">
        <v>0</v>
      </c>
      <c r="AP15" s="954">
        <f>461.13+2650.41+290.4</f>
        <v>3401.94</v>
      </c>
      <c r="AQ15" s="964">
        <v>18521.72</v>
      </c>
      <c r="AR15" s="954"/>
      <c r="AS15" s="954">
        <v>40</v>
      </c>
      <c r="AT15" s="954"/>
      <c r="AU15" s="954">
        <v>8</v>
      </c>
      <c r="AV15" s="971">
        <f>349.93+185.62</f>
        <v>535.54999999999995</v>
      </c>
      <c r="AW15" s="536">
        <f>29.91+27.79+12.95+78.73+90</f>
        <v>239.38</v>
      </c>
      <c r="AX15" s="536"/>
      <c r="AY15" s="536"/>
      <c r="AZ15" s="536"/>
      <c r="BA15" s="965"/>
      <c r="BB15" s="966">
        <f>64.46+57.84+201.87+393.19+486.49+23.8+123.41+41.67+8.11+806.93+108.86+1400.16+1869.58+29.93</f>
        <v>5616.3</v>
      </c>
      <c r="BC15" s="965">
        <f>80.37+72.32+205.35+469.2+568.59+29.76+139.55+939.47+136.08+1750.21+2321.5+13.19</f>
        <v>6725.5899999999992</v>
      </c>
      <c r="BD15" s="965"/>
      <c r="BE15" s="965">
        <f>6.97+92.2+12.56+11+455.5</f>
        <v>578.23</v>
      </c>
      <c r="BF15" s="965">
        <f>14.72+52.1+18.1</f>
        <v>84.920000000000016</v>
      </c>
      <c r="BG15" s="536"/>
      <c r="BH15" s="952">
        <f>48.12+317.74+405.97+10.98+56</f>
        <v>838.81000000000006</v>
      </c>
      <c r="BI15" s="954">
        <v>388.88</v>
      </c>
      <c r="BJ15" s="954">
        <v>49318.53</v>
      </c>
      <c r="BK15" s="954">
        <v>6514.07</v>
      </c>
      <c r="BL15" s="954">
        <v>1177.6300000000001</v>
      </c>
      <c r="BM15" s="954">
        <v>3002.66</v>
      </c>
      <c r="BN15" s="954">
        <v>5132.0600000000004</v>
      </c>
      <c r="BO15" s="954">
        <v>9596.0400000000009</v>
      </c>
      <c r="BP15" s="954">
        <v>2370.58</v>
      </c>
      <c r="BQ15" s="954">
        <v>1711.82</v>
      </c>
      <c r="BR15" s="954">
        <v>5208</v>
      </c>
      <c r="BS15" s="954">
        <v>21304.13</v>
      </c>
      <c r="BT15" s="970">
        <v>9887.64</v>
      </c>
      <c r="BU15" s="961">
        <f t="shared" si="2"/>
        <v>0</v>
      </c>
      <c r="BV15" s="962">
        <f t="shared" si="3"/>
        <v>-3.5890094899250678E-2</v>
      </c>
      <c r="BW15" s="963">
        <f t="shared" si="4"/>
        <v>6.6826933040376499E-2</v>
      </c>
    </row>
    <row r="16" spans="1:75" ht="26.25" customHeight="1" x14ac:dyDescent="0.25">
      <c r="A16" s="518"/>
      <c r="B16" s="1031" t="s">
        <v>1294</v>
      </c>
      <c r="C16" s="1031"/>
      <c r="D16" s="1031"/>
      <c r="E16" s="1031"/>
      <c r="F16" s="1031"/>
      <c r="G16" s="519" t="s">
        <v>1288</v>
      </c>
      <c r="H16" s="524">
        <v>62</v>
      </c>
      <c r="I16" s="529">
        <v>22425944.399999999</v>
      </c>
      <c r="J16" s="952">
        <v>19663481.880989406</v>
      </c>
      <c r="K16" s="964">
        <v>23442963.440000001</v>
      </c>
      <c r="L16" s="536">
        <f t="shared" si="5"/>
        <v>20038660.903343108</v>
      </c>
      <c r="M16" s="529">
        <v>251029.9</v>
      </c>
      <c r="N16" s="529">
        <v>168506.63</v>
      </c>
      <c r="O16" s="529">
        <v>36160.44</v>
      </c>
      <c r="P16" s="948">
        <f>34.53+37210.98</f>
        <v>37245.51</v>
      </c>
      <c r="Q16" s="948">
        <v>66416.039999999994</v>
      </c>
      <c r="R16" s="948">
        <v>18392.189999999999</v>
      </c>
      <c r="S16" s="948">
        <v>25996.38</v>
      </c>
      <c r="T16" s="945">
        <v>69108.87</v>
      </c>
      <c r="U16" s="947">
        <v>24287.49</v>
      </c>
      <c r="V16" s="953">
        <v>4228.99</v>
      </c>
      <c r="W16" s="954">
        <v>0</v>
      </c>
      <c r="X16" s="529">
        <v>77752.13</v>
      </c>
      <c r="Y16" s="946">
        <v>0</v>
      </c>
      <c r="Z16" s="946">
        <v>37152.800000000003</v>
      </c>
      <c r="AA16" s="946">
        <v>27634.44</v>
      </c>
      <c r="AB16" s="946">
        <v>40234.53</v>
      </c>
      <c r="AC16" s="946">
        <v>12636.51</v>
      </c>
      <c r="AD16" s="529">
        <v>140219.21</v>
      </c>
      <c r="AE16" s="948">
        <v>566280.1</v>
      </c>
      <c r="AF16" s="529">
        <f>45154.54+107613.26+4602.91</f>
        <v>157370.71</v>
      </c>
      <c r="AG16" s="529">
        <f>6643.8+27020.18+15154.67+33557.91</f>
        <v>82376.56</v>
      </c>
      <c r="AH16" s="529">
        <v>119043.84</v>
      </c>
      <c r="AI16" s="948">
        <v>22856.2</v>
      </c>
      <c r="AJ16" s="948">
        <v>2267.2600000000002</v>
      </c>
      <c r="AK16" s="948"/>
      <c r="AL16" s="948">
        <v>39584.58</v>
      </c>
      <c r="AM16" s="948">
        <v>108298.93</v>
      </c>
      <c r="AN16" s="529">
        <v>0</v>
      </c>
      <c r="AO16" s="529">
        <v>19959.05</v>
      </c>
      <c r="AP16" s="946">
        <f>33413.89+30889.35</f>
        <v>64303.24</v>
      </c>
      <c r="AQ16" s="945">
        <f>397411.011656893+18507.77</f>
        <v>415918.78165689303</v>
      </c>
      <c r="AR16" s="946">
        <v>22426.01</v>
      </c>
      <c r="AS16" s="946">
        <f>3860.31+4903+914.31</f>
        <v>9677.619999999999</v>
      </c>
      <c r="AT16" s="946">
        <v>17327.689999999999</v>
      </c>
      <c r="AU16" s="946">
        <f>28889.16+24232.1+25382.03</f>
        <v>78503.289999999994</v>
      </c>
      <c r="AV16" s="968">
        <v>28041.15</v>
      </c>
      <c r="AW16" s="529">
        <f>39786.38+13802.86</f>
        <v>53589.24</v>
      </c>
      <c r="AX16" s="529">
        <v>15332.26</v>
      </c>
      <c r="AY16" s="529">
        <f>17487.03+8550.56</f>
        <v>26037.589999999997</v>
      </c>
      <c r="AZ16" s="529">
        <f>2573.54+3268.66</f>
        <v>5842.2</v>
      </c>
      <c r="BA16" s="948"/>
      <c r="BB16" s="948">
        <v>20443.009999999998</v>
      </c>
      <c r="BC16" s="948">
        <f>24848.58+22426.81</f>
        <v>47275.39</v>
      </c>
      <c r="BD16" s="948">
        <f>5790.48+7354.51+1904.82</f>
        <v>15049.81</v>
      </c>
      <c r="BE16" s="948">
        <v>16671.47</v>
      </c>
      <c r="BF16" s="948">
        <f>((24701.38+20520.41+10738.3+1374.17)+(57334.26*10%))</f>
        <v>63067.685999999994</v>
      </c>
      <c r="BG16" s="529">
        <v>16921.990000000002</v>
      </c>
      <c r="BH16" s="947">
        <f>+((19296.58)+(19296.58*5%))-0.01</f>
        <v>20261.399000000005</v>
      </c>
      <c r="BI16" s="946">
        <v>20642.32</v>
      </c>
      <c r="BJ16" s="946">
        <v>32124.98</v>
      </c>
      <c r="BK16" s="946">
        <v>24753.35</v>
      </c>
      <c r="BL16" s="946">
        <v>48897.88</v>
      </c>
      <c r="BM16" s="946">
        <v>43732.09</v>
      </c>
      <c r="BN16" s="946">
        <v>29798.77</v>
      </c>
      <c r="BO16" s="946">
        <v>35974.07</v>
      </c>
      <c r="BP16" s="946">
        <v>28027.7</v>
      </c>
      <c r="BQ16" s="946">
        <v>8995.0300000000007</v>
      </c>
      <c r="BR16" s="946">
        <v>10220.370000000001</v>
      </c>
      <c r="BS16" s="946">
        <v>14544</v>
      </c>
      <c r="BT16" s="960">
        <v>14862.86</v>
      </c>
      <c r="BU16" s="961">
        <f t="shared" si="2"/>
        <v>0</v>
      </c>
      <c r="BV16" s="962">
        <f t="shared" si="3"/>
        <v>-4.338269957221768E-2</v>
      </c>
      <c r="BW16" s="963">
        <f t="shared" si="4"/>
        <v>1.9079989221869358E-2</v>
      </c>
    </row>
    <row r="17" spans="1:75" ht="38.25" customHeight="1" x14ac:dyDescent="0.25">
      <c r="A17" s="518"/>
      <c r="B17" s="1031" t="s">
        <v>1295</v>
      </c>
      <c r="C17" s="1031"/>
      <c r="D17" s="1031"/>
      <c r="E17" s="1031"/>
      <c r="F17" s="1031"/>
      <c r="G17" s="519" t="s">
        <v>1288</v>
      </c>
      <c r="H17" s="524">
        <v>630</v>
      </c>
      <c r="I17" s="536">
        <f>44400+407000+435000+26000+228000+209000+80000+27000+6000</f>
        <v>1462400</v>
      </c>
      <c r="J17" s="952">
        <v>1448146.9221020397</v>
      </c>
      <c r="K17" s="964">
        <v>1186730.26</v>
      </c>
      <c r="L17" s="536">
        <f t="shared" si="5"/>
        <v>1132867.05</v>
      </c>
      <c r="M17" s="529">
        <v>14045.68</v>
      </c>
      <c r="N17" s="529">
        <v>9022.67</v>
      </c>
      <c r="O17" s="529">
        <v>1685.54</v>
      </c>
      <c r="P17" s="948">
        <v>884.96</v>
      </c>
      <c r="Q17" s="948">
        <v>3992.8</v>
      </c>
      <c r="R17" s="948"/>
      <c r="S17" s="948"/>
      <c r="T17" s="945"/>
      <c r="U17" s="947">
        <v>1122</v>
      </c>
      <c r="V17" s="953">
        <v>206.52</v>
      </c>
      <c r="W17" s="954">
        <v>0</v>
      </c>
      <c r="X17" s="536">
        <v>0</v>
      </c>
      <c r="Y17" s="954">
        <v>0</v>
      </c>
      <c r="Z17" s="954">
        <v>171.95</v>
      </c>
      <c r="AA17" s="954">
        <v>0</v>
      </c>
      <c r="AB17" s="954">
        <v>0</v>
      </c>
      <c r="AC17" s="954">
        <v>0</v>
      </c>
      <c r="AD17" s="536">
        <v>1034.27</v>
      </c>
      <c r="AE17" s="965">
        <v>680.93</v>
      </c>
      <c r="AF17" s="536"/>
      <c r="AG17" s="536"/>
      <c r="AH17" s="536">
        <v>341.14</v>
      </c>
      <c r="AI17" s="965">
        <v>1214.42</v>
      </c>
      <c r="AJ17" s="965"/>
      <c r="AK17" s="965">
        <v>17285.13</v>
      </c>
      <c r="AL17" s="965">
        <v>0</v>
      </c>
      <c r="AM17" s="965">
        <v>1979.05</v>
      </c>
      <c r="AN17" s="536">
        <v>0</v>
      </c>
      <c r="AO17" s="536">
        <v>0</v>
      </c>
      <c r="AP17" s="954"/>
      <c r="AQ17" s="964"/>
      <c r="AR17" s="954"/>
      <c r="AS17" s="954"/>
      <c r="AT17" s="954"/>
      <c r="AU17" s="954"/>
      <c r="AV17" s="536"/>
      <c r="AW17" s="536"/>
      <c r="AX17" s="536"/>
      <c r="AY17" s="536"/>
      <c r="AZ17" s="536"/>
      <c r="BA17" s="965"/>
      <c r="BB17" s="965"/>
      <c r="BC17" s="965"/>
      <c r="BD17" s="965"/>
      <c r="BE17" s="965"/>
      <c r="BF17" s="965">
        <v>196.15</v>
      </c>
      <c r="BG17" s="536"/>
      <c r="BH17" s="952"/>
      <c r="BI17" s="954"/>
      <c r="BJ17" s="954"/>
      <c r="BK17" s="954"/>
      <c r="BL17" s="954"/>
      <c r="BM17" s="954"/>
      <c r="BN17" s="954"/>
      <c r="BO17" s="954"/>
      <c r="BP17" s="954"/>
      <c r="BQ17" s="954"/>
      <c r="BR17" s="954"/>
      <c r="BS17" s="954"/>
      <c r="BT17" s="970"/>
      <c r="BU17" s="961">
        <f t="shared" si="2"/>
        <v>0</v>
      </c>
      <c r="BV17" s="962">
        <f t="shared" si="3"/>
        <v>0.23229351209094473</v>
      </c>
      <c r="BW17" s="963">
        <f t="shared" si="4"/>
        <v>-0.21771262797313345</v>
      </c>
    </row>
    <row r="18" spans="1:75" ht="39" customHeight="1" x14ac:dyDescent="0.25">
      <c r="A18" s="518"/>
      <c r="B18" s="1031" t="s">
        <v>1296</v>
      </c>
      <c r="C18" s="1031"/>
      <c r="D18" s="1031"/>
      <c r="E18" s="1031"/>
      <c r="F18" s="1031"/>
      <c r="G18" s="519" t="s">
        <v>1288</v>
      </c>
      <c r="H18" s="524" t="s">
        <v>1297</v>
      </c>
      <c r="I18" s="536"/>
      <c r="J18" s="952">
        <v>0</v>
      </c>
      <c r="K18" s="964">
        <f>125607.3-189298.18</f>
        <v>-63690.87999999999</v>
      </c>
      <c r="L18" s="536">
        <f t="shared" si="5"/>
        <v>-63690.87999999999</v>
      </c>
      <c r="M18" s="529"/>
      <c r="N18" s="529"/>
      <c r="O18" s="529"/>
      <c r="P18" s="948"/>
      <c r="Q18" s="948"/>
      <c r="R18" s="948"/>
      <c r="S18" s="948"/>
      <c r="T18" s="945"/>
      <c r="U18" s="947"/>
      <c r="V18" s="953"/>
      <c r="W18" s="954">
        <v>0</v>
      </c>
      <c r="X18" s="536">
        <v>0</v>
      </c>
      <c r="Y18" s="954">
        <v>0</v>
      </c>
      <c r="Z18" s="954">
        <v>0</v>
      </c>
      <c r="AA18" s="954">
        <v>0</v>
      </c>
      <c r="AB18" s="954">
        <v>0</v>
      </c>
      <c r="AC18" s="954">
        <v>0</v>
      </c>
      <c r="AD18" s="536"/>
      <c r="AE18" s="965"/>
      <c r="AF18" s="536"/>
      <c r="AG18" s="536"/>
      <c r="AH18" s="536"/>
      <c r="AI18" s="965"/>
      <c r="AJ18" s="965"/>
      <c r="AK18" s="965"/>
      <c r="AL18" s="965">
        <v>0</v>
      </c>
      <c r="AM18" s="965"/>
      <c r="AN18" s="536">
        <v>0</v>
      </c>
      <c r="AO18" s="536">
        <v>0</v>
      </c>
      <c r="AP18" s="954"/>
      <c r="AQ18" s="964"/>
      <c r="AR18" s="954"/>
      <c r="AS18" s="954"/>
      <c r="AT18" s="954"/>
      <c r="AU18" s="954"/>
      <c r="AV18" s="536"/>
      <c r="AW18" s="536"/>
      <c r="AX18" s="536"/>
      <c r="AY18" s="536"/>
      <c r="AZ18" s="536"/>
      <c r="BA18" s="965"/>
      <c r="BB18" s="965"/>
      <c r="BC18" s="965"/>
      <c r="BD18" s="965"/>
      <c r="BE18" s="965"/>
      <c r="BF18" s="965"/>
      <c r="BG18" s="536"/>
      <c r="BH18" s="952"/>
      <c r="BI18" s="954"/>
      <c r="BJ18" s="954"/>
      <c r="BK18" s="954"/>
      <c r="BL18" s="954"/>
      <c r="BM18" s="954"/>
      <c r="BN18" s="954"/>
      <c r="BO18" s="954"/>
      <c r="BP18" s="954"/>
      <c r="BQ18" s="954"/>
      <c r="BR18" s="954"/>
      <c r="BS18" s="954"/>
      <c r="BT18" s="970"/>
      <c r="BU18" s="961">
        <f t="shared" si="2"/>
        <v>0</v>
      </c>
      <c r="BV18" s="962">
        <f t="shared" si="3"/>
        <v>-1</v>
      </c>
      <c r="BW18" s="963" t="e">
        <f t="shared" si="4"/>
        <v>#DIV/0!</v>
      </c>
    </row>
    <row r="19" spans="1:75" ht="24.75" customHeight="1" x14ac:dyDescent="0.25">
      <c r="A19" s="518"/>
      <c r="B19" s="1031" t="s">
        <v>1298</v>
      </c>
      <c r="C19" s="1031"/>
      <c r="D19" s="1031"/>
      <c r="E19" s="1031"/>
      <c r="F19" s="1031"/>
      <c r="G19" s="519" t="s">
        <v>1288</v>
      </c>
      <c r="H19" s="524" t="s">
        <v>1299</v>
      </c>
      <c r="I19" s="536">
        <f>-18000-10000</f>
        <v>-28000</v>
      </c>
      <c r="J19" s="952">
        <v>-28000</v>
      </c>
      <c r="K19" s="964">
        <f>50882.9-69696.86</f>
        <v>-18813.96</v>
      </c>
      <c r="L19" s="536">
        <f t="shared" si="5"/>
        <v>-18813.96</v>
      </c>
      <c r="M19" s="529"/>
      <c r="N19" s="529"/>
      <c r="O19" s="529"/>
      <c r="P19" s="948"/>
      <c r="Q19" s="948"/>
      <c r="R19" s="948"/>
      <c r="S19" s="948"/>
      <c r="T19" s="945"/>
      <c r="U19" s="947"/>
      <c r="V19" s="953"/>
      <c r="W19" s="954">
        <v>0</v>
      </c>
      <c r="X19" s="536">
        <v>0</v>
      </c>
      <c r="Y19" s="954">
        <v>0</v>
      </c>
      <c r="Z19" s="954">
        <v>0</v>
      </c>
      <c r="AA19" s="954">
        <v>0</v>
      </c>
      <c r="AB19" s="954">
        <v>0</v>
      </c>
      <c r="AC19" s="954">
        <v>0</v>
      </c>
      <c r="AD19" s="536"/>
      <c r="AE19" s="965"/>
      <c r="AF19" s="536"/>
      <c r="AG19" s="536"/>
      <c r="AH19" s="536"/>
      <c r="AI19" s="965"/>
      <c r="AJ19" s="965"/>
      <c r="AK19" s="965"/>
      <c r="AL19" s="965">
        <v>0</v>
      </c>
      <c r="AM19" s="965"/>
      <c r="AN19" s="536">
        <v>0</v>
      </c>
      <c r="AO19" s="536">
        <v>0</v>
      </c>
      <c r="AP19" s="954"/>
      <c r="AQ19" s="964"/>
      <c r="AR19" s="954"/>
      <c r="AS19" s="954"/>
      <c r="AT19" s="954"/>
      <c r="AU19" s="954"/>
      <c r="AV19" s="536"/>
      <c r="AW19" s="536"/>
      <c r="AX19" s="536"/>
      <c r="AY19" s="536"/>
      <c r="AZ19" s="536"/>
      <c r="BA19" s="965"/>
      <c r="BB19" s="965"/>
      <c r="BC19" s="965"/>
      <c r="BD19" s="965"/>
      <c r="BE19" s="965"/>
      <c r="BF19" s="965"/>
      <c r="BG19" s="536"/>
      <c r="BH19" s="952"/>
      <c r="BI19" s="954"/>
      <c r="BJ19" s="954"/>
      <c r="BK19" s="954"/>
      <c r="BL19" s="954"/>
      <c r="BM19" s="954"/>
      <c r="BN19" s="954"/>
      <c r="BO19" s="954"/>
      <c r="BP19" s="954"/>
      <c r="BQ19" s="954"/>
      <c r="BR19" s="954"/>
      <c r="BS19" s="954"/>
      <c r="BT19" s="970"/>
      <c r="BU19" s="961">
        <f t="shared" si="2"/>
        <v>0</v>
      </c>
      <c r="BV19" s="962">
        <f t="shared" si="3"/>
        <v>0.48825659244518438</v>
      </c>
      <c r="BW19" s="963">
        <f t="shared" si="4"/>
        <v>-0.32807285714285717</v>
      </c>
    </row>
    <row r="20" spans="1:75" ht="12.75" customHeight="1" x14ac:dyDescent="0.25">
      <c r="A20" s="518"/>
      <c r="B20" s="1031" t="s">
        <v>1300</v>
      </c>
      <c r="C20" s="1031"/>
      <c r="D20" s="1031"/>
      <c r="E20" s="1031"/>
      <c r="F20" s="1031"/>
      <c r="G20" s="519"/>
      <c r="H20" s="524" t="s">
        <v>1301</v>
      </c>
      <c r="I20" s="536">
        <v>438400</v>
      </c>
      <c r="J20" s="952">
        <v>369772.89183721162</v>
      </c>
      <c r="K20" s="964">
        <f>391327.2-1.2</f>
        <v>391326</v>
      </c>
      <c r="L20" s="536">
        <f t="shared" si="5"/>
        <v>85257.199999999953</v>
      </c>
      <c r="M20" s="529">
        <v>589.38</v>
      </c>
      <c r="N20" s="529">
        <v>394.05</v>
      </c>
      <c r="O20" s="529">
        <v>94.64</v>
      </c>
      <c r="P20" s="948">
        <f>28.4+79.22+9.18</f>
        <v>116.80000000000001</v>
      </c>
      <c r="Q20" s="948">
        <v>174.38</v>
      </c>
      <c r="R20" s="948"/>
      <c r="S20" s="948">
        <v>124143.36</v>
      </c>
      <c r="T20" s="945">
        <v>62</v>
      </c>
      <c r="U20" s="947">
        <v>10157.59</v>
      </c>
      <c r="V20" s="953"/>
      <c r="W20" s="954">
        <v>66000</v>
      </c>
      <c r="X20" s="536">
        <v>0</v>
      </c>
      <c r="Y20" s="954">
        <v>10500</v>
      </c>
      <c r="Z20" s="954">
        <v>0</v>
      </c>
      <c r="AA20" s="954">
        <v>13559.12</v>
      </c>
      <c r="AB20" s="954">
        <v>6035.18</v>
      </c>
      <c r="AC20" s="954">
        <v>0</v>
      </c>
      <c r="AD20" s="536">
        <f>18688+50+215-1034.27</f>
        <v>17918.73</v>
      </c>
      <c r="AE20" s="965">
        <f>12350+50</f>
        <v>12400</v>
      </c>
      <c r="AF20" s="536"/>
      <c r="AG20" s="536"/>
      <c r="AH20" s="536">
        <f>9277+410-341.14</f>
        <v>9345.86</v>
      </c>
      <c r="AI20" s="965">
        <v>2829</v>
      </c>
      <c r="AJ20" s="965"/>
      <c r="AK20" s="965"/>
      <c r="AL20" s="965">
        <v>6049</v>
      </c>
      <c r="AM20" s="965">
        <v>2893</v>
      </c>
      <c r="AN20" s="536">
        <v>10805.1</v>
      </c>
      <c r="AO20" s="536">
        <v>0</v>
      </c>
      <c r="AP20" s="954"/>
      <c r="AQ20" s="964"/>
      <c r="AR20" s="954">
        <v>510.95</v>
      </c>
      <c r="AS20" s="954">
        <v>373.83</v>
      </c>
      <c r="AT20" s="954"/>
      <c r="AU20" s="954">
        <v>100</v>
      </c>
      <c r="AV20" s="536">
        <v>250</v>
      </c>
      <c r="AW20" s="536"/>
      <c r="AX20" s="536"/>
      <c r="AY20" s="536">
        <f>280.95+70</f>
        <v>350.95</v>
      </c>
      <c r="AZ20" s="536">
        <v>55.28</v>
      </c>
      <c r="BA20" s="965">
        <v>4991.3599999999997</v>
      </c>
      <c r="BB20" s="965"/>
      <c r="BC20" s="966"/>
      <c r="BD20" s="966">
        <f>641.74+3.95</f>
        <v>645.69000000000005</v>
      </c>
      <c r="BE20" s="965"/>
      <c r="BF20" s="965"/>
      <c r="BG20" s="536"/>
      <c r="BH20" s="952"/>
      <c r="BI20" s="954">
        <v>1237.5</v>
      </c>
      <c r="BJ20" s="954">
        <v>759.44</v>
      </c>
      <c r="BK20" s="954">
        <v>200</v>
      </c>
      <c r="BL20" s="954"/>
      <c r="BM20" s="954"/>
      <c r="BN20" s="954"/>
      <c r="BO20" s="954">
        <v>50.4</v>
      </c>
      <c r="BP20" s="954"/>
      <c r="BQ20" s="954">
        <v>986.65</v>
      </c>
      <c r="BR20" s="954">
        <v>148.79</v>
      </c>
      <c r="BS20" s="954">
        <v>1192.01</v>
      </c>
      <c r="BT20" s="970">
        <v>148.76</v>
      </c>
      <c r="BU20" s="961">
        <f t="shared" si="2"/>
        <v>0</v>
      </c>
      <c r="BV20" s="962">
        <f t="shared" si="3"/>
        <v>0.12029356597823809</v>
      </c>
      <c r="BW20" s="963">
        <f t="shared" si="4"/>
        <v>-0.76943361213851913</v>
      </c>
    </row>
    <row r="21" spans="1:75" ht="24.75" customHeight="1" x14ac:dyDescent="0.25">
      <c r="A21" s="518"/>
      <c r="B21" s="1031" t="s">
        <v>1302</v>
      </c>
      <c r="C21" s="1031"/>
      <c r="D21" s="1031"/>
      <c r="E21" s="1031"/>
      <c r="F21" s="1031"/>
      <c r="G21" s="519" t="s">
        <v>1303</v>
      </c>
      <c r="H21" s="524">
        <v>649</v>
      </c>
      <c r="I21" s="536">
        <v>0</v>
      </c>
      <c r="J21" s="952">
        <v>0</v>
      </c>
      <c r="K21" s="964">
        <v>1.2</v>
      </c>
      <c r="L21" s="536">
        <f t="shared" si="5"/>
        <v>-48.8</v>
      </c>
      <c r="M21" s="529"/>
      <c r="N21" s="529"/>
      <c r="O21" s="529"/>
      <c r="P21" s="948"/>
      <c r="Q21" s="948"/>
      <c r="R21" s="948"/>
      <c r="S21" s="948"/>
      <c r="T21" s="945"/>
      <c r="U21" s="947"/>
      <c r="V21" s="953"/>
      <c r="W21" s="954">
        <v>0</v>
      </c>
      <c r="X21" s="536">
        <v>0</v>
      </c>
      <c r="Y21" s="954">
        <v>0</v>
      </c>
      <c r="Z21" s="954">
        <v>0</v>
      </c>
      <c r="AA21" s="954">
        <v>0</v>
      </c>
      <c r="AB21" s="954">
        <v>0</v>
      </c>
      <c r="AC21" s="954">
        <v>0</v>
      </c>
      <c r="AD21" s="536"/>
      <c r="AE21" s="965"/>
      <c r="AF21" s="536"/>
      <c r="AG21" s="536"/>
      <c r="AH21" s="536"/>
      <c r="AI21" s="965"/>
      <c r="AJ21" s="965"/>
      <c r="AK21" s="965"/>
      <c r="AL21" s="965">
        <v>0</v>
      </c>
      <c r="AM21" s="965"/>
      <c r="AN21" s="536">
        <v>0</v>
      </c>
      <c r="AO21" s="536">
        <v>0</v>
      </c>
      <c r="AP21" s="954"/>
      <c r="AQ21" s="964"/>
      <c r="AR21" s="954"/>
      <c r="AS21" s="954"/>
      <c r="AT21" s="954"/>
      <c r="AU21" s="954"/>
      <c r="AV21" s="536"/>
      <c r="AW21" s="536"/>
      <c r="AX21" s="536"/>
      <c r="AY21" s="536"/>
      <c r="AZ21" s="536"/>
      <c r="BA21" s="965"/>
      <c r="BB21" s="965"/>
      <c r="BC21" s="965"/>
      <c r="BD21" s="965"/>
      <c r="BE21" s="965"/>
      <c r="BF21" s="965"/>
      <c r="BG21" s="536"/>
      <c r="BH21" s="952"/>
      <c r="BI21" s="954"/>
      <c r="BJ21" s="954"/>
      <c r="BK21" s="954"/>
      <c r="BL21" s="954"/>
      <c r="BM21" s="954"/>
      <c r="BN21" s="954">
        <v>50</v>
      </c>
      <c r="BO21" s="954"/>
      <c r="BP21" s="954"/>
      <c r="BQ21" s="954"/>
      <c r="BR21" s="954"/>
      <c r="BS21" s="954"/>
      <c r="BT21" s="970"/>
      <c r="BU21" s="961">
        <f t="shared" si="2"/>
        <v>-2.886579864025407E-15</v>
      </c>
      <c r="BV21" s="962">
        <f t="shared" si="3"/>
        <v>-1</v>
      </c>
      <c r="BW21" s="963" t="e">
        <f t="shared" si="4"/>
        <v>#DIV/0!</v>
      </c>
    </row>
    <row r="22" spans="1:75" x14ac:dyDescent="0.25">
      <c r="A22" s="518"/>
      <c r="B22" s="537"/>
      <c r="C22" s="500"/>
      <c r="G22" s="519"/>
      <c r="H22" s="524"/>
      <c r="I22" s="527"/>
      <c r="J22" s="972"/>
      <c r="K22" s="973"/>
      <c r="L22" s="538"/>
      <c r="M22" s="529"/>
      <c r="N22" s="527"/>
      <c r="O22" s="527"/>
      <c r="P22" s="974"/>
      <c r="Q22" s="974"/>
      <c r="R22" s="974"/>
      <c r="S22" s="974"/>
      <c r="T22" s="975"/>
      <c r="U22" s="972"/>
      <c r="V22" s="976"/>
      <c r="W22" s="954"/>
      <c r="X22" s="527"/>
      <c r="Y22" s="936"/>
      <c r="Z22" s="936"/>
      <c r="AA22" s="936"/>
      <c r="AB22" s="936"/>
      <c r="AD22" s="527"/>
      <c r="AE22" s="974"/>
      <c r="AF22" s="527"/>
      <c r="AG22" s="527"/>
      <c r="AH22" s="527"/>
      <c r="AI22" s="974"/>
      <c r="AJ22" s="974"/>
      <c r="AK22" s="974"/>
      <c r="AL22" s="974"/>
      <c r="AM22" s="974"/>
      <c r="AN22" s="527"/>
      <c r="AO22" s="527"/>
      <c r="AP22" s="936"/>
      <c r="AQ22" s="945"/>
      <c r="AR22" s="936"/>
      <c r="AS22" s="936"/>
      <c r="AT22" s="936"/>
      <c r="AU22" s="936"/>
      <c r="AV22" s="527"/>
      <c r="AW22" s="527"/>
      <c r="AX22" s="527"/>
      <c r="AY22" s="527"/>
      <c r="AZ22" s="527"/>
      <c r="BA22" s="974"/>
      <c r="BB22" s="974"/>
      <c r="BC22" s="974"/>
      <c r="BD22" s="974"/>
      <c r="BE22" s="974"/>
      <c r="BF22" s="974"/>
      <c r="BG22" s="527"/>
      <c r="BH22" s="972"/>
      <c r="BI22" s="936"/>
      <c r="BJ22" s="936"/>
      <c r="BK22" s="936"/>
      <c r="BL22" s="936"/>
      <c r="BM22" s="936"/>
      <c r="BN22" s="936"/>
      <c r="BO22" s="936"/>
      <c r="BP22" s="936"/>
      <c r="BQ22" s="936"/>
      <c r="BR22" s="936"/>
      <c r="BS22" s="936"/>
      <c r="BT22" s="977"/>
      <c r="BU22" s="936"/>
      <c r="BV22" s="978"/>
      <c r="BW22" s="937"/>
    </row>
    <row r="23" spans="1:75" s="498" customFormat="1" x14ac:dyDescent="0.25">
      <c r="A23" s="1032" t="s">
        <v>1304</v>
      </c>
      <c r="B23" s="1032"/>
      <c r="C23" s="1032"/>
      <c r="D23" s="1032"/>
      <c r="E23" s="1032"/>
      <c r="F23" s="1032"/>
      <c r="G23" s="539" t="s">
        <v>1288</v>
      </c>
      <c r="H23" s="540">
        <v>9901</v>
      </c>
      <c r="I23" s="536">
        <f t="shared" ref="I23:AN23" si="7">I11-I16-I17-I18-I19-I20-I21</f>
        <v>-139328.39999999851</v>
      </c>
      <c r="J23" s="952">
        <f t="shared" si="7"/>
        <v>-73935.563775707327</v>
      </c>
      <c r="K23" s="964">
        <f t="shared" si="7"/>
        <v>-310279.63000000542</v>
      </c>
      <c r="L23" s="533">
        <f t="shared" si="7"/>
        <v>-227741.31334311204</v>
      </c>
      <c r="M23" s="536">
        <f t="shared" si="7"/>
        <v>-1654.4900000000225</v>
      </c>
      <c r="N23" s="536">
        <f t="shared" si="7"/>
        <v>-4285.1799999999921</v>
      </c>
      <c r="O23" s="536">
        <f t="shared" si="7"/>
        <v>-775.48000000000286</v>
      </c>
      <c r="P23" s="536">
        <f t="shared" si="7"/>
        <v>-4748.9500000000025</v>
      </c>
      <c r="Q23" s="536">
        <f t="shared" si="7"/>
        <v>-3243.3699999999881</v>
      </c>
      <c r="R23" s="536">
        <f t="shared" si="7"/>
        <v>-7790.5799999999981</v>
      </c>
      <c r="S23" s="536">
        <f t="shared" si="7"/>
        <v>-1.4551915228366852E-11</v>
      </c>
      <c r="T23" s="964">
        <f t="shared" si="7"/>
        <v>5015.4000000000233</v>
      </c>
      <c r="U23" s="964">
        <f t="shared" si="7"/>
        <v>0</v>
      </c>
      <c r="V23" s="952">
        <f t="shared" si="7"/>
        <v>4.2632564145606011E-13</v>
      </c>
      <c r="W23" s="954">
        <f t="shared" si="7"/>
        <v>0</v>
      </c>
      <c r="X23" s="536">
        <f t="shared" si="7"/>
        <v>-10385.180000000008</v>
      </c>
      <c r="Y23" s="536">
        <f t="shared" si="7"/>
        <v>0</v>
      </c>
      <c r="Z23" s="954">
        <f t="shared" si="7"/>
        <v>-2.8990143619012088E-12</v>
      </c>
      <c r="AA23" s="536">
        <f t="shared" si="7"/>
        <v>-9763.1799999999985</v>
      </c>
      <c r="AB23" s="954">
        <f t="shared" si="7"/>
        <v>0</v>
      </c>
      <c r="AC23" s="954">
        <f t="shared" si="7"/>
        <v>2376</v>
      </c>
      <c r="AD23" s="536">
        <f t="shared" si="7"/>
        <v>-354.01999999998952</v>
      </c>
      <c r="AE23" s="536">
        <f t="shared" si="7"/>
        <v>-111.88999999996304</v>
      </c>
      <c r="AF23" s="536">
        <f t="shared" si="7"/>
        <v>46886.09</v>
      </c>
      <c r="AG23" s="536">
        <f t="shared" si="7"/>
        <v>50306.799999999988</v>
      </c>
      <c r="AH23" s="536">
        <f t="shared" si="7"/>
        <v>-509.83999999999651</v>
      </c>
      <c r="AI23" s="536">
        <f t="shared" si="7"/>
        <v>-2322.2399999999998</v>
      </c>
      <c r="AJ23" s="536">
        <f t="shared" si="7"/>
        <v>3145.67</v>
      </c>
      <c r="AK23" s="536">
        <f t="shared" si="7"/>
        <v>6556.4900000000016</v>
      </c>
      <c r="AL23" s="536">
        <f t="shared" si="7"/>
        <v>-5304.5800000000017</v>
      </c>
      <c r="AM23" s="536">
        <f t="shared" si="7"/>
        <v>-3365.4599999999891</v>
      </c>
      <c r="AN23" s="536">
        <f t="shared" si="7"/>
        <v>-427.5</v>
      </c>
      <c r="AO23" s="536">
        <f t="shared" ref="AO23:BT23" si="8">AO11-AO16-AO17-AO18-AO19-AO20-AO21</f>
        <v>0</v>
      </c>
      <c r="AP23" s="954">
        <f t="shared" si="8"/>
        <v>-2504.1800000000003</v>
      </c>
      <c r="AQ23" s="954">
        <f t="shared" si="8"/>
        <v>-101512.501656893</v>
      </c>
      <c r="AR23" s="954">
        <f t="shared" si="8"/>
        <v>2063.0400000000018</v>
      </c>
      <c r="AS23" s="954">
        <f t="shared" si="8"/>
        <v>-91.449999999998965</v>
      </c>
      <c r="AT23" s="954">
        <f t="shared" si="8"/>
        <v>2903.760000000002</v>
      </c>
      <c r="AU23" s="954">
        <f t="shared" si="8"/>
        <v>-1140.0099999999948</v>
      </c>
      <c r="AV23" s="970">
        <f t="shared" si="8"/>
        <v>1173.2999999999993</v>
      </c>
      <c r="AW23" s="970">
        <f t="shared" si="8"/>
        <v>7.2759576141834259E-12</v>
      </c>
      <c r="AX23" s="970">
        <f t="shared" si="8"/>
        <v>-2832.26</v>
      </c>
      <c r="AY23" s="970">
        <f t="shared" si="8"/>
        <v>-638.53999999999655</v>
      </c>
      <c r="AZ23" s="970">
        <f t="shared" si="8"/>
        <v>-31.479999999999819</v>
      </c>
      <c r="BA23" s="970">
        <f t="shared" si="8"/>
        <v>0</v>
      </c>
      <c r="BB23" s="970">
        <f t="shared" si="8"/>
        <v>-11059.309999999998</v>
      </c>
      <c r="BC23" s="970">
        <f t="shared" si="8"/>
        <v>-4000.9799999999959</v>
      </c>
      <c r="BD23" s="970">
        <f t="shared" si="8"/>
        <v>-695.49999999999955</v>
      </c>
      <c r="BE23" s="970">
        <f t="shared" si="8"/>
        <v>-2249.7000000000007</v>
      </c>
      <c r="BF23" s="533">
        <f t="shared" si="8"/>
        <v>-3348.7559999999926</v>
      </c>
      <c r="BG23" s="533">
        <f t="shared" si="8"/>
        <v>0</v>
      </c>
      <c r="BH23" s="533">
        <f t="shared" si="8"/>
        <v>-5295.2990000000045</v>
      </c>
      <c r="BI23" s="970">
        <f t="shared" si="8"/>
        <v>-1254.9200000000019</v>
      </c>
      <c r="BJ23" s="970">
        <f t="shared" si="8"/>
        <v>-18735.549999999996</v>
      </c>
      <c r="BK23" s="970">
        <f t="shared" si="8"/>
        <v>-1467.4199999999983</v>
      </c>
      <c r="BL23" s="970">
        <f t="shared" si="8"/>
        <v>-4526.3899999999921</v>
      </c>
      <c r="BM23" s="970">
        <f t="shared" si="8"/>
        <v>9038.1500000000087</v>
      </c>
      <c r="BN23" s="970">
        <f t="shared" si="8"/>
        <v>-8253.130000000001</v>
      </c>
      <c r="BO23" s="970">
        <f t="shared" si="8"/>
        <v>-15620.51</v>
      </c>
      <c r="BP23" s="970">
        <f t="shared" si="8"/>
        <v>-1998.2800000000025</v>
      </c>
      <c r="BQ23" s="970">
        <f t="shared" si="8"/>
        <v>-6693.5</v>
      </c>
      <c r="BR23" s="970">
        <f t="shared" si="8"/>
        <v>-1266.9900000000007</v>
      </c>
      <c r="BS23" s="970">
        <f t="shared" si="8"/>
        <v>39166.899999999987</v>
      </c>
      <c r="BT23" s="970">
        <f t="shared" si="8"/>
        <v>-911.3200000000013</v>
      </c>
      <c r="BU23" s="964">
        <f>+K23-SUM(L23:BT23)</f>
        <v>0</v>
      </c>
      <c r="BV23" s="979"/>
      <c r="BW23" s="980"/>
    </row>
    <row r="24" spans="1:75" s="498" customFormat="1" ht="14.4" x14ac:dyDescent="0.3">
      <c r="A24" s="541"/>
      <c r="B24" s="1028"/>
      <c r="C24" s="1028"/>
      <c r="D24" s="1028"/>
      <c r="E24" s="1028"/>
      <c r="F24" s="1028"/>
      <c r="G24" s="539"/>
      <c r="H24" s="540"/>
      <c r="I24" s="938"/>
      <c r="J24" s="981"/>
      <c r="K24" s="982"/>
      <c r="L24" s="542"/>
      <c r="M24" s="983"/>
      <c r="N24" s="983"/>
      <c r="O24" s="983"/>
      <c r="P24" s="984"/>
      <c r="Q24" s="984"/>
      <c r="R24" s="984"/>
      <c r="S24" s="984"/>
      <c r="T24" s="982"/>
      <c r="U24" s="939"/>
      <c r="V24" s="939"/>
      <c r="W24" s="941"/>
      <c r="X24" s="938"/>
      <c r="Y24" s="938"/>
      <c r="Z24" s="985"/>
      <c r="AA24" s="938"/>
      <c r="AB24" s="985"/>
      <c r="AC24" s="985"/>
      <c r="AD24" s="983"/>
      <c r="AE24" s="984"/>
      <c r="AF24" s="983"/>
      <c r="AG24" s="983"/>
      <c r="AH24" s="983"/>
      <c r="AI24" s="984"/>
      <c r="AJ24" s="984"/>
      <c r="AK24" s="984"/>
      <c r="AL24" s="984"/>
      <c r="AM24" s="984"/>
      <c r="AN24" s="983"/>
      <c r="AO24" s="983"/>
      <c r="AP24" s="985"/>
      <c r="AQ24" s="985"/>
      <c r="AR24" s="985"/>
      <c r="AS24" s="985"/>
      <c r="AT24" s="985"/>
      <c r="AU24" s="985"/>
      <c r="AV24" s="983"/>
      <c r="AW24" s="983"/>
      <c r="AX24" s="983"/>
      <c r="AY24" s="983"/>
      <c r="AZ24" s="983"/>
      <c r="BA24" s="984"/>
      <c r="BB24" s="984"/>
      <c r="BC24" s="984"/>
      <c r="BD24" s="984"/>
      <c r="BE24" s="984"/>
      <c r="BF24" s="984"/>
      <c r="BG24" s="983"/>
      <c r="BH24" s="981"/>
      <c r="BI24" s="985"/>
      <c r="BJ24" s="985"/>
      <c r="BK24" s="985"/>
      <c r="BL24" s="985"/>
      <c r="BM24" s="985"/>
      <c r="BN24" s="985"/>
      <c r="BO24" s="985"/>
      <c r="BP24" s="985"/>
      <c r="BQ24" s="985"/>
      <c r="BR24" s="985"/>
      <c r="BS24" s="985"/>
      <c r="BT24" s="986"/>
      <c r="BU24" s="982"/>
      <c r="BV24" s="987"/>
      <c r="BW24" s="988"/>
    </row>
    <row r="25" spans="1:75" x14ac:dyDescent="0.25">
      <c r="A25" s="545" t="s">
        <v>1305</v>
      </c>
      <c r="B25" s="546"/>
      <c r="C25" s="546"/>
      <c r="D25" s="546"/>
      <c r="E25" s="546"/>
      <c r="F25" s="546"/>
      <c r="G25" s="519"/>
      <c r="H25" s="524">
        <v>75</v>
      </c>
      <c r="I25" s="529">
        <v>3000</v>
      </c>
      <c r="J25" s="947">
        <v>3000</v>
      </c>
      <c r="K25" s="945">
        <v>8965.7800000000007</v>
      </c>
      <c r="L25" s="529">
        <f>+K25-SUM(M25:BT25)</f>
        <v>8762.5400000000009</v>
      </c>
      <c r="M25" s="529">
        <v>101.21</v>
      </c>
      <c r="N25" s="527">
        <v>68.17</v>
      </c>
      <c r="O25" s="527"/>
      <c r="P25" s="974"/>
      <c r="Q25" s="974">
        <v>30.16</v>
      </c>
      <c r="R25" s="974"/>
      <c r="S25" s="974"/>
      <c r="T25" s="945"/>
      <c r="U25" s="947"/>
      <c r="V25" s="947"/>
      <c r="W25" s="946">
        <v>0</v>
      </c>
      <c r="X25" s="529">
        <v>0</v>
      </c>
      <c r="Y25" s="529">
        <v>0</v>
      </c>
      <c r="Z25" s="946">
        <v>0</v>
      </c>
      <c r="AA25" s="529">
        <v>0</v>
      </c>
      <c r="AB25" s="946">
        <v>0</v>
      </c>
      <c r="AC25" s="946">
        <v>0</v>
      </c>
      <c r="AD25" s="529"/>
      <c r="AE25" s="948"/>
      <c r="AF25" s="529"/>
      <c r="AG25" s="529"/>
      <c r="AH25" s="529"/>
      <c r="AI25" s="948"/>
      <c r="AJ25" s="948"/>
      <c r="AK25" s="948"/>
      <c r="AL25" s="948">
        <v>0</v>
      </c>
      <c r="AM25" s="948"/>
      <c r="AN25" s="529">
        <v>0</v>
      </c>
      <c r="AO25" s="529">
        <v>0</v>
      </c>
      <c r="AP25" s="946"/>
      <c r="AQ25" s="946"/>
      <c r="AR25" s="946"/>
      <c r="AS25" s="946"/>
      <c r="AT25" s="946"/>
      <c r="AU25" s="946"/>
      <c r="AV25" s="529"/>
      <c r="AW25" s="529"/>
      <c r="AX25" s="529"/>
      <c r="AY25" s="529"/>
      <c r="AZ25" s="529"/>
      <c r="BA25" s="948"/>
      <c r="BB25" s="948"/>
      <c r="BC25" s="948"/>
      <c r="BD25" s="948"/>
      <c r="BE25" s="948"/>
      <c r="BF25" s="948"/>
      <c r="BG25" s="529"/>
      <c r="BH25" s="947"/>
      <c r="BI25" s="945"/>
      <c r="BJ25" s="529"/>
      <c r="BK25" s="529"/>
      <c r="BL25" s="946"/>
      <c r="BM25" s="946"/>
      <c r="BN25" s="946"/>
      <c r="BO25" s="946">
        <v>1.73</v>
      </c>
      <c r="BP25" s="946"/>
      <c r="BQ25" s="945"/>
      <c r="BR25" s="946"/>
      <c r="BS25" s="946">
        <v>1.97</v>
      </c>
      <c r="BT25" s="960"/>
      <c r="BU25" s="989">
        <f>+K25-SUM(L25:BT25)</f>
        <v>0</v>
      </c>
      <c r="BV25" s="943">
        <f>((I25-K25)/K25)</f>
        <v>-0.66539442190194276</v>
      </c>
      <c r="BW25" s="951">
        <f>((L25-J25)/J25)</f>
        <v>1.920846666666667</v>
      </c>
    </row>
    <row r="26" spans="1:75" x14ac:dyDescent="0.25">
      <c r="A26" s="545"/>
      <c r="B26" s="546"/>
      <c r="C26" s="546"/>
      <c r="D26" s="546"/>
      <c r="E26" s="546"/>
      <c r="F26" s="546"/>
      <c r="G26" s="519"/>
      <c r="H26" s="524"/>
      <c r="I26" s="542"/>
      <c r="J26" s="990"/>
      <c r="K26" s="973"/>
      <c r="L26" s="542"/>
      <c r="M26" s="542"/>
      <c r="N26" s="542"/>
      <c r="O26" s="542"/>
      <c r="P26" s="991"/>
      <c r="Q26" s="991"/>
      <c r="R26" s="991"/>
      <c r="S26" s="991"/>
      <c r="T26" s="973"/>
      <c r="U26" s="972"/>
      <c r="V26" s="972"/>
      <c r="W26" s="936"/>
      <c r="X26" s="527"/>
      <c r="Y26" s="527"/>
      <c r="Z26" s="992"/>
      <c r="AA26" s="527"/>
      <c r="AB26" s="992"/>
      <c r="AC26" s="992"/>
      <c r="AD26" s="542"/>
      <c r="AE26" s="991"/>
      <c r="AF26" s="542"/>
      <c r="AG26" s="542"/>
      <c r="AH26" s="542"/>
      <c r="AI26" s="991"/>
      <c r="AJ26" s="991"/>
      <c r="AK26" s="991"/>
      <c r="AL26" s="991"/>
      <c r="AM26" s="991"/>
      <c r="AN26" s="542"/>
      <c r="AO26" s="542"/>
      <c r="AP26" s="992"/>
      <c r="AQ26" s="992"/>
      <c r="AR26" s="992"/>
      <c r="AS26" s="992"/>
      <c r="AT26" s="992"/>
      <c r="AU26" s="992"/>
      <c r="AV26" s="542"/>
      <c r="AW26" s="542"/>
      <c r="AX26" s="542"/>
      <c r="AY26" s="542"/>
      <c r="AZ26" s="542"/>
      <c r="BA26" s="991"/>
      <c r="BB26" s="991"/>
      <c r="BC26" s="991"/>
      <c r="BD26" s="991"/>
      <c r="BE26" s="991"/>
      <c r="BF26" s="991"/>
      <c r="BG26" s="542"/>
      <c r="BH26" s="990"/>
      <c r="BI26" s="973"/>
      <c r="BJ26" s="542"/>
      <c r="BK26" s="542"/>
      <c r="BL26" s="992"/>
      <c r="BM26" s="992"/>
      <c r="BN26" s="992"/>
      <c r="BO26" s="992"/>
      <c r="BP26" s="992"/>
      <c r="BQ26" s="992"/>
      <c r="BR26" s="992"/>
      <c r="BS26" s="992"/>
      <c r="BT26" s="993"/>
      <c r="BU26" s="973"/>
      <c r="BV26" s="994"/>
      <c r="BW26" s="995"/>
    </row>
    <row r="27" spans="1:75" x14ac:dyDescent="0.25">
      <c r="A27" s="1025" t="s">
        <v>1306</v>
      </c>
      <c r="B27" s="1025"/>
      <c r="C27" s="1025"/>
      <c r="D27" s="1025"/>
      <c r="E27" s="1025"/>
      <c r="F27" s="1025"/>
      <c r="G27" s="519"/>
      <c r="H27" s="524">
        <v>65</v>
      </c>
      <c r="I27" s="529">
        <v>28000</v>
      </c>
      <c r="J27" s="947">
        <v>28000</v>
      </c>
      <c r="K27" s="945">
        <v>16232.6</v>
      </c>
      <c r="L27" s="529">
        <f>+K27-SUM(M27:BT27)</f>
        <v>15619.16</v>
      </c>
      <c r="M27" s="529">
        <v>390.52</v>
      </c>
      <c r="N27" s="527">
        <v>123.42</v>
      </c>
      <c r="O27" s="527">
        <v>21.28</v>
      </c>
      <c r="P27" s="974"/>
      <c r="Q27" s="974">
        <v>54.62</v>
      </c>
      <c r="R27" s="974"/>
      <c r="S27" s="974"/>
      <c r="T27" s="945">
        <v>6.2</v>
      </c>
      <c r="U27" s="947"/>
      <c r="V27" s="947"/>
      <c r="W27" s="946">
        <v>0</v>
      </c>
      <c r="X27" s="529">
        <v>0</v>
      </c>
      <c r="Y27" s="529">
        <v>0</v>
      </c>
      <c r="Z27" s="946">
        <v>0</v>
      </c>
      <c r="AA27" s="529">
        <v>0</v>
      </c>
      <c r="AB27" s="946">
        <v>0</v>
      </c>
      <c r="AC27" s="946">
        <v>0</v>
      </c>
      <c r="AD27" s="529"/>
      <c r="AE27" s="948"/>
      <c r="AF27" s="529"/>
      <c r="AG27" s="529"/>
      <c r="AH27" s="529"/>
      <c r="AI27" s="948"/>
      <c r="AJ27" s="948"/>
      <c r="AK27" s="948"/>
      <c r="AL27" s="948">
        <v>0</v>
      </c>
      <c r="AM27" s="948"/>
      <c r="AN27" s="529">
        <v>0</v>
      </c>
      <c r="AO27" s="529">
        <v>0</v>
      </c>
      <c r="AP27" s="946"/>
      <c r="AQ27" s="946"/>
      <c r="AR27" s="946"/>
      <c r="AS27" s="946"/>
      <c r="AT27" s="946"/>
      <c r="AU27" s="946"/>
      <c r="AV27" s="529"/>
      <c r="AW27" s="529"/>
      <c r="AX27" s="529"/>
      <c r="AY27" s="529"/>
      <c r="AZ27" s="529"/>
      <c r="BA27" s="948"/>
      <c r="BB27" s="948"/>
      <c r="BC27" s="948"/>
      <c r="BD27" s="948"/>
      <c r="BE27" s="948"/>
      <c r="BF27" s="948"/>
      <c r="BG27" s="529"/>
      <c r="BH27" s="947"/>
      <c r="BI27" s="945"/>
      <c r="BJ27" s="529">
        <v>17.399999999999999</v>
      </c>
      <c r="BK27" s="529"/>
      <c r="BL27" s="946"/>
      <c r="BM27" s="946"/>
      <c r="BN27" s="946"/>
      <c r="BO27" s="946"/>
      <c r="BP27" s="946"/>
      <c r="BQ27" s="945"/>
      <c r="BR27" s="946"/>
      <c r="BS27" s="946"/>
      <c r="BT27" s="960"/>
      <c r="BU27" s="989">
        <f>+K27-SUM(L27:BT27)</f>
        <v>0</v>
      </c>
      <c r="BV27" s="943">
        <f>((I27-K27)/K27)</f>
        <v>0.72492391853430749</v>
      </c>
      <c r="BW27" s="951">
        <f>((L27-J27)/J27)</f>
        <v>-0.44217285714285715</v>
      </c>
    </row>
    <row r="28" spans="1:75" x14ac:dyDescent="0.25">
      <c r="A28" s="523"/>
      <c r="B28" s="525"/>
      <c r="C28" s="525"/>
      <c r="D28" s="525"/>
      <c r="E28" s="525"/>
      <c r="F28" s="525"/>
      <c r="G28" s="519"/>
      <c r="H28" s="524"/>
      <c r="I28" s="527"/>
      <c r="J28" s="952"/>
      <c r="K28" s="975"/>
      <c r="L28" s="533"/>
      <c r="M28" s="536"/>
      <c r="N28" s="536"/>
      <c r="O28" s="536"/>
      <c r="P28" s="965"/>
      <c r="Q28" s="965"/>
      <c r="R28" s="965"/>
      <c r="S28" s="965"/>
      <c r="T28" s="964"/>
      <c r="U28" s="972"/>
      <c r="V28" s="972"/>
      <c r="W28" s="936"/>
      <c r="X28" s="527"/>
      <c r="Y28" s="527"/>
      <c r="Z28" s="954"/>
      <c r="AA28" s="527"/>
      <c r="AB28" s="954"/>
      <c r="AC28" s="954"/>
      <c r="AD28" s="536"/>
      <c r="AE28" s="965"/>
      <c r="AF28" s="536"/>
      <c r="AG28" s="536"/>
      <c r="AH28" s="536"/>
      <c r="AI28" s="965"/>
      <c r="AJ28" s="965"/>
      <c r="AK28" s="965"/>
      <c r="AL28" s="965"/>
      <c r="AM28" s="965"/>
      <c r="AN28" s="536"/>
      <c r="AO28" s="536"/>
      <c r="AP28" s="954"/>
      <c r="AQ28" s="954"/>
      <c r="AR28" s="954"/>
      <c r="AS28" s="954"/>
      <c r="AT28" s="954"/>
      <c r="AU28" s="954"/>
      <c r="AV28" s="536"/>
      <c r="AW28" s="536"/>
      <c r="AX28" s="536"/>
      <c r="AY28" s="536"/>
      <c r="AZ28" s="536"/>
      <c r="BA28" s="965"/>
      <c r="BB28" s="965"/>
      <c r="BC28" s="965"/>
      <c r="BD28" s="965"/>
      <c r="BE28" s="965"/>
      <c r="BF28" s="965"/>
      <c r="BG28" s="536"/>
      <c r="BH28" s="952"/>
      <c r="BI28" s="964"/>
      <c r="BJ28" s="536"/>
      <c r="BK28" s="536"/>
      <c r="BL28" s="954"/>
      <c r="BM28" s="954"/>
      <c r="BN28" s="954"/>
      <c r="BO28" s="954"/>
      <c r="BP28" s="954"/>
      <c r="BQ28" s="954"/>
      <c r="BR28" s="954"/>
      <c r="BS28" s="954"/>
      <c r="BT28" s="970"/>
      <c r="BU28" s="964"/>
      <c r="BV28" s="979"/>
      <c r="BW28" s="980"/>
    </row>
    <row r="29" spans="1:75" x14ac:dyDescent="0.25">
      <c r="A29" s="1026" t="s">
        <v>1307</v>
      </c>
      <c r="B29" s="1026"/>
      <c r="C29" s="1026"/>
      <c r="D29" s="1026"/>
      <c r="E29" s="1026"/>
      <c r="F29" s="1026"/>
      <c r="G29" s="547" t="s">
        <v>1288</v>
      </c>
      <c r="H29" s="524">
        <v>9902</v>
      </c>
      <c r="I29" s="536">
        <f t="shared" ref="I29:AN29" si="9">I23+I25-I27</f>
        <v>-164328.39999999851</v>
      </c>
      <c r="J29" s="952">
        <f t="shared" si="9"/>
        <v>-98935.563775707327</v>
      </c>
      <c r="K29" s="964">
        <f t="shared" si="9"/>
        <v>-317546.45000000537</v>
      </c>
      <c r="L29" s="533">
        <f t="shared" si="9"/>
        <v>-234597.93334311203</v>
      </c>
      <c r="M29" s="536">
        <f t="shared" si="9"/>
        <v>-1943.8000000000225</v>
      </c>
      <c r="N29" s="536">
        <f t="shared" si="9"/>
        <v>-4340.4299999999921</v>
      </c>
      <c r="O29" s="536">
        <f t="shared" si="9"/>
        <v>-796.76000000000283</v>
      </c>
      <c r="P29" s="536">
        <f t="shared" si="9"/>
        <v>-4748.9500000000025</v>
      </c>
      <c r="Q29" s="536">
        <f t="shared" si="9"/>
        <v>-3267.8299999999881</v>
      </c>
      <c r="R29" s="536">
        <f t="shared" si="9"/>
        <v>-7790.5799999999981</v>
      </c>
      <c r="S29" s="536">
        <f t="shared" si="9"/>
        <v>-1.4551915228366852E-11</v>
      </c>
      <c r="T29" s="964">
        <f t="shared" si="9"/>
        <v>5009.2000000000235</v>
      </c>
      <c r="U29" s="964">
        <f t="shared" si="9"/>
        <v>0</v>
      </c>
      <c r="V29" s="954">
        <f t="shared" si="9"/>
        <v>4.2632564145606011E-13</v>
      </c>
      <c r="W29" s="954">
        <f t="shared" si="9"/>
        <v>0</v>
      </c>
      <c r="X29" s="536">
        <f t="shared" si="9"/>
        <v>-10385.180000000008</v>
      </c>
      <c r="Y29" s="536">
        <f t="shared" si="9"/>
        <v>0</v>
      </c>
      <c r="Z29" s="954">
        <f t="shared" si="9"/>
        <v>-2.8990143619012088E-12</v>
      </c>
      <c r="AA29" s="536">
        <f t="shared" si="9"/>
        <v>-9763.1799999999985</v>
      </c>
      <c r="AB29" s="954">
        <f t="shared" si="9"/>
        <v>0</v>
      </c>
      <c r="AC29" s="954">
        <f t="shared" si="9"/>
        <v>2376</v>
      </c>
      <c r="AD29" s="536">
        <f t="shared" si="9"/>
        <v>-354.01999999998952</v>
      </c>
      <c r="AE29" s="536">
        <f t="shared" si="9"/>
        <v>-111.88999999996304</v>
      </c>
      <c r="AF29" s="536">
        <f t="shared" si="9"/>
        <v>46886.09</v>
      </c>
      <c r="AG29" s="536">
        <f t="shared" si="9"/>
        <v>50306.799999999988</v>
      </c>
      <c r="AH29" s="536">
        <f t="shared" si="9"/>
        <v>-509.83999999999651</v>
      </c>
      <c r="AI29" s="536">
        <f t="shared" si="9"/>
        <v>-2322.2399999999998</v>
      </c>
      <c r="AJ29" s="536">
        <f t="shared" si="9"/>
        <v>3145.67</v>
      </c>
      <c r="AK29" s="536">
        <f t="shared" si="9"/>
        <v>6556.4900000000016</v>
      </c>
      <c r="AL29" s="536">
        <f t="shared" si="9"/>
        <v>-5304.5800000000017</v>
      </c>
      <c r="AM29" s="536">
        <f t="shared" si="9"/>
        <v>-3365.4599999999891</v>
      </c>
      <c r="AN29" s="536">
        <f t="shared" si="9"/>
        <v>-427.5</v>
      </c>
      <c r="AO29" s="536">
        <f t="shared" ref="AO29:BI29" si="10">AO23+AO25-AO27</f>
        <v>0</v>
      </c>
      <c r="AP29" s="954">
        <f t="shared" si="10"/>
        <v>-2504.1800000000003</v>
      </c>
      <c r="AQ29" s="954">
        <f t="shared" si="10"/>
        <v>-101512.501656893</v>
      </c>
      <c r="AR29" s="954">
        <f t="shared" si="10"/>
        <v>2063.0400000000018</v>
      </c>
      <c r="AS29" s="954">
        <f t="shared" si="10"/>
        <v>-91.449999999998965</v>
      </c>
      <c r="AT29" s="954">
        <f t="shared" si="10"/>
        <v>2903.760000000002</v>
      </c>
      <c r="AU29" s="954">
        <f t="shared" si="10"/>
        <v>-1140.0099999999948</v>
      </c>
      <c r="AV29" s="970">
        <f t="shared" si="10"/>
        <v>1173.2999999999993</v>
      </c>
      <c r="AW29" s="964">
        <f t="shared" si="10"/>
        <v>7.2759576141834259E-12</v>
      </c>
      <c r="AX29" s="964">
        <f t="shared" si="10"/>
        <v>-2832.26</v>
      </c>
      <c r="AY29" s="964">
        <f t="shared" si="10"/>
        <v>-638.53999999999655</v>
      </c>
      <c r="AZ29" s="964">
        <f t="shared" si="10"/>
        <v>-31.479999999999819</v>
      </c>
      <c r="BA29" s="964">
        <f t="shared" si="10"/>
        <v>0</v>
      </c>
      <c r="BB29" s="964">
        <f t="shared" si="10"/>
        <v>-11059.309999999998</v>
      </c>
      <c r="BC29" s="964">
        <f t="shared" si="10"/>
        <v>-4000.9799999999959</v>
      </c>
      <c r="BD29" s="964">
        <f t="shared" si="10"/>
        <v>-695.49999999999955</v>
      </c>
      <c r="BE29" s="964">
        <f t="shared" si="10"/>
        <v>-2249.7000000000007</v>
      </c>
      <c r="BF29" s="996">
        <f t="shared" si="10"/>
        <v>-3348.7559999999926</v>
      </c>
      <c r="BG29" s="536">
        <f t="shared" si="10"/>
        <v>0</v>
      </c>
      <c r="BH29" s="952">
        <f t="shared" si="10"/>
        <v>-5295.2990000000045</v>
      </c>
      <c r="BI29" s="954">
        <f t="shared" si="10"/>
        <v>-1254.9200000000019</v>
      </c>
      <c r="BJ29" s="536">
        <f>BJ23+BJ25-BJ26-BJ27</f>
        <v>-18752.949999999997</v>
      </c>
      <c r="BK29" s="536">
        <f t="shared" ref="BK29:BP29" si="11">BK23+BK25-BK27</f>
        <v>-1467.4199999999983</v>
      </c>
      <c r="BL29" s="536">
        <f t="shared" si="11"/>
        <v>-4526.3899999999921</v>
      </c>
      <c r="BM29" s="536">
        <f t="shared" si="11"/>
        <v>9038.1500000000087</v>
      </c>
      <c r="BN29" s="536">
        <f t="shared" si="11"/>
        <v>-8253.130000000001</v>
      </c>
      <c r="BO29" s="536">
        <f t="shared" si="11"/>
        <v>-15618.78</v>
      </c>
      <c r="BP29" s="536">
        <f t="shared" si="11"/>
        <v>-1998.2800000000025</v>
      </c>
      <c r="BQ29" s="536">
        <f>BQ23+BQ25-BQ26-BQ27</f>
        <v>-6693.5</v>
      </c>
      <c r="BR29" s="536">
        <f>BR23+BR25-BR27</f>
        <v>-1266.9900000000007</v>
      </c>
      <c r="BS29" s="536">
        <f>BS23+BS25-BS27</f>
        <v>39168.869999999988</v>
      </c>
      <c r="BT29" s="952">
        <f>BT23+BT25-BT27</f>
        <v>-911.3200000000013</v>
      </c>
      <c r="BU29" s="964">
        <f>+K29-SUM(L29:BT29)</f>
        <v>0</v>
      </c>
      <c r="BV29" s="979"/>
      <c r="BW29" s="980"/>
    </row>
    <row r="30" spans="1:75" x14ac:dyDescent="0.25">
      <c r="A30" s="518"/>
      <c r="G30" s="519"/>
      <c r="H30" s="524"/>
      <c r="I30" s="527"/>
      <c r="J30" s="990"/>
      <c r="K30" s="975"/>
      <c r="L30" s="542"/>
      <c r="M30" s="527"/>
      <c r="N30" s="527"/>
      <c r="O30" s="527"/>
      <c r="P30" s="527"/>
      <c r="Q30" s="527"/>
      <c r="R30" s="974"/>
      <c r="S30" s="974"/>
      <c r="T30" s="975"/>
      <c r="U30" s="972"/>
      <c r="V30" s="972"/>
      <c r="W30" s="936"/>
      <c r="X30" s="527"/>
      <c r="Y30" s="527"/>
      <c r="Z30" s="936"/>
      <c r="AA30" s="527"/>
      <c r="AB30" s="936"/>
      <c r="AC30" s="936"/>
      <c r="AD30" s="527"/>
      <c r="AE30" s="974"/>
      <c r="AF30" s="527"/>
      <c r="AG30" s="527"/>
      <c r="AH30" s="527"/>
      <c r="AI30" s="974"/>
      <c r="AJ30" s="974"/>
      <c r="AK30" s="974"/>
      <c r="AL30" s="974"/>
      <c r="AM30" s="974"/>
      <c r="AN30" s="527"/>
      <c r="AO30" s="527"/>
      <c r="AP30" s="936"/>
      <c r="AQ30" s="936"/>
      <c r="AR30" s="936"/>
      <c r="AS30" s="936"/>
      <c r="AT30" s="936"/>
      <c r="AU30" s="936"/>
      <c r="AV30" s="527"/>
      <c r="AW30" s="527"/>
      <c r="AX30" s="527"/>
      <c r="AY30" s="527"/>
      <c r="AZ30" s="527"/>
      <c r="BA30" s="974"/>
      <c r="BB30" s="974"/>
      <c r="BC30" s="974"/>
      <c r="BD30" s="974"/>
      <c r="BE30" s="974"/>
      <c r="BF30" s="974"/>
      <c r="BG30" s="527"/>
      <c r="BH30" s="972"/>
      <c r="BI30" s="936"/>
      <c r="BJ30" s="936"/>
      <c r="BK30" s="936"/>
      <c r="BL30" s="936"/>
      <c r="BM30" s="936"/>
      <c r="BN30" s="936"/>
      <c r="BO30" s="936"/>
      <c r="BP30" s="936"/>
      <c r="BQ30" s="936"/>
      <c r="BR30" s="936"/>
      <c r="BS30" s="936"/>
      <c r="BT30" s="977"/>
      <c r="BU30" s="982"/>
      <c r="BV30" s="978"/>
      <c r="BW30" s="937"/>
    </row>
    <row r="31" spans="1:75" x14ac:dyDescent="0.25">
      <c r="A31" s="1025" t="s">
        <v>1308</v>
      </c>
      <c r="B31" s="1025"/>
      <c r="C31" s="1025"/>
      <c r="D31" s="1025"/>
      <c r="E31" s="1025"/>
      <c r="F31" s="1025"/>
      <c r="G31" s="519"/>
      <c r="H31" s="524">
        <v>76</v>
      </c>
      <c r="I31" s="529">
        <v>200000</v>
      </c>
      <c r="J31" s="947">
        <v>200000</v>
      </c>
      <c r="K31" s="945">
        <v>349452.96</v>
      </c>
      <c r="L31" s="529">
        <f>+K31-SUM(M31:BT31)</f>
        <v>278220.76</v>
      </c>
      <c r="M31" s="529">
        <v>1943.8</v>
      </c>
      <c r="N31" s="527">
        <v>4340.43</v>
      </c>
      <c r="O31" s="527">
        <v>796.76</v>
      </c>
      <c r="P31" s="527">
        <v>4748.95</v>
      </c>
      <c r="Q31" s="527">
        <v>3267.83</v>
      </c>
      <c r="R31" s="974">
        <v>7790.58</v>
      </c>
      <c r="S31" s="974"/>
      <c r="T31" s="945"/>
      <c r="U31" s="947"/>
      <c r="V31" s="947"/>
      <c r="W31" s="946">
        <v>0</v>
      </c>
      <c r="X31" s="529">
        <v>0</v>
      </c>
      <c r="Y31" s="529">
        <v>0</v>
      </c>
      <c r="Z31" s="946">
        <v>0</v>
      </c>
      <c r="AA31" s="529">
        <v>9763.18</v>
      </c>
      <c r="AB31" s="946">
        <v>-463.9</v>
      </c>
      <c r="AC31" s="946">
        <v>0</v>
      </c>
      <c r="AD31" s="529">
        <f>1+1823</f>
        <v>1824</v>
      </c>
      <c r="AE31" s="948">
        <v>1043.26</v>
      </c>
      <c r="AF31" s="529"/>
      <c r="AG31" s="529"/>
      <c r="AH31" s="529"/>
      <c r="AI31" s="948"/>
      <c r="AJ31" s="948"/>
      <c r="AK31" s="948"/>
      <c r="AL31" s="948">
        <v>0</v>
      </c>
      <c r="AM31" s="948"/>
      <c r="AN31" s="529">
        <v>427.5</v>
      </c>
      <c r="AO31" s="529">
        <v>0</v>
      </c>
      <c r="AP31" s="946">
        <v>1995.4</v>
      </c>
      <c r="AQ31" s="946">
        <v>10946.91</v>
      </c>
      <c r="AR31" s="946"/>
      <c r="AS31" s="946"/>
      <c r="AT31" s="946"/>
      <c r="AU31" s="946">
        <v>12807.5</v>
      </c>
      <c r="AV31" s="529"/>
      <c r="AW31" s="529"/>
      <c r="AX31" s="529"/>
      <c r="AY31" s="529"/>
      <c r="AZ31" s="529"/>
      <c r="BA31" s="948"/>
      <c r="BB31" s="948">
        <v>10000</v>
      </c>
      <c r="BC31" s="948"/>
      <c r="BD31" s="948"/>
      <c r="BE31" s="948"/>
      <c r="BF31" s="948"/>
      <c r="BG31" s="529"/>
      <c r="BH31" s="947"/>
      <c r="BI31" s="946"/>
      <c r="BJ31" s="946"/>
      <c r="BK31" s="946"/>
      <c r="BL31" s="946"/>
      <c r="BM31" s="946"/>
      <c r="BN31" s="946"/>
      <c r="BO31" s="946"/>
      <c r="BP31" s="946"/>
      <c r="BQ31" s="946"/>
      <c r="BR31" s="946"/>
      <c r="BS31" s="946"/>
      <c r="BT31" s="960"/>
      <c r="BU31" s="989">
        <f>+K32-SUM(L32:BT32)</f>
        <v>0</v>
      </c>
      <c r="BV31" s="943">
        <f>((I31-K31)/K31)</f>
        <v>-0.42767690392435082</v>
      </c>
      <c r="BW31" s="951">
        <f>((L31-J31)/J31)</f>
        <v>0.39110380000000006</v>
      </c>
    </row>
    <row r="32" spans="1:75" x14ac:dyDescent="0.25">
      <c r="A32" s="523"/>
      <c r="B32" s="525"/>
      <c r="C32" s="525"/>
      <c r="D32" s="525"/>
      <c r="E32" s="525"/>
      <c r="F32" s="525"/>
      <c r="G32" s="519"/>
      <c r="H32" s="524"/>
      <c r="I32" s="542"/>
      <c r="J32" s="990"/>
      <c r="K32" s="975"/>
      <c r="L32" s="542"/>
      <c r="M32" s="542"/>
      <c r="N32" s="542"/>
      <c r="O32" s="542"/>
      <c r="P32" s="542"/>
      <c r="Q32" s="542"/>
      <c r="R32" s="991"/>
      <c r="S32" s="991"/>
      <c r="T32" s="973"/>
      <c r="U32" s="990"/>
      <c r="V32" s="990"/>
      <c r="W32" s="992"/>
      <c r="X32" s="542"/>
      <c r="Y32" s="542"/>
      <c r="Z32" s="992"/>
      <c r="AA32" s="542"/>
      <c r="AB32" s="992"/>
      <c r="AC32" s="992"/>
      <c r="AD32" s="542"/>
      <c r="AE32" s="991"/>
      <c r="AF32" s="542"/>
      <c r="AG32" s="542"/>
      <c r="AH32" s="542"/>
      <c r="AI32" s="991"/>
      <c r="AJ32" s="991"/>
      <c r="AK32" s="991"/>
      <c r="AL32" s="991"/>
      <c r="AM32" s="991"/>
      <c r="AN32" s="542"/>
      <c r="AO32" s="542"/>
      <c r="AP32" s="992"/>
      <c r="AQ32" s="992"/>
      <c r="AR32" s="992"/>
      <c r="AS32" s="992"/>
      <c r="AT32" s="992"/>
      <c r="AU32" s="992"/>
      <c r="AV32" s="542"/>
      <c r="AW32" s="542"/>
      <c r="AX32" s="542"/>
      <c r="AY32" s="542"/>
      <c r="AZ32" s="542"/>
      <c r="BA32" s="991"/>
      <c r="BB32" s="991"/>
      <c r="BC32" s="991"/>
      <c r="BD32" s="991"/>
      <c r="BE32" s="991"/>
      <c r="BF32" s="991"/>
      <c r="BG32" s="542"/>
      <c r="BH32" s="990"/>
      <c r="BI32" s="992"/>
      <c r="BJ32" s="992"/>
      <c r="BK32" s="992"/>
      <c r="BL32" s="992"/>
      <c r="BM32" s="992"/>
      <c r="BN32" s="992"/>
      <c r="BO32" s="992"/>
      <c r="BP32" s="992"/>
      <c r="BQ32" s="992"/>
      <c r="BR32" s="992"/>
      <c r="BS32" s="992"/>
      <c r="BT32" s="993"/>
      <c r="BU32" s="973"/>
      <c r="BV32" s="994"/>
      <c r="BW32" s="995"/>
    </row>
    <row r="33" spans="1:75" x14ac:dyDescent="0.25">
      <c r="A33" s="1025" t="s">
        <v>1309</v>
      </c>
      <c r="B33" s="1025"/>
      <c r="C33" s="1025"/>
      <c r="D33" s="1025"/>
      <c r="E33" s="1025"/>
      <c r="F33" s="1025"/>
      <c r="G33" s="519"/>
      <c r="H33" s="524">
        <v>66</v>
      </c>
      <c r="I33" s="529">
        <v>0</v>
      </c>
      <c r="J33" s="947">
        <v>0</v>
      </c>
      <c r="K33" s="945">
        <v>143063.95000000001</v>
      </c>
      <c r="L33" s="529">
        <f>+K33-SUM(M33:BT33)</f>
        <v>25208.960000000021</v>
      </c>
      <c r="M33" s="529"/>
      <c r="N33" s="529"/>
      <c r="O33" s="529"/>
      <c r="P33" s="529"/>
      <c r="Q33" s="529"/>
      <c r="R33" s="948"/>
      <c r="S33" s="948"/>
      <c r="T33" s="945"/>
      <c r="U33" s="947"/>
      <c r="V33" s="947"/>
      <c r="W33" s="946">
        <v>0</v>
      </c>
      <c r="X33" s="529">
        <v>0</v>
      </c>
      <c r="Y33" s="529">
        <v>0</v>
      </c>
      <c r="Z33" s="946">
        <v>0</v>
      </c>
      <c r="AA33" s="529">
        <v>0</v>
      </c>
      <c r="AB33" s="946">
        <v>0</v>
      </c>
      <c r="AC33" s="946">
        <v>0</v>
      </c>
      <c r="AD33" s="529"/>
      <c r="AE33" s="948">
        <f>4259.02+254.09+3224</f>
        <v>7737.1100000000006</v>
      </c>
      <c r="AF33" s="529">
        <f>46886.09</f>
        <v>46886.09</v>
      </c>
      <c r="AG33" s="529">
        <v>50306.8</v>
      </c>
      <c r="AH33" s="529">
        <f>1+3900+2150</f>
        <v>6051</v>
      </c>
      <c r="AI33" s="948">
        <v>205.37</v>
      </c>
      <c r="AJ33" s="948"/>
      <c r="AK33" s="948">
        <v>6556.49</v>
      </c>
      <c r="AL33" s="948">
        <v>0</v>
      </c>
      <c r="AM33" s="948"/>
      <c r="AN33" s="529">
        <v>0</v>
      </c>
      <c r="AO33" s="529">
        <v>0</v>
      </c>
      <c r="AP33" s="946"/>
      <c r="AQ33" s="946"/>
      <c r="AR33" s="946"/>
      <c r="AS33" s="946"/>
      <c r="AT33" s="946"/>
      <c r="AU33" s="946">
        <v>0.01</v>
      </c>
      <c r="AV33" s="529"/>
      <c r="AW33" s="529"/>
      <c r="AX33" s="529"/>
      <c r="AY33" s="529"/>
      <c r="AZ33" s="529"/>
      <c r="BA33" s="948"/>
      <c r="BB33" s="948"/>
      <c r="BC33" s="948"/>
      <c r="BD33" s="948"/>
      <c r="BE33" s="948"/>
      <c r="BF33" s="948"/>
      <c r="BG33" s="529"/>
      <c r="BH33" s="947"/>
      <c r="BI33" s="946"/>
      <c r="BJ33" s="946"/>
      <c r="BK33" s="946"/>
      <c r="BL33" s="946"/>
      <c r="BM33" s="946"/>
      <c r="BN33" s="946"/>
      <c r="BO33" s="946"/>
      <c r="BP33" s="946"/>
      <c r="BQ33" s="946"/>
      <c r="BR33" s="946"/>
      <c r="BS33" s="946">
        <v>112.12</v>
      </c>
      <c r="BT33" s="960"/>
      <c r="BU33" s="989">
        <f>+K34-SUM(L34:BT34)</f>
        <v>0</v>
      </c>
      <c r="BV33" s="997">
        <f>((I33-K33)/K33)</f>
        <v>-1</v>
      </c>
      <c r="BW33" s="951" t="e">
        <f>((L33-J33)/J33)</f>
        <v>#DIV/0!</v>
      </c>
    </row>
    <row r="34" spans="1:75" x14ac:dyDescent="0.25">
      <c r="A34" s="518"/>
      <c r="G34" s="519"/>
      <c r="H34" s="524">
        <v>691</v>
      </c>
      <c r="I34" s="527"/>
      <c r="J34" s="972"/>
      <c r="K34" s="975"/>
      <c r="L34" s="529">
        <f>+K34-SUM(M34:BT34)</f>
        <v>0</v>
      </c>
      <c r="M34" s="527"/>
      <c r="N34" s="527"/>
      <c r="O34" s="527"/>
      <c r="P34" s="527"/>
      <c r="Q34" s="527"/>
      <c r="R34" s="974"/>
      <c r="S34" s="974"/>
      <c r="T34" s="975"/>
      <c r="U34" s="972"/>
      <c r="V34" s="972"/>
      <c r="W34" s="936"/>
      <c r="X34" s="527"/>
      <c r="Y34" s="527"/>
      <c r="Z34" s="936"/>
      <c r="AA34" s="527"/>
      <c r="AB34" s="936"/>
      <c r="AC34" s="936"/>
      <c r="AD34" s="527"/>
      <c r="AE34" s="974"/>
      <c r="AF34" s="527"/>
      <c r="AG34" s="527"/>
      <c r="AH34" s="527"/>
      <c r="AI34" s="974"/>
      <c r="AJ34" s="974"/>
      <c r="AK34" s="974"/>
      <c r="AL34" s="974">
        <v>0</v>
      </c>
      <c r="AM34" s="974"/>
      <c r="AN34" s="527">
        <v>0</v>
      </c>
      <c r="AO34" s="527">
        <v>0</v>
      </c>
      <c r="AP34" s="936"/>
      <c r="AQ34" s="936"/>
      <c r="AR34" s="936"/>
      <c r="AS34" s="936"/>
      <c r="AT34" s="936"/>
      <c r="AU34" s="936"/>
      <c r="AV34" s="527"/>
      <c r="AW34" s="527"/>
      <c r="AX34" s="527"/>
      <c r="AY34" s="527"/>
      <c r="AZ34" s="527"/>
      <c r="BA34" s="974"/>
      <c r="BB34" s="974"/>
      <c r="BC34" s="974"/>
      <c r="BD34" s="974"/>
      <c r="BE34" s="974"/>
      <c r="BF34" s="974"/>
      <c r="BG34" s="527"/>
      <c r="BH34" s="972"/>
      <c r="BI34" s="936"/>
      <c r="BJ34" s="936"/>
      <c r="BK34" s="936"/>
      <c r="BL34" s="936"/>
      <c r="BM34" s="936"/>
      <c r="BN34" s="936"/>
      <c r="BO34" s="936"/>
      <c r="BP34" s="936"/>
      <c r="BQ34" s="936"/>
      <c r="BR34" s="936"/>
      <c r="BS34" s="936"/>
      <c r="BT34" s="977"/>
      <c r="BU34" s="989">
        <f>+K34-SUM(L34:BT34)</f>
        <v>0</v>
      </c>
      <c r="BV34" s="997"/>
      <c r="BW34" s="951"/>
    </row>
    <row r="35" spans="1:75" s="498" customFormat="1" x14ac:dyDescent="0.25">
      <c r="A35" s="1027" t="s">
        <v>1310</v>
      </c>
      <c r="B35" s="1027"/>
      <c r="C35" s="1027"/>
      <c r="D35" s="1027"/>
      <c r="E35" s="1027"/>
      <c r="F35" s="1027"/>
      <c r="G35" s="539" t="s">
        <v>1288</v>
      </c>
      <c r="H35" s="540">
        <v>9904</v>
      </c>
      <c r="I35" s="536">
        <f>I29+I31-I33</f>
        <v>35671.60000000149</v>
      </c>
      <c r="J35" s="952">
        <f>J29+J31-J33</f>
        <v>101064.43622429267</v>
      </c>
      <c r="K35" s="964">
        <f>K29+K31-K33-K34</f>
        <v>-111157.44000000536</v>
      </c>
      <c r="L35" s="964">
        <f>L29+L31-L33-L34</f>
        <v>18413.866656887956</v>
      </c>
      <c r="M35" s="536">
        <f>M29+M31-M33-M34</f>
        <v>-2.2509993868879974E-11</v>
      </c>
      <c r="N35" s="536">
        <f t="shared" ref="N35:U35" si="12">N29+N31-N33</f>
        <v>8.1854523159563541E-12</v>
      </c>
      <c r="O35" s="536">
        <f t="shared" si="12"/>
        <v>-2.8421709430404007E-12</v>
      </c>
      <c r="P35" s="536">
        <f t="shared" si="12"/>
        <v>-2.7284841053187847E-12</v>
      </c>
      <c r="Q35" s="536">
        <f t="shared" si="12"/>
        <v>1.1823431123048067E-11</v>
      </c>
      <c r="R35" s="536">
        <f t="shared" si="12"/>
        <v>1.8189894035458565E-12</v>
      </c>
      <c r="S35" s="536">
        <f t="shared" si="12"/>
        <v>-1.4551915228366852E-11</v>
      </c>
      <c r="T35" s="964">
        <f t="shared" si="12"/>
        <v>5009.2000000000235</v>
      </c>
      <c r="U35" s="964">
        <f t="shared" si="12"/>
        <v>0</v>
      </c>
      <c r="V35" s="952">
        <f>V23-V28-V29-V30-V31-V32-V33</f>
        <v>0</v>
      </c>
      <c r="W35" s="954">
        <f t="shared" ref="W35:BR35" si="13">W29+W31-W33</f>
        <v>0</v>
      </c>
      <c r="X35" s="536">
        <f t="shared" si="13"/>
        <v>-10385.180000000008</v>
      </c>
      <c r="Y35" s="536">
        <f t="shared" si="13"/>
        <v>0</v>
      </c>
      <c r="Z35" s="954">
        <f t="shared" si="13"/>
        <v>-2.8990143619012088E-12</v>
      </c>
      <c r="AA35" s="536">
        <f t="shared" si="13"/>
        <v>1.8189894035458565E-12</v>
      </c>
      <c r="AB35" s="954">
        <f t="shared" si="13"/>
        <v>-463.9</v>
      </c>
      <c r="AC35" s="954">
        <f t="shared" si="13"/>
        <v>2376</v>
      </c>
      <c r="AD35" s="536">
        <f t="shared" si="13"/>
        <v>1469.9800000000105</v>
      </c>
      <c r="AE35" s="536">
        <f t="shared" si="13"/>
        <v>-6805.7399999999634</v>
      </c>
      <c r="AF35" s="536">
        <f t="shared" si="13"/>
        <v>0</v>
      </c>
      <c r="AG35" s="536">
        <f t="shared" si="13"/>
        <v>0</v>
      </c>
      <c r="AH35" s="536">
        <f t="shared" si="13"/>
        <v>-6560.8399999999965</v>
      </c>
      <c r="AI35" s="536">
        <f t="shared" si="13"/>
        <v>-2527.6099999999997</v>
      </c>
      <c r="AJ35" s="536">
        <f t="shared" si="13"/>
        <v>3145.67</v>
      </c>
      <c r="AK35" s="536">
        <f t="shared" si="13"/>
        <v>0</v>
      </c>
      <c r="AL35" s="536">
        <f t="shared" si="13"/>
        <v>-5304.5800000000017</v>
      </c>
      <c r="AM35" s="536">
        <f t="shared" si="13"/>
        <v>-3365.4599999999891</v>
      </c>
      <c r="AN35" s="536">
        <f t="shared" si="13"/>
        <v>0</v>
      </c>
      <c r="AO35" s="536">
        <f t="shared" si="13"/>
        <v>0</v>
      </c>
      <c r="AP35" s="954">
        <f t="shared" si="13"/>
        <v>-508.7800000000002</v>
      </c>
      <c r="AQ35" s="954">
        <f t="shared" si="13"/>
        <v>-90565.591656892997</v>
      </c>
      <c r="AR35" s="954">
        <f t="shared" si="13"/>
        <v>2063.0400000000018</v>
      </c>
      <c r="AS35" s="954">
        <f t="shared" si="13"/>
        <v>-91.449999999998965</v>
      </c>
      <c r="AT35" s="954">
        <f t="shared" si="13"/>
        <v>2903.760000000002</v>
      </c>
      <c r="AU35" s="954">
        <f t="shared" si="13"/>
        <v>11667.480000000005</v>
      </c>
      <c r="AV35" s="536">
        <f t="shared" si="13"/>
        <v>1173.2999999999993</v>
      </c>
      <c r="AW35" s="536">
        <f t="shared" si="13"/>
        <v>7.2759576141834259E-12</v>
      </c>
      <c r="AX35" s="536">
        <f t="shared" si="13"/>
        <v>-2832.26</v>
      </c>
      <c r="AY35" s="536">
        <f t="shared" si="13"/>
        <v>-638.53999999999655</v>
      </c>
      <c r="AZ35" s="536">
        <f t="shared" si="13"/>
        <v>-31.479999999999819</v>
      </c>
      <c r="BA35" s="536">
        <f t="shared" si="13"/>
        <v>0</v>
      </c>
      <c r="BB35" s="536">
        <f t="shared" si="13"/>
        <v>-1059.3099999999977</v>
      </c>
      <c r="BC35" s="536">
        <f t="shared" si="13"/>
        <v>-4000.9799999999959</v>
      </c>
      <c r="BD35" s="536">
        <f t="shared" si="13"/>
        <v>-695.49999999999955</v>
      </c>
      <c r="BE35" s="536">
        <f t="shared" si="13"/>
        <v>-2249.7000000000007</v>
      </c>
      <c r="BF35" s="965">
        <f t="shared" si="13"/>
        <v>-3348.7559999999926</v>
      </c>
      <c r="BG35" s="536">
        <f t="shared" si="13"/>
        <v>0</v>
      </c>
      <c r="BH35" s="952">
        <f t="shared" si="13"/>
        <v>-5295.2990000000045</v>
      </c>
      <c r="BI35" s="954">
        <f t="shared" si="13"/>
        <v>-1254.9200000000019</v>
      </c>
      <c r="BJ35" s="536">
        <f t="shared" si="13"/>
        <v>-18752.949999999997</v>
      </c>
      <c r="BK35" s="536">
        <f t="shared" si="13"/>
        <v>-1467.4199999999983</v>
      </c>
      <c r="BL35" s="536">
        <f t="shared" si="13"/>
        <v>-4526.3899999999921</v>
      </c>
      <c r="BM35" s="536">
        <f t="shared" si="13"/>
        <v>9038.1500000000087</v>
      </c>
      <c r="BN35" s="536">
        <f t="shared" si="13"/>
        <v>-8253.130000000001</v>
      </c>
      <c r="BO35" s="536">
        <f t="shared" si="13"/>
        <v>-15618.78</v>
      </c>
      <c r="BP35" s="536">
        <f t="shared" si="13"/>
        <v>-1998.2800000000025</v>
      </c>
      <c r="BQ35" s="536">
        <f t="shared" si="13"/>
        <v>-6693.5</v>
      </c>
      <c r="BR35" s="536">
        <f t="shared" si="13"/>
        <v>-1266.9900000000007</v>
      </c>
      <c r="BS35" s="536">
        <f>+BS29+BS31-BS33</f>
        <v>39056.749999999985</v>
      </c>
      <c r="BT35" s="952">
        <f>BT29+BT31-BT33</f>
        <v>-911.3200000000013</v>
      </c>
      <c r="BU35" s="964">
        <f>+K35-SUM(L35:BT35)</f>
        <v>-4.5110937207937241E-10</v>
      </c>
      <c r="BV35" s="954"/>
      <c r="BW35" s="980"/>
    </row>
    <row r="36" spans="1:75" ht="8.25" customHeight="1" thickBot="1" x14ac:dyDescent="0.3">
      <c r="A36" s="548"/>
      <c r="B36" s="549"/>
      <c r="C36" s="549"/>
      <c r="D36" s="549"/>
      <c r="E36" s="549"/>
      <c r="F36" s="549"/>
      <c r="G36" s="550"/>
      <c r="H36" s="549"/>
      <c r="I36" s="998"/>
      <c r="J36" s="999"/>
      <c r="K36" s="1000"/>
      <c r="L36" s="1001"/>
      <c r="M36" s="1001"/>
      <c r="N36" s="1001"/>
      <c r="O36" s="1001"/>
      <c r="P36" s="1001"/>
      <c r="Q36" s="1001"/>
      <c r="R36" s="1001"/>
      <c r="S36" s="1001"/>
      <c r="T36" s="1002"/>
      <c r="U36" s="1003"/>
      <c r="V36" s="1004"/>
      <c r="W36" s="1001"/>
      <c r="X36" s="1001"/>
      <c r="Y36" s="1001"/>
      <c r="Z36" s="1001"/>
      <c r="AA36" s="1005"/>
      <c r="AB36" s="1005"/>
      <c r="AC36" s="1005"/>
      <c r="AD36" s="1005"/>
      <c r="AE36" s="1005"/>
      <c r="AF36" s="1005"/>
      <c r="AG36" s="1005"/>
      <c r="AH36" s="1005"/>
      <c r="AI36" s="1005"/>
      <c r="AJ36" s="1005"/>
      <c r="AK36" s="1005"/>
      <c r="AL36" s="1005"/>
      <c r="AM36" s="1005"/>
      <c r="AN36" s="1006"/>
      <c r="AO36" s="1005"/>
      <c r="AP36" s="1005"/>
      <c r="AQ36" s="1000"/>
      <c r="AR36" s="1001"/>
      <c r="AS36" s="1001"/>
      <c r="AT36" s="1001"/>
      <c r="AU36" s="1001"/>
      <c r="AV36" s="1001"/>
      <c r="AW36" s="1001"/>
      <c r="AX36" s="1001"/>
      <c r="AY36" s="1001"/>
      <c r="AZ36" s="1001"/>
      <c r="BA36" s="1001"/>
      <c r="BB36" s="1001"/>
      <c r="BC36" s="1001"/>
      <c r="BD36" s="1001"/>
      <c r="BE36" s="1001"/>
      <c r="BF36" s="1001"/>
      <c r="BG36" s="1001"/>
      <c r="BH36" s="999"/>
      <c r="BI36" s="1000"/>
      <c r="BJ36" s="1001"/>
      <c r="BK36" s="1001"/>
      <c r="BL36" s="1001"/>
      <c r="BM36" s="1001"/>
      <c r="BN36" s="1001"/>
      <c r="BO36" s="1001"/>
      <c r="BP36" s="1001"/>
      <c r="BQ36" s="1001"/>
      <c r="BR36" s="1001"/>
      <c r="BS36" s="1001"/>
      <c r="BT36" s="999"/>
      <c r="BU36" s="1006"/>
      <c r="BV36" s="1007"/>
      <c r="BW36" s="1008"/>
    </row>
    <row r="37" spans="1:75" x14ac:dyDescent="0.25">
      <c r="I37" s="538"/>
    </row>
    <row r="38" spans="1:75" x14ac:dyDescent="0.25">
      <c r="X38" s="497"/>
      <c r="Y38" s="497"/>
      <c r="AB38" s="538"/>
      <c r="AC38" s="538"/>
      <c r="AL38" s="538"/>
      <c r="AN38" s="538"/>
      <c r="AO38" s="538"/>
      <c r="AP38" s="538"/>
      <c r="AZ38" s="1009"/>
      <c r="BA38" s="1009"/>
    </row>
    <row r="39" spans="1:75" x14ac:dyDescent="0.25">
      <c r="K39" s="538"/>
      <c r="L39" s="538"/>
      <c r="AT39" s="1010"/>
      <c r="AU39" s="1010"/>
      <c r="AV39" s="538"/>
      <c r="AW39" s="538"/>
      <c r="AX39" s="538"/>
      <c r="AY39" s="538"/>
      <c r="AZ39" s="538"/>
      <c r="BA39" s="538"/>
      <c r="BB39" s="538"/>
      <c r="BC39" s="1010"/>
      <c r="BD39" s="1010"/>
      <c r="BE39" s="538"/>
      <c r="BF39" s="538"/>
      <c r="BG39" s="538"/>
      <c r="BH39" s="538"/>
      <c r="BI39" s="538"/>
      <c r="BJ39" s="538"/>
      <c r="BK39" s="538"/>
    </row>
  </sheetData>
  <mergeCells count="31">
    <mergeCell ref="I5:J5"/>
    <mergeCell ref="K5:T5"/>
    <mergeCell ref="W5:AP5"/>
    <mergeCell ref="AQ5:BH5"/>
    <mergeCell ref="BI5:BT5"/>
    <mergeCell ref="A1:M1"/>
    <mergeCell ref="A3:BW3"/>
    <mergeCell ref="I4:J4"/>
    <mergeCell ref="K4:BT4"/>
    <mergeCell ref="BV4:BW4"/>
    <mergeCell ref="B19:F19"/>
    <mergeCell ref="A7:H7"/>
    <mergeCell ref="A8:F8"/>
    <mergeCell ref="A10:F10"/>
    <mergeCell ref="C12:F12"/>
    <mergeCell ref="B13:C13"/>
    <mergeCell ref="D13:F13"/>
    <mergeCell ref="D14:F14"/>
    <mergeCell ref="C15:F15"/>
    <mergeCell ref="B16:F16"/>
    <mergeCell ref="B17:F17"/>
    <mergeCell ref="B18:F18"/>
    <mergeCell ref="A31:F31"/>
    <mergeCell ref="A33:F33"/>
    <mergeCell ref="A35:F35"/>
    <mergeCell ref="B20:F20"/>
    <mergeCell ref="B21:F21"/>
    <mergeCell ref="A23:F23"/>
    <mergeCell ref="B24:F24"/>
    <mergeCell ref="A27:F27"/>
    <mergeCell ref="A29:F29"/>
  </mergeCells>
  <conditionalFormatting sqref="I23:P23 X23 AA23 AE23:AF23 AH23:AJ23 AL23:AM23 BU23 J29:O29 AE29:AF29 AH29:AJ29 AL29:AM29 BJ29:BO29 BR29:BU29 J35:K35 AD35:AF35 AH35:AJ35 AL35:AM35 AV35:AW35 AZ35:BC35 BE35 BG35 BJ35:BO35 BR35:BU35">
    <cfRule type="cellIs" dxfId="15" priority="89" stopIfTrue="1" operator="lessThan">
      <formula>0</formula>
    </cfRule>
  </conditionalFormatting>
  <conditionalFormatting sqref="W23 AB23:AC23 AQ23 AT23:AU23 V29:W29 AB29:AC29 AT29:AU29 BI29 W35 AB35:AC35 AQ35 AT35:AU35 BI35">
    <cfRule type="cellIs" dxfId="14" priority="92" stopIfTrue="1" operator="lessThan">
      <formula>0</formula>
    </cfRule>
  </conditionalFormatting>
  <conditionalFormatting sqref="Q23:V23 Y23:Z23 AD23 AG23 AK23 AN23:AP23 AR23:AS23 AV23:BE23 BI23:BT23 P29 T29:U29 Z29 AD29 AG29 AK29 AN29:AP29 AV29 BF29:BH29 BP29 T35:V35 Z35 AG35 AK35 AN35:AP35 AR35:AS35 BF35 BH35 BP35">
    <cfRule type="cellIs" dxfId="13" priority="93" stopIfTrue="1" operator="lessThan">
      <formula>0</formula>
    </cfRule>
  </conditionalFormatting>
  <conditionalFormatting sqref="BQ23">
    <cfRule type="cellIs" dxfId="12" priority="95" stopIfTrue="1" operator="lessThan">
      <formula>0</formula>
    </cfRule>
  </conditionalFormatting>
  <conditionalFormatting sqref="AW29 AZ29:BC29 BE29">
    <cfRule type="cellIs" dxfId="11" priority="98" stopIfTrue="1" operator="lessThan">
      <formula>0</formula>
    </cfRule>
  </conditionalFormatting>
  <conditionalFormatting sqref="BV23:BW23 AQ29:AS29 AX29:AY29 BD29 BQ29 BV29:BW29 AX35:AY35 BD35 BQ35 BW35">
    <cfRule type="cellIs" dxfId="10" priority="99" stopIfTrue="1" operator="lessThan">
      <formula>0</formula>
    </cfRule>
  </conditionalFormatting>
  <conditionalFormatting sqref="BF23:BH23 I29 Q29:S29 X29:Y29 AA29 BQ29 I35 L35:S35 X35:Y35 AA35 BQ35 BV35">
    <cfRule type="cellIs" dxfId="9" priority="101" stopIfTrue="1" operator="lessThan">
      <formula>0</formula>
    </cfRule>
  </conditionalFormatting>
  <conditionalFormatting sqref="BF24 BH24 BQ24 BT24 BV24:BW24 BU30">
    <cfRule type="cellIs" dxfId="8" priority="97" stopIfTrue="1" operator="equal">
      <formula>0</formula>
    </cfRule>
  </conditionalFormatting>
  <conditionalFormatting sqref="J24:K24 M24:V24 Z24 AB24:BE24 BG24 BI24:BS24 BU24">
    <cfRule type="cellIs" dxfId="7" priority="91" stopIfTrue="1" operator="equal">
      <formula>0</formula>
    </cfRule>
  </conditionalFormatting>
  <conditionalFormatting sqref="BQ29 BQ35">
    <cfRule type="cellIs" dxfId="6" priority="100" stopIfTrue="1" operator="greaterThanOrEqual">
      <formula>0</formula>
    </cfRule>
  </conditionalFormatting>
  <conditionalFormatting sqref="BF23:BH23 BQ23 BV23:BW23 I29 Q29:S29 X29:Y29 AA29 AR29:AS29 AX29:AY29 BD29 BQ29 BV29:BW29 I35 L35:S35 X35:Y35 AA35 AX35:AY35 BD35 BQ35 BV35:BW35">
    <cfRule type="cellIs" dxfId="5" priority="94" stopIfTrue="1" operator="greaterThanOrEqual">
      <formula>0</formula>
    </cfRule>
  </conditionalFormatting>
  <conditionalFormatting sqref="I23:BE23 BI23:BU23 J29:P29 T29:W29 Z29 AB29:AQ29 AT29:AW29 AZ29:BC29 BE29:BP29 BR29:BU29 J35:K35 T35:W35 Z35 AB35:AW35 AZ35:BC35 BE35:BP35 BR35:BU35">
    <cfRule type="cellIs" dxfId="4" priority="86" stopIfTrue="1" operator="greaterThanOrEqual">
      <formula>0</formula>
    </cfRule>
  </conditionalFormatting>
  <conditionalFormatting sqref="BQ24">
    <cfRule type="cellIs" dxfId="3" priority="96" stopIfTrue="1" operator="greaterThan">
      <formula>0</formula>
    </cfRule>
  </conditionalFormatting>
  <conditionalFormatting sqref="J24:K24 M24:V24 Z24 AB24:BW24 BU30">
    <cfRule type="cellIs" dxfId="2" priority="90" stopIfTrue="1" operator="greaterThan">
      <formula>0</formula>
    </cfRule>
  </conditionalFormatting>
  <pageMargins left="0.70000000000000007" right="0.70000000000000007" top="0.75" bottom="0.75" header="0.30000000000000004" footer="0.3000000000000000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38"/>
  <sheetViews>
    <sheetView workbookViewId="0"/>
  </sheetViews>
  <sheetFormatPr defaultColWidth="9.109375" defaultRowHeight="14.4" x14ac:dyDescent="0.3"/>
  <cols>
    <col min="1" max="1" width="2.6640625" style="558" bestFit="1" customWidth="1"/>
    <col min="2" max="2" width="4.6640625" style="558" bestFit="1" customWidth="1"/>
    <col min="3" max="3" width="3.6640625" style="558" customWidth="1"/>
    <col min="4" max="5" width="9.109375" style="558" customWidth="1"/>
    <col min="6" max="6" width="22.5546875" style="558" customWidth="1"/>
    <col min="7" max="7" width="4.44140625" style="558" bestFit="1" customWidth="1"/>
    <col min="8" max="8" width="6.33203125" style="558" bestFit="1" customWidth="1"/>
    <col min="9" max="9" width="14.6640625" style="558" customWidth="1"/>
    <col min="10" max="24" width="16.88671875" style="558" bestFit="1" customWidth="1"/>
    <col min="25" max="25" width="16.88671875" style="558" customWidth="1"/>
    <col min="26" max="28" width="16.88671875" style="558" bestFit="1" customWidth="1"/>
    <col min="29" max="29" width="21.33203125" style="558" customWidth="1"/>
    <col min="30" max="30" width="9.109375" style="558" customWidth="1"/>
    <col min="31" max="16384" width="9.109375" style="558"/>
  </cols>
  <sheetData>
    <row r="1" spans="1:29" ht="17.399999999999999" x14ac:dyDescent="0.3">
      <c r="A1" s="1052" t="s">
        <v>1323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11"/>
      <c r="L1" s="1011"/>
      <c r="M1" s="1011"/>
    </row>
    <row r="2" spans="1:29" ht="15.6" x14ac:dyDescent="0.3">
      <c r="A2" s="1053" t="s">
        <v>1499</v>
      </c>
      <c r="B2" s="1053"/>
      <c r="C2" s="1053"/>
      <c r="D2" s="1053"/>
      <c r="E2" s="1053"/>
      <c r="F2" s="1053"/>
      <c r="G2" s="1053"/>
      <c r="H2" s="1053"/>
      <c r="I2" s="1053"/>
    </row>
    <row r="3" spans="1:29" ht="15.6" x14ac:dyDescent="0.3">
      <c r="A3" s="560"/>
      <c r="B3" s="560"/>
      <c r="C3" s="560"/>
      <c r="D3" s="561"/>
      <c r="E3" s="203"/>
      <c r="F3" s="203"/>
      <c r="G3" s="203"/>
      <c r="H3" s="203"/>
      <c r="I3" s="203"/>
    </row>
    <row r="4" spans="1:29" s="571" customFormat="1" ht="76.5" customHeight="1" thickBot="1" x14ac:dyDescent="0.35">
      <c r="A4" s="562"/>
      <c r="B4" s="563"/>
      <c r="C4" s="563"/>
      <c r="D4" s="563"/>
      <c r="E4" s="563"/>
      <c r="F4" s="563"/>
      <c r="G4" s="564"/>
      <c r="H4" s="565" t="s">
        <v>1275</v>
      </c>
      <c r="I4" s="568" t="s">
        <v>1500</v>
      </c>
      <c r="J4" s="568" t="s">
        <v>1501</v>
      </c>
      <c r="K4" s="568" t="s">
        <v>1502</v>
      </c>
      <c r="L4" s="568" t="s">
        <v>1503</v>
      </c>
      <c r="M4" s="567" t="s">
        <v>1504</v>
      </c>
      <c r="N4" s="568" t="s">
        <v>1505</v>
      </c>
      <c r="O4" s="568" t="s">
        <v>1506</v>
      </c>
      <c r="P4" s="568" t="s">
        <v>1507</v>
      </c>
      <c r="Q4" s="568" t="s">
        <v>1508</v>
      </c>
      <c r="R4" s="568" t="s">
        <v>1509</v>
      </c>
      <c r="S4" s="568" t="s">
        <v>1510</v>
      </c>
      <c r="T4" s="568" t="s">
        <v>1511</v>
      </c>
      <c r="U4" s="568" t="s">
        <v>1512</v>
      </c>
      <c r="V4" s="568" t="s">
        <v>1513</v>
      </c>
      <c r="W4" s="568" t="s">
        <v>1514</v>
      </c>
      <c r="X4" s="569" t="s">
        <v>1515</v>
      </c>
      <c r="Y4" s="569" t="s">
        <v>1516</v>
      </c>
      <c r="Z4" s="568" t="s">
        <v>1517</v>
      </c>
      <c r="AA4" s="568" t="s">
        <v>1518</v>
      </c>
      <c r="AB4" s="568" t="s">
        <v>1519</v>
      </c>
      <c r="AC4" s="570" t="s">
        <v>1283</v>
      </c>
    </row>
    <row r="5" spans="1:29" s="571" customFormat="1" ht="15" customHeight="1" thickBot="1" x14ac:dyDescent="0.35">
      <c r="A5" s="1050" t="s">
        <v>1284</v>
      </c>
      <c r="B5" s="1050"/>
      <c r="C5" s="1050"/>
      <c r="D5" s="1050"/>
      <c r="E5" s="1050"/>
      <c r="F5" s="1050"/>
      <c r="G5" s="1050"/>
      <c r="H5" s="1050"/>
      <c r="I5" s="572">
        <v>98.48</v>
      </c>
      <c r="J5" s="574">
        <v>85.08</v>
      </c>
      <c r="K5" s="574">
        <v>0.3</v>
      </c>
      <c r="L5" s="574">
        <v>0.55000000000000004</v>
      </c>
      <c r="M5" s="574">
        <v>0.13</v>
      </c>
      <c r="N5" s="574">
        <v>0.69</v>
      </c>
      <c r="O5" s="574">
        <v>2.42</v>
      </c>
      <c r="P5" s="574">
        <v>0.93</v>
      </c>
      <c r="Q5" s="574">
        <v>0.68</v>
      </c>
      <c r="R5" s="574">
        <v>0.35</v>
      </c>
      <c r="S5" s="574">
        <v>0.28999999999999998</v>
      </c>
      <c r="T5" s="574">
        <v>0.5</v>
      </c>
      <c r="U5" s="574">
        <v>2.09</v>
      </c>
      <c r="V5" s="574">
        <v>0.81</v>
      </c>
      <c r="W5" s="574">
        <v>1.17</v>
      </c>
      <c r="X5" s="574">
        <v>0.21</v>
      </c>
      <c r="Y5" s="574">
        <v>0.21</v>
      </c>
      <c r="Z5" s="574">
        <v>0.4</v>
      </c>
      <c r="AA5" s="574">
        <v>0.67</v>
      </c>
      <c r="AB5" s="574">
        <v>1</v>
      </c>
      <c r="AC5" s="575">
        <f>I5-SUM(J5:AB5)</f>
        <v>0</v>
      </c>
    </row>
    <row r="6" spans="1:29" x14ac:dyDescent="0.3">
      <c r="A6" s="1051" t="s">
        <v>1285</v>
      </c>
      <c r="B6" s="1051"/>
      <c r="C6" s="1051"/>
      <c r="D6" s="1051"/>
      <c r="E6" s="1051"/>
      <c r="F6" s="1051"/>
      <c r="G6" s="576"/>
      <c r="I6" s="577"/>
      <c r="J6" s="577"/>
      <c r="K6" s="577"/>
      <c r="L6" s="577"/>
      <c r="M6" s="578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9"/>
    </row>
    <row r="7" spans="1:29" ht="8.25" customHeight="1" x14ac:dyDescent="0.3">
      <c r="A7" s="580"/>
      <c r="G7" s="581"/>
      <c r="I7" s="582"/>
      <c r="J7" s="582"/>
      <c r="K7" s="582"/>
      <c r="L7" s="582"/>
      <c r="M7" s="583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4"/>
    </row>
    <row r="8" spans="1:29" x14ac:dyDescent="0.3">
      <c r="A8" s="1038" t="s">
        <v>1286</v>
      </c>
      <c r="B8" s="1038"/>
      <c r="C8" s="1038"/>
      <c r="D8" s="1038"/>
      <c r="E8" s="1038"/>
      <c r="F8" s="1038"/>
      <c r="G8" s="586"/>
      <c r="I8" s="582"/>
      <c r="J8" s="582"/>
      <c r="K8" s="582"/>
      <c r="L8" s="582"/>
      <c r="M8" s="583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4"/>
    </row>
    <row r="9" spans="1:29" x14ac:dyDescent="0.3">
      <c r="A9" s="585"/>
      <c r="B9" s="587" t="s">
        <v>1287</v>
      </c>
      <c r="C9" s="588"/>
      <c r="D9" s="588"/>
      <c r="E9" s="588"/>
      <c r="F9" s="588"/>
      <c r="G9" s="589" t="s">
        <v>1288</v>
      </c>
      <c r="H9" s="590">
        <v>9900</v>
      </c>
      <c r="I9" s="582">
        <f t="shared" ref="I9:AB9" si="0">I10-I13</f>
        <v>6863238.4299999997</v>
      </c>
      <c r="J9" s="591">
        <f t="shared" si="0"/>
        <v>6029414.2999999998</v>
      </c>
      <c r="K9" s="591">
        <f t="shared" si="0"/>
        <v>13229.53</v>
      </c>
      <c r="L9" s="591">
        <f t="shared" si="0"/>
        <v>26557.66</v>
      </c>
      <c r="M9" s="591">
        <f t="shared" si="0"/>
        <v>4490.880000000001</v>
      </c>
      <c r="N9" s="591">
        <f t="shared" si="0"/>
        <v>54090.130000000005</v>
      </c>
      <c r="O9" s="591">
        <f t="shared" si="0"/>
        <v>205429.83</v>
      </c>
      <c r="P9" s="591">
        <f t="shared" si="0"/>
        <v>46089.78</v>
      </c>
      <c r="Q9" s="591">
        <f t="shared" si="0"/>
        <v>39625.72</v>
      </c>
      <c r="R9" s="591">
        <f t="shared" si="0"/>
        <v>15880.71</v>
      </c>
      <c r="S9" s="591">
        <f t="shared" si="0"/>
        <v>11000</v>
      </c>
      <c r="T9" s="591">
        <f t="shared" si="0"/>
        <v>60000</v>
      </c>
      <c r="U9" s="591">
        <f t="shared" si="0"/>
        <v>109326.02</v>
      </c>
      <c r="V9" s="591">
        <f t="shared" si="0"/>
        <v>41286.929999999993</v>
      </c>
      <c r="W9" s="591">
        <f t="shared" si="0"/>
        <v>68971.59</v>
      </c>
      <c r="X9" s="591">
        <f t="shared" si="0"/>
        <v>9316.0400000000009</v>
      </c>
      <c r="Y9" s="591">
        <f t="shared" si="0"/>
        <v>11018.44</v>
      </c>
      <c r="Z9" s="591">
        <f t="shared" si="0"/>
        <v>26847.09</v>
      </c>
      <c r="AA9" s="591">
        <f t="shared" si="0"/>
        <v>41188.39</v>
      </c>
      <c r="AB9" s="591">
        <f t="shared" si="0"/>
        <v>49475.39</v>
      </c>
      <c r="AC9" s="592">
        <f t="shared" ref="AC9:AC19" si="1">I9-SUM(J9:AB9)</f>
        <v>0</v>
      </c>
    </row>
    <row r="10" spans="1:29" x14ac:dyDescent="0.3">
      <c r="A10" s="580"/>
      <c r="B10" s="593"/>
      <c r="C10" s="1047" t="s">
        <v>1289</v>
      </c>
      <c r="D10" s="1047"/>
      <c r="E10" s="1047"/>
      <c r="F10" s="1047"/>
      <c r="G10" s="586"/>
      <c r="H10" s="590" t="s">
        <v>1290</v>
      </c>
      <c r="I10" s="700">
        <v>8029861.46</v>
      </c>
      <c r="J10" s="595">
        <v>6921286.4199999999</v>
      </c>
      <c r="K10" s="595">
        <v>13333.7</v>
      </c>
      <c r="L10" s="595">
        <v>26667.41</v>
      </c>
      <c r="M10" s="595">
        <v>26667.41</v>
      </c>
      <c r="N10" s="595">
        <v>60626.01</v>
      </c>
      <c r="O10" s="595">
        <f>324298.11+18022.5</f>
        <v>342320.61</v>
      </c>
      <c r="P10" s="595">
        <v>50075</v>
      </c>
      <c r="Q10" s="595">
        <v>40000</v>
      </c>
      <c r="R10" s="595">
        <f>15600+280+30</f>
        <v>15910</v>
      </c>
      <c r="S10" s="595">
        <v>11000</v>
      </c>
      <c r="T10" s="595">
        <v>60000</v>
      </c>
      <c r="U10" s="595">
        <v>181651.35</v>
      </c>
      <c r="V10" s="595">
        <v>61566.49</v>
      </c>
      <c r="W10" s="595">
        <v>72444.42</v>
      </c>
      <c r="X10" s="595">
        <v>9500</v>
      </c>
      <c r="Y10" s="595">
        <v>11811.86</v>
      </c>
      <c r="Z10" s="595">
        <v>26929.9</v>
      </c>
      <c r="AA10" s="595">
        <v>45764.88</v>
      </c>
      <c r="AB10" s="595">
        <v>52306</v>
      </c>
      <c r="AC10" s="638">
        <f t="shared" si="1"/>
        <v>0</v>
      </c>
    </row>
    <row r="11" spans="1:29" x14ac:dyDescent="0.3">
      <c r="A11" s="580"/>
      <c r="B11" s="1041"/>
      <c r="C11" s="1041"/>
      <c r="D11" s="1042" t="s">
        <v>1291</v>
      </c>
      <c r="E11" s="1042"/>
      <c r="F11" s="1042"/>
      <c r="G11" s="586"/>
      <c r="H11" s="590">
        <v>70</v>
      </c>
      <c r="I11" s="700">
        <v>528622.49</v>
      </c>
      <c r="J11" s="595">
        <v>528622.49</v>
      </c>
      <c r="K11" s="595">
        <v>0</v>
      </c>
      <c r="L11" s="595">
        <v>0</v>
      </c>
      <c r="M11" s="595">
        <v>0</v>
      </c>
      <c r="N11" s="595">
        <v>0</v>
      </c>
      <c r="O11" s="595">
        <v>0</v>
      </c>
      <c r="P11" s="595">
        <v>0</v>
      </c>
      <c r="Q11" s="595">
        <v>0</v>
      </c>
      <c r="R11" s="595">
        <v>0</v>
      </c>
      <c r="S11" s="595">
        <v>0</v>
      </c>
      <c r="T11" s="595">
        <v>0</v>
      </c>
      <c r="U11" s="595">
        <v>0</v>
      </c>
      <c r="V11" s="595">
        <v>0</v>
      </c>
      <c r="W11" s="595">
        <v>0</v>
      </c>
      <c r="X11" s="595">
        <v>0</v>
      </c>
      <c r="Y11" s="595">
        <v>0</v>
      </c>
      <c r="Z11" s="595">
        <v>0</v>
      </c>
      <c r="AA11" s="595">
        <v>0</v>
      </c>
      <c r="AB11" s="595">
        <v>0</v>
      </c>
      <c r="AC11" s="638">
        <f t="shared" si="1"/>
        <v>0</v>
      </c>
    </row>
    <row r="12" spans="1:29" ht="12.75" customHeight="1" x14ac:dyDescent="0.3">
      <c r="A12" s="580"/>
      <c r="D12" s="1043" t="s">
        <v>331</v>
      </c>
      <c r="E12" s="1043"/>
      <c r="F12" s="1043"/>
      <c r="G12" s="596"/>
      <c r="H12" s="590">
        <v>73</v>
      </c>
      <c r="I12" s="701">
        <v>7207106.5499999998</v>
      </c>
      <c r="J12" s="594">
        <v>6124112.7400000002</v>
      </c>
      <c r="K12" s="594">
        <v>13333.7</v>
      </c>
      <c r="L12" s="594">
        <v>26667.41</v>
      </c>
      <c r="M12" s="594">
        <v>26667.41</v>
      </c>
      <c r="N12" s="594">
        <v>60626.01</v>
      </c>
      <c r="O12" s="594">
        <v>324298.11</v>
      </c>
      <c r="P12" s="594">
        <v>50075</v>
      </c>
      <c r="Q12" s="594">
        <v>40000</v>
      </c>
      <c r="R12" s="594">
        <v>15600</v>
      </c>
      <c r="S12" s="594">
        <v>11000</v>
      </c>
      <c r="T12" s="594">
        <v>60000</v>
      </c>
      <c r="U12" s="594">
        <v>181645.73</v>
      </c>
      <c r="V12" s="594">
        <v>55330.8</v>
      </c>
      <c r="W12" s="594">
        <v>71437</v>
      </c>
      <c r="X12" s="594">
        <v>9500</v>
      </c>
      <c r="Y12" s="594">
        <v>11811.86</v>
      </c>
      <c r="Z12" s="594">
        <v>26929.9</v>
      </c>
      <c r="AA12" s="594">
        <v>45764.88</v>
      </c>
      <c r="AB12" s="594">
        <v>52306</v>
      </c>
      <c r="AC12" s="607">
        <f t="shared" si="1"/>
        <v>0</v>
      </c>
    </row>
    <row r="13" spans="1:29" ht="25.5" customHeight="1" x14ac:dyDescent="0.3">
      <c r="A13" s="580"/>
      <c r="B13" s="597"/>
      <c r="C13" s="1044" t="s">
        <v>1292</v>
      </c>
      <c r="D13" s="1044"/>
      <c r="E13" s="1044"/>
      <c r="F13" s="1044"/>
      <c r="G13" s="586"/>
      <c r="H13" s="590" t="s">
        <v>1293</v>
      </c>
      <c r="I13" s="701">
        <v>1166623.03</v>
      </c>
      <c r="J13" s="594">
        <v>891872.12</v>
      </c>
      <c r="K13" s="594">
        <v>104.17</v>
      </c>
      <c r="L13" s="594">
        <v>109.75</v>
      </c>
      <c r="M13" s="594">
        <v>22176.53</v>
      </c>
      <c r="N13" s="594">
        <v>6535.88</v>
      </c>
      <c r="O13" s="594">
        <v>136890.78</v>
      </c>
      <c r="P13" s="594">
        <v>3985.22</v>
      </c>
      <c r="Q13" s="594">
        <v>374.28</v>
      </c>
      <c r="R13" s="594">
        <v>29.29</v>
      </c>
      <c r="S13" s="594">
        <v>0</v>
      </c>
      <c r="T13" s="594">
        <v>0</v>
      </c>
      <c r="U13" s="594">
        <v>72325.33</v>
      </c>
      <c r="V13" s="594">
        <v>20279.560000000001</v>
      </c>
      <c r="W13" s="594">
        <v>3472.83</v>
      </c>
      <c r="X13" s="594">
        <v>183.96</v>
      </c>
      <c r="Y13" s="594">
        <v>793.42</v>
      </c>
      <c r="Z13" s="594">
        <v>82.81</v>
      </c>
      <c r="AA13" s="594">
        <v>4576.49</v>
      </c>
      <c r="AB13" s="594">
        <v>2830.61</v>
      </c>
      <c r="AC13" s="607">
        <f t="shared" si="1"/>
        <v>0</v>
      </c>
    </row>
    <row r="14" spans="1:29" ht="26.25" customHeight="1" x14ac:dyDescent="0.3">
      <c r="A14" s="580"/>
      <c r="B14" s="1044" t="s">
        <v>1294</v>
      </c>
      <c r="C14" s="1044"/>
      <c r="D14" s="1044"/>
      <c r="E14" s="1044"/>
      <c r="F14" s="1044"/>
      <c r="G14" s="586" t="s">
        <v>1288</v>
      </c>
      <c r="H14" s="590">
        <v>62</v>
      </c>
      <c r="I14" s="700">
        <v>6108187.46</v>
      </c>
      <c r="J14" s="595">
        <v>5367952.79</v>
      </c>
      <c r="K14" s="595">
        <v>14041.06</v>
      </c>
      <c r="L14" s="595">
        <v>27711.759999999998</v>
      </c>
      <c r="M14" s="595">
        <v>6723.55</v>
      </c>
      <c r="N14" s="595">
        <v>42786.15</v>
      </c>
      <c r="O14" s="595">
        <v>157021.92000000001</v>
      </c>
      <c r="P14" s="595">
        <v>46086.64</v>
      </c>
      <c r="Q14" s="595">
        <v>33583.629999999997</v>
      </c>
      <c r="R14" s="595">
        <v>19399.79</v>
      </c>
      <c r="S14" s="595">
        <v>13388.97</v>
      </c>
      <c r="T14" s="595">
        <v>34201.96</v>
      </c>
      <c r="U14" s="595">
        <v>104399.34</v>
      </c>
      <c r="V14" s="595">
        <v>40651.65</v>
      </c>
      <c r="W14" s="595">
        <v>64205.47</v>
      </c>
      <c r="X14" s="595">
        <v>9464.8799999999992</v>
      </c>
      <c r="Y14" s="595">
        <v>11018.44</v>
      </c>
      <c r="Z14" s="595">
        <v>26847.09</v>
      </c>
      <c r="AA14" s="595">
        <v>43012.44</v>
      </c>
      <c r="AB14" s="595">
        <v>45689.93</v>
      </c>
      <c r="AC14" s="607">
        <f t="shared" si="1"/>
        <v>0</v>
      </c>
    </row>
    <row r="15" spans="1:29" ht="38.25" customHeight="1" x14ac:dyDescent="0.3">
      <c r="A15" s="580"/>
      <c r="B15" s="1044" t="s">
        <v>1295</v>
      </c>
      <c r="C15" s="1044"/>
      <c r="D15" s="1044"/>
      <c r="E15" s="1044"/>
      <c r="F15" s="1044"/>
      <c r="G15" s="586" t="s">
        <v>1288</v>
      </c>
      <c r="H15" s="590">
        <v>630</v>
      </c>
      <c r="I15" s="701">
        <v>437006.34</v>
      </c>
      <c r="J15" s="594">
        <v>427453.41</v>
      </c>
      <c r="K15" s="594">
        <v>0</v>
      </c>
      <c r="L15" s="594">
        <v>0</v>
      </c>
      <c r="M15" s="594">
        <v>0</v>
      </c>
      <c r="N15" s="594">
        <v>0</v>
      </c>
      <c r="O15" s="594">
        <v>9552.93</v>
      </c>
      <c r="P15" s="594">
        <v>0</v>
      </c>
      <c r="Q15" s="594">
        <v>0</v>
      </c>
      <c r="R15" s="594">
        <v>0</v>
      </c>
      <c r="S15" s="594">
        <v>0</v>
      </c>
      <c r="T15" s="594">
        <v>0</v>
      </c>
      <c r="U15" s="594">
        <v>0</v>
      </c>
      <c r="V15" s="594">
        <v>0</v>
      </c>
      <c r="W15" s="594">
        <v>0</v>
      </c>
      <c r="X15" s="594">
        <v>0</v>
      </c>
      <c r="Y15" s="594">
        <v>0</v>
      </c>
      <c r="Z15" s="594">
        <v>0</v>
      </c>
      <c r="AA15" s="594">
        <v>0</v>
      </c>
      <c r="AB15" s="594">
        <v>0</v>
      </c>
      <c r="AC15" s="607">
        <f t="shared" si="1"/>
        <v>0</v>
      </c>
    </row>
    <row r="16" spans="1:29" ht="39" customHeight="1" x14ac:dyDescent="0.3">
      <c r="A16" s="580"/>
      <c r="B16" s="1044" t="s">
        <v>1296</v>
      </c>
      <c r="C16" s="1044"/>
      <c r="D16" s="1044"/>
      <c r="E16" s="1044"/>
      <c r="F16" s="1044"/>
      <c r="G16" s="586" t="s">
        <v>1288</v>
      </c>
      <c r="H16" s="590" t="s">
        <v>1297</v>
      </c>
      <c r="I16" s="701"/>
      <c r="J16" s="594"/>
      <c r="K16" s="594"/>
      <c r="L16" s="594"/>
      <c r="M16" s="594"/>
      <c r="N16" s="594"/>
      <c r="O16" s="594"/>
      <c r="P16" s="594"/>
      <c r="Q16" s="594"/>
      <c r="R16" s="594"/>
      <c r="S16" s="594"/>
      <c r="T16" s="594"/>
      <c r="U16" s="594"/>
      <c r="V16" s="594"/>
      <c r="W16" s="594"/>
      <c r="X16" s="594"/>
      <c r="Y16" s="594"/>
      <c r="Z16" s="594"/>
      <c r="AA16" s="594"/>
      <c r="AB16" s="594"/>
      <c r="AC16" s="607">
        <f t="shared" si="1"/>
        <v>0</v>
      </c>
    </row>
    <row r="17" spans="1:29" ht="24.75" customHeight="1" x14ac:dyDescent="0.3">
      <c r="A17" s="580"/>
      <c r="B17" s="1044" t="s">
        <v>1298</v>
      </c>
      <c r="C17" s="1044"/>
      <c r="D17" s="1044"/>
      <c r="E17" s="1044"/>
      <c r="F17" s="1044"/>
      <c r="G17" s="586" t="s">
        <v>1288</v>
      </c>
      <c r="H17" s="590" t="s">
        <v>1299</v>
      </c>
      <c r="I17" s="701">
        <v>0</v>
      </c>
      <c r="J17" s="594">
        <v>0</v>
      </c>
      <c r="K17" s="594">
        <v>0</v>
      </c>
      <c r="L17" s="594">
        <v>0</v>
      </c>
      <c r="M17" s="594">
        <v>0</v>
      </c>
      <c r="N17" s="594">
        <v>0</v>
      </c>
      <c r="O17" s="594">
        <v>0</v>
      </c>
      <c r="P17" s="594">
        <v>0</v>
      </c>
      <c r="Q17" s="594">
        <v>0</v>
      </c>
      <c r="R17" s="594">
        <v>0</v>
      </c>
      <c r="S17" s="594">
        <v>0</v>
      </c>
      <c r="T17" s="594">
        <v>0</v>
      </c>
      <c r="U17" s="594">
        <v>0</v>
      </c>
      <c r="V17" s="594">
        <v>0</v>
      </c>
      <c r="W17" s="594">
        <v>0</v>
      </c>
      <c r="X17" s="594">
        <v>0</v>
      </c>
      <c r="Y17" s="594">
        <v>0</v>
      </c>
      <c r="Z17" s="594">
        <v>0</v>
      </c>
      <c r="AA17" s="594">
        <v>0</v>
      </c>
      <c r="AB17" s="594">
        <v>0</v>
      </c>
      <c r="AC17" s="607">
        <f t="shared" si="1"/>
        <v>0</v>
      </c>
    </row>
    <row r="18" spans="1:29" ht="12.75" customHeight="1" x14ac:dyDescent="0.3">
      <c r="A18" s="580"/>
      <c r="B18" s="1045" t="s">
        <v>1300</v>
      </c>
      <c r="C18" s="1045"/>
      <c r="D18" s="1045"/>
      <c r="E18" s="1045"/>
      <c r="F18" s="1045"/>
      <c r="G18" s="586"/>
      <c r="H18" s="590" t="s">
        <v>1301</v>
      </c>
      <c r="I18" s="701">
        <v>92333.62</v>
      </c>
      <c r="J18" s="594">
        <v>39118.25</v>
      </c>
      <c r="K18" s="594">
        <v>0</v>
      </c>
      <c r="L18" s="594">
        <v>0</v>
      </c>
      <c r="M18" s="594">
        <v>200</v>
      </c>
      <c r="N18" s="594">
        <v>11762.22</v>
      </c>
      <c r="O18" s="594">
        <v>36452.89</v>
      </c>
      <c r="P18" s="594">
        <v>0</v>
      </c>
      <c r="Q18" s="594">
        <v>70</v>
      </c>
      <c r="R18" s="594">
        <v>0</v>
      </c>
      <c r="S18" s="594">
        <v>0</v>
      </c>
      <c r="T18" s="594">
        <v>0</v>
      </c>
      <c r="U18" s="594">
        <v>0</v>
      </c>
      <c r="V18" s="594">
        <v>828</v>
      </c>
      <c r="W18" s="594">
        <v>3902.26</v>
      </c>
      <c r="X18" s="594">
        <v>0</v>
      </c>
      <c r="Y18" s="594">
        <v>0</v>
      </c>
      <c r="Z18" s="594">
        <v>0</v>
      </c>
      <c r="AA18" s="594">
        <v>0</v>
      </c>
      <c r="AB18" s="594">
        <v>0</v>
      </c>
      <c r="AC18" s="607">
        <f t="shared" si="1"/>
        <v>0</v>
      </c>
    </row>
    <row r="19" spans="1:29" ht="24.75" customHeight="1" x14ac:dyDescent="0.3">
      <c r="A19" s="580"/>
      <c r="B19" s="1044" t="s">
        <v>1302</v>
      </c>
      <c r="C19" s="1044"/>
      <c r="D19" s="1044"/>
      <c r="E19" s="1044"/>
      <c r="F19" s="1044"/>
      <c r="G19" s="586" t="s">
        <v>1303</v>
      </c>
      <c r="H19" s="590">
        <v>649</v>
      </c>
      <c r="I19" s="701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607">
        <f t="shared" si="1"/>
        <v>0</v>
      </c>
    </row>
    <row r="20" spans="1:29" x14ac:dyDescent="0.3">
      <c r="A20" s="580"/>
      <c r="B20" s="601"/>
      <c r="C20" s="561"/>
      <c r="D20" s="593"/>
      <c r="E20" s="593"/>
      <c r="F20" s="593"/>
      <c r="G20" s="586"/>
      <c r="H20" s="590"/>
      <c r="I20" s="602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4"/>
    </row>
    <row r="21" spans="1:29" s="608" customFormat="1" x14ac:dyDescent="0.3">
      <c r="A21" s="1046" t="s">
        <v>1304</v>
      </c>
      <c r="B21" s="1046"/>
      <c r="C21" s="1046"/>
      <c r="D21" s="1046"/>
      <c r="E21" s="1046"/>
      <c r="F21" s="1046"/>
      <c r="G21" s="605" t="s">
        <v>1288</v>
      </c>
      <c r="H21" s="606">
        <v>9901</v>
      </c>
      <c r="I21" s="701">
        <f t="shared" ref="I21:AC21" si="2">I9-I14-I15-I16-I17-I18-I19</f>
        <v>225711.00999999972</v>
      </c>
      <c r="J21" s="594">
        <f t="shared" si="2"/>
        <v>194889.8499999998</v>
      </c>
      <c r="K21" s="594">
        <f t="shared" si="2"/>
        <v>-811.52999999999884</v>
      </c>
      <c r="L21" s="594">
        <f t="shared" si="2"/>
        <v>-1154.0999999999985</v>
      </c>
      <c r="M21" s="594">
        <f t="shared" si="2"/>
        <v>-2432.6699999999992</v>
      </c>
      <c r="N21" s="594">
        <f t="shared" si="2"/>
        <v>-458.23999999999614</v>
      </c>
      <c r="O21" s="594">
        <f t="shared" si="2"/>
        <v>2402.0899999999747</v>
      </c>
      <c r="P21" s="594">
        <f t="shared" si="2"/>
        <v>3.1399999999994179</v>
      </c>
      <c r="Q21" s="594">
        <f t="shared" si="2"/>
        <v>5972.0900000000038</v>
      </c>
      <c r="R21" s="594">
        <f t="shared" si="2"/>
        <v>-3519.0800000000017</v>
      </c>
      <c r="S21" s="594">
        <f t="shared" si="2"/>
        <v>-2388.9699999999993</v>
      </c>
      <c r="T21" s="594">
        <f t="shared" si="2"/>
        <v>25798.04</v>
      </c>
      <c r="U21" s="594">
        <f t="shared" si="2"/>
        <v>4926.6800000000076</v>
      </c>
      <c r="V21" s="594">
        <f t="shared" si="2"/>
        <v>-192.72000000000844</v>
      </c>
      <c r="W21" s="594">
        <f t="shared" si="2"/>
        <v>863.85999999999513</v>
      </c>
      <c r="X21" s="594">
        <f t="shared" si="2"/>
        <v>-148.83999999999833</v>
      </c>
      <c r="Y21" s="594">
        <f t="shared" si="2"/>
        <v>0</v>
      </c>
      <c r="Z21" s="594">
        <f t="shared" si="2"/>
        <v>0</v>
      </c>
      <c r="AA21" s="594">
        <f t="shared" si="2"/>
        <v>-1824.0500000000029</v>
      </c>
      <c r="AB21" s="594">
        <f t="shared" si="2"/>
        <v>3785.4599999999991</v>
      </c>
      <c r="AC21" s="607">
        <f t="shared" si="2"/>
        <v>0</v>
      </c>
    </row>
    <row r="22" spans="1:29" s="608" customFormat="1" x14ac:dyDescent="0.3">
      <c r="A22" s="609"/>
      <c r="B22" s="1041"/>
      <c r="C22" s="1041"/>
      <c r="D22" s="1041"/>
      <c r="E22" s="1041"/>
      <c r="F22" s="1041"/>
      <c r="G22" s="605"/>
      <c r="H22" s="606"/>
      <c r="I22" s="610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2"/>
      <c r="AA22" s="612"/>
      <c r="AB22" s="612"/>
      <c r="AC22" s="613"/>
    </row>
    <row r="23" spans="1:29" x14ac:dyDescent="0.3">
      <c r="A23" s="614" t="s">
        <v>1305</v>
      </c>
      <c r="B23" s="615"/>
      <c r="C23" s="615"/>
      <c r="D23" s="615"/>
      <c r="E23" s="615"/>
      <c r="F23" s="615"/>
      <c r="G23" s="581"/>
      <c r="H23" s="590">
        <v>75</v>
      </c>
      <c r="I23" s="700">
        <v>3.62</v>
      </c>
      <c r="J23" s="595">
        <v>0.09</v>
      </c>
      <c r="K23" s="595">
        <v>0</v>
      </c>
      <c r="L23" s="595">
        <v>0</v>
      </c>
      <c r="M23" s="595">
        <v>0</v>
      </c>
      <c r="N23" s="595">
        <v>0</v>
      </c>
      <c r="O23" s="595">
        <v>3.53</v>
      </c>
      <c r="P23" s="595">
        <v>0</v>
      </c>
      <c r="Q23" s="595">
        <v>0</v>
      </c>
      <c r="R23" s="595">
        <v>0</v>
      </c>
      <c r="S23" s="595">
        <v>0</v>
      </c>
      <c r="T23" s="595">
        <v>0</v>
      </c>
      <c r="U23" s="595">
        <v>0</v>
      </c>
      <c r="V23" s="595">
        <v>0</v>
      </c>
      <c r="W23" s="595">
        <v>0</v>
      </c>
      <c r="X23" s="595">
        <v>0</v>
      </c>
      <c r="Y23" s="595">
        <v>0</v>
      </c>
      <c r="Z23" s="595">
        <v>0</v>
      </c>
      <c r="AA23" s="595">
        <v>0</v>
      </c>
      <c r="AB23" s="595">
        <v>0</v>
      </c>
      <c r="AC23" s="638">
        <f>I23-SUM(J23:AB23)</f>
        <v>0</v>
      </c>
    </row>
    <row r="24" spans="1:29" x14ac:dyDescent="0.3">
      <c r="A24" s="614"/>
      <c r="B24" s="615"/>
      <c r="C24" s="615"/>
      <c r="D24" s="615"/>
      <c r="E24" s="615"/>
      <c r="F24" s="615"/>
      <c r="G24" s="581"/>
      <c r="H24" s="590"/>
      <c r="I24" s="610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3"/>
    </row>
    <row r="25" spans="1:29" x14ac:dyDescent="0.3">
      <c r="A25" s="1038" t="s">
        <v>1306</v>
      </c>
      <c r="B25" s="1038"/>
      <c r="C25" s="1038"/>
      <c r="D25" s="1038"/>
      <c r="E25" s="1038"/>
      <c r="F25" s="1038"/>
      <c r="G25" s="581"/>
      <c r="H25" s="590">
        <v>65</v>
      </c>
      <c r="I25" s="627">
        <v>35568.959999999999</v>
      </c>
      <c r="J25" s="616">
        <v>30494.25</v>
      </c>
      <c r="K25" s="616">
        <v>0</v>
      </c>
      <c r="L25" s="616">
        <v>0</v>
      </c>
      <c r="M25" s="616">
        <v>0</v>
      </c>
      <c r="N25" s="616">
        <v>0</v>
      </c>
      <c r="O25" s="616">
        <v>43.6</v>
      </c>
      <c r="P25" s="616">
        <v>0</v>
      </c>
      <c r="Q25" s="616">
        <v>0</v>
      </c>
      <c r="R25" s="616">
        <v>0</v>
      </c>
      <c r="S25" s="616">
        <v>0</v>
      </c>
      <c r="T25" s="616">
        <v>0</v>
      </c>
      <c r="U25" s="616">
        <v>4852.91</v>
      </c>
      <c r="V25" s="616">
        <v>0</v>
      </c>
      <c r="W25" s="616">
        <v>178.2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40">
        <f>I25-SUM(J25:AB25)</f>
        <v>0</v>
      </c>
    </row>
    <row r="26" spans="1:29" x14ac:dyDescent="0.3">
      <c r="A26" s="585"/>
      <c r="B26" s="588"/>
      <c r="C26" s="588"/>
      <c r="D26" s="588"/>
      <c r="E26" s="588"/>
      <c r="F26" s="588"/>
      <c r="G26" s="581"/>
      <c r="H26" s="590"/>
      <c r="I26" s="617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20"/>
    </row>
    <row r="27" spans="1:29" x14ac:dyDescent="0.3">
      <c r="A27" s="1039" t="s">
        <v>1307</v>
      </c>
      <c r="B27" s="1039"/>
      <c r="C27" s="1039"/>
      <c r="D27" s="1039"/>
      <c r="E27" s="1039"/>
      <c r="F27" s="1039"/>
      <c r="G27" s="621" t="s">
        <v>1288</v>
      </c>
      <c r="H27" s="590">
        <v>9902</v>
      </c>
      <c r="I27" s="701">
        <f t="shared" ref="I27:AC27" si="3">I21+I23-I25</f>
        <v>190145.66999999972</v>
      </c>
      <c r="J27" s="594">
        <f t="shared" si="3"/>
        <v>164395.6899999998</v>
      </c>
      <c r="K27" s="594">
        <f t="shared" si="3"/>
        <v>-811.52999999999884</v>
      </c>
      <c r="L27" s="594">
        <f t="shared" si="3"/>
        <v>-1154.0999999999985</v>
      </c>
      <c r="M27" s="594">
        <f t="shared" si="3"/>
        <v>-2432.6699999999992</v>
      </c>
      <c r="N27" s="594">
        <f t="shared" si="3"/>
        <v>-458.23999999999614</v>
      </c>
      <c r="O27" s="594">
        <f t="shared" si="3"/>
        <v>2362.019999999975</v>
      </c>
      <c r="P27" s="594">
        <f t="shared" si="3"/>
        <v>3.1399999999994179</v>
      </c>
      <c r="Q27" s="594">
        <f t="shared" si="3"/>
        <v>5972.0900000000038</v>
      </c>
      <c r="R27" s="594">
        <f t="shared" si="3"/>
        <v>-3519.0800000000017</v>
      </c>
      <c r="S27" s="594">
        <f t="shared" si="3"/>
        <v>-2388.9699999999993</v>
      </c>
      <c r="T27" s="594">
        <f t="shared" si="3"/>
        <v>25798.04</v>
      </c>
      <c r="U27" s="594">
        <f t="shared" si="3"/>
        <v>73.770000000007713</v>
      </c>
      <c r="V27" s="594">
        <f t="shared" si="3"/>
        <v>-192.72000000000844</v>
      </c>
      <c r="W27" s="594">
        <f t="shared" si="3"/>
        <v>685.65999999999508</v>
      </c>
      <c r="X27" s="594">
        <f t="shared" si="3"/>
        <v>-148.83999999999833</v>
      </c>
      <c r="Y27" s="594">
        <f t="shared" si="3"/>
        <v>0</v>
      </c>
      <c r="Z27" s="594">
        <f t="shared" si="3"/>
        <v>0</v>
      </c>
      <c r="AA27" s="594">
        <f t="shared" si="3"/>
        <v>-1824.0500000000029</v>
      </c>
      <c r="AB27" s="594">
        <f t="shared" si="3"/>
        <v>3785.4599999999991</v>
      </c>
      <c r="AC27" s="607">
        <f t="shared" si="3"/>
        <v>0</v>
      </c>
    </row>
    <row r="28" spans="1:29" x14ac:dyDescent="0.3">
      <c r="A28" s="580"/>
      <c r="G28" s="581"/>
      <c r="H28" s="590"/>
      <c r="I28" s="602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4"/>
    </row>
    <row r="29" spans="1:29" x14ac:dyDescent="0.3">
      <c r="A29" s="1038" t="s">
        <v>1308</v>
      </c>
      <c r="B29" s="1038"/>
      <c r="C29" s="1038"/>
      <c r="D29" s="1038"/>
      <c r="E29" s="1038"/>
      <c r="F29" s="1038"/>
      <c r="G29" s="581"/>
      <c r="H29" s="590">
        <v>76</v>
      </c>
      <c r="I29" s="700">
        <v>0</v>
      </c>
      <c r="J29" s="595">
        <v>0</v>
      </c>
      <c r="K29" s="595">
        <v>0</v>
      </c>
      <c r="L29" s="595">
        <v>0</v>
      </c>
      <c r="M29" s="595">
        <v>0</v>
      </c>
      <c r="N29" s="595">
        <v>0</v>
      </c>
      <c r="O29" s="595">
        <v>0</v>
      </c>
      <c r="P29" s="595">
        <v>0</v>
      </c>
      <c r="Q29" s="595">
        <v>0</v>
      </c>
      <c r="R29" s="595">
        <v>0</v>
      </c>
      <c r="S29" s="595">
        <v>0</v>
      </c>
      <c r="T29" s="595">
        <v>0</v>
      </c>
      <c r="U29" s="595">
        <v>0</v>
      </c>
      <c r="V29" s="595">
        <v>0</v>
      </c>
      <c r="W29" s="595">
        <v>0</v>
      </c>
      <c r="X29" s="595">
        <v>0</v>
      </c>
      <c r="Y29" s="595">
        <v>0</v>
      </c>
      <c r="Z29" s="595">
        <v>0</v>
      </c>
      <c r="AA29" s="595">
        <v>0</v>
      </c>
      <c r="AB29" s="595">
        <v>0</v>
      </c>
      <c r="AC29" s="638">
        <f>I29-SUM(J29:AB29)</f>
        <v>0</v>
      </c>
    </row>
    <row r="30" spans="1:29" x14ac:dyDescent="0.3">
      <c r="A30" s="585"/>
      <c r="B30" s="588"/>
      <c r="C30" s="588"/>
      <c r="D30" s="588"/>
      <c r="E30" s="588"/>
      <c r="F30" s="588"/>
      <c r="G30" s="581"/>
      <c r="H30" s="590"/>
      <c r="I30" s="610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3"/>
    </row>
    <row r="31" spans="1:29" x14ac:dyDescent="0.3">
      <c r="A31" s="1038" t="s">
        <v>1309</v>
      </c>
      <c r="B31" s="1038"/>
      <c r="C31" s="1038"/>
      <c r="D31" s="1038"/>
      <c r="E31" s="1038"/>
      <c r="F31" s="1038"/>
      <c r="G31" s="581"/>
      <c r="H31" s="590">
        <v>66</v>
      </c>
      <c r="I31" s="627">
        <v>12389.51</v>
      </c>
      <c r="J31" s="616">
        <v>6934</v>
      </c>
      <c r="K31" s="616">
        <v>0</v>
      </c>
      <c r="L31" s="616">
        <v>0</v>
      </c>
      <c r="M31" s="616">
        <v>0</v>
      </c>
      <c r="N31" s="616">
        <v>0</v>
      </c>
      <c r="O31" s="616">
        <v>4700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5.86</v>
      </c>
      <c r="V31" s="616">
        <v>0</v>
      </c>
      <c r="W31" s="616">
        <v>749.65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40">
        <f>I31-SUM(J31:AB31)</f>
        <v>0</v>
      </c>
    </row>
    <row r="32" spans="1:29" x14ac:dyDescent="0.3">
      <c r="A32" s="580"/>
      <c r="G32" s="581"/>
      <c r="H32" s="590"/>
      <c r="I32" s="602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4"/>
    </row>
    <row r="33" spans="1:29" s="608" customFormat="1" x14ac:dyDescent="0.3">
      <c r="A33" s="1040" t="s">
        <v>1310</v>
      </c>
      <c r="B33" s="1040"/>
      <c r="C33" s="1040"/>
      <c r="D33" s="1040"/>
      <c r="E33" s="1040"/>
      <c r="F33" s="1040"/>
      <c r="G33" s="622" t="s">
        <v>1288</v>
      </c>
      <c r="H33" s="606">
        <v>9904</v>
      </c>
      <c r="I33" s="701">
        <f t="shared" ref="I33:AC33" si="4">I27+I29-I31</f>
        <v>177756.15999999971</v>
      </c>
      <c r="J33" s="594">
        <f t="shared" si="4"/>
        <v>157461.6899999998</v>
      </c>
      <c r="K33" s="594">
        <f t="shared" si="4"/>
        <v>-811.52999999999884</v>
      </c>
      <c r="L33" s="594">
        <f t="shared" si="4"/>
        <v>-1154.0999999999985</v>
      </c>
      <c r="M33" s="594">
        <f t="shared" si="4"/>
        <v>-2432.6699999999992</v>
      </c>
      <c r="N33" s="594">
        <f t="shared" si="4"/>
        <v>-458.23999999999614</v>
      </c>
      <c r="O33" s="594">
        <f t="shared" si="4"/>
        <v>-2337.980000000025</v>
      </c>
      <c r="P33" s="594">
        <f t="shared" si="4"/>
        <v>3.1399999999994179</v>
      </c>
      <c r="Q33" s="594">
        <f t="shared" si="4"/>
        <v>5972.0900000000038</v>
      </c>
      <c r="R33" s="594">
        <f t="shared" si="4"/>
        <v>-3519.0800000000017</v>
      </c>
      <c r="S33" s="594">
        <f t="shared" si="4"/>
        <v>-2388.9699999999993</v>
      </c>
      <c r="T33" s="594">
        <f t="shared" si="4"/>
        <v>25798.04</v>
      </c>
      <c r="U33" s="594">
        <f t="shared" si="4"/>
        <v>67.910000000007713</v>
      </c>
      <c r="V33" s="594">
        <f t="shared" si="4"/>
        <v>-192.72000000000844</v>
      </c>
      <c r="W33" s="594">
        <f t="shared" si="4"/>
        <v>-63.990000000004898</v>
      </c>
      <c r="X33" s="594">
        <f t="shared" si="4"/>
        <v>-148.83999999999833</v>
      </c>
      <c r="Y33" s="594">
        <f t="shared" si="4"/>
        <v>0</v>
      </c>
      <c r="Z33" s="594">
        <f t="shared" si="4"/>
        <v>0</v>
      </c>
      <c r="AA33" s="594">
        <f t="shared" si="4"/>
        <v>-1824.0500000000029</v>
      </c>
      <c r="AB33" s="594">
        <f t="shared" si="4"/>
        <v>3785.4599999999991</v>
      </c>
      <c r="AC33" s="607">
        <f t="shared" si="4"/>
        <v>0</v>
      </c>
    </row>
    <row r="34" spans="1:29" ht="8.25" customHeight="1" thickBot="1" x14ac:dyDescent="0.35">
      <c r="A34" s="623"/>
      <c r="B34" s="624"/>
      <c r="C34" s="624"/>
      <c r="D34" s="624"/>
      <c r="E34" s="624"/>
      <c r="F34" s="624"/>
      <c r="G34" s="625"/>
      <c r="H34" s="626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9"/>
    </row>
    <row r="36" spans="1:29" x14ac:dyDescent="0.3">
      <c r="N36" s="558">
        <v>-2896.56</v>
      </c>
      <c r="O36" s="558">
        <v>-2337.98</v>
      </c>
    </row>
    <row r="37" spans="1:29" x14ac:dyDescent="0.3">
      <c r="N37" s="702" t="s">
        <v>1520</v>
      </c>
      <c r="O37" s="702" t="s">
        <v>1520</v>
      </c>
    </row>
    <row r="38" spans="1:29" x14ac:dyDescent="0.3">
      <c r="L38" s="600"/>
      <c r="N38" s="702" t="s">
        <v>1521</v>
      </c>
      <c r="O38" s="702" t="s">
        <v>1521</v>
      </c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AC21 I27:AC27 I33:AC33">
    <cfRule type="cellIs" dxfId="1" priority="101" stopIfTrue="1" operator="lessThan">
      <formula>0</formula>
    </cfRule>
  </conditionalFormatting>
  <conditionalFormatting sqref="I21:AC21 I27:AC27 I33:AC33">
    <cfRule type="cellIs" dxfId="0" priority="94" stopIfTrue="1" operator="greaterThanOrEqual">
      <formula>0</formula>
    </cfRule>
  </conditionalFormatting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workbookViewId="0"/>
  </sheetViews>
  <sheetFormatPr defaultRowHeight="14.4" x14ac:dyDescent="0.3"/>
  <cols>
    <col min="1" max="1" width="27.44140625" customWidth="1"/>
    <col min="2" max="2" width="59.109375" customWidth="1"/>
    <col min="3" max="4" width="22.6640625" customWidth="1"/>
    <col min="5" max="5" width="11.6640625" bestFit="1" customWidth="1"/>
    <col min="6" max="6" width="10.109375" bestFit="1" customWidth="1"/>
    <col min="7" max="256" width="8.88671875" customWidth="1"/>
    <col min="257" max="257" width="27.44140625" customWidth="1"/>
    <col min="258" max="258" width="59.109375" customWidth="1"/>
    <col min="259" max="260" width="22.6640625" customWidth="1"/>
    <col min="261" max="261" width="11.6640625" bestFit="1" customWidth="1"/>
    <col min="262" max="262" width="10.109375" bestFit="1" customWidth="1"/>
    <col min="263" max="512" width="8.88671875" customWidth="1"/>
    <col min="513" max="513" width="27.44140625" customWidth="1"/>
    <col min="514" max="514" width="59.109375" customWidth="1"/>
    <col min="515" max="516" width="22.6640625" customWidth="1"/>
    <col min="517" max="517" width="11.6640625" bestFit="1" customWidth="1"/>
    <col min="518" max="518" width="10.109375" bestFit="1" customWidth="1"/>
    <col min="519" max="768" width="8.88671875" customWidth="1"/>
    <col min="769" max="769" width="27.44140625" customWidth="1"/>
    <col min="770" max="770" width="59.109375" customWidth="1"/>
    <col min="771" max="772" width="22.6640625" customWidth="1"/>
    <col min="773" max="773" width="11.6640625" bestFit="1" customWidth="1"/>
    <col min="774" max="774" width="10.109375" bestFit="1" customWidth="1"/>
    <col min="775" max="1024" width="8.88671875" customWidth="1"/>
    <col min="1025" max="1025" width="27.44140625" customWidth="1"/>
    <col min="1026" max="1026" width="59.109375" customWidth="1"/>
    <col min="1027" max="1028" width="22.6640625" customWidth="1"/>
    <col min="1029" max="1029" width="11.6640625" bestFit="1" customWidth="1"/>
    <col min="1030" max="1030" width="10.109375" bestFit="1" customWidth="1"/>
    <col min="1031" max="1280" width="8.88671875" customWidth="1"/>
    <col min="1281" max="1281" width="27.44140625" customWidth="1"/>
    <col min="1282" max="1282" width="59.109375" customWidth="1"/>
    <col min="1283" max="1284" width="22.6640625" customWidth="1"/>
    <col min="1285" max="1285" width="11.6640625" bestFit="1" customWidth="1"/>
    <col min="1286" max="1286" width="10.109375" bestFit="1" customWidth="1"/>
    <col min="1287" max="1536" width="8.88671875" customWidth="1"/>
    <col min="1537" max="1537" width="27.44140625" customWidth="1"/>
    <col min="1538" max="1538" width="59.109375" customWidth="1"/>
    <col min="1539" max="1540" width="22.6640625" customWidth="1"/>
    <col min="1541" max="1541" width="11.6640625" bestFit="1" customWidth="1"/>
    <col min="1542" max="1542" width="10.109375" bestFit="1" customWidth="1"/>
    <col min="1543" max="1792" width="8.88671875" customWidth="1"/>
    <col min="1793" max="1793" width="27.44140625" customWidth="1"/>
    <col min="1794" max="1794" width="59.109375" customWidth="1"/>
    <col min="1795" max="1796" width="22.6640625" customWidth="1"/>
    <col min="1797" max="1797" width="11.6640625" bestFit="1" customWidth="1"/>
    <col min="1798" max="1798" width="10.109375" bestFit="1" customWidth="1"/>
    <col min="1799" max="2048" width="8.88671875" customWidth="1"/>
    <col min="2049" max="2049" width="27.44140625" customWidth="1"/>
    <col min="2050" max="2050" width="59.109375" customWidth="1"/>
    <col min="2051" max="2052" width="22.6640625" customWidth="1"/>
    <col min="2053" max="2053" width="11.6640625" bestFit="1" customWidth="1"/>
    <col min="2054" max="2054" width="10.109375" bestFit="1" customWidth="1"/>
    <col min="2055" max="2304" width="8.88671875" customWidth="1"/>
    <col min="2305" max="2305" width="27.44140625" customWidth="1"/>
    <col min="2306" max="2306" width="59.109375" customWidth="1"/>
    <col min="2307" max="2308" width="22.6640625" customWidth="1"/>
    <col min="2309" max="2309" width="11.6640625" bestFit="1" customWidth="1"/>
    <col min="2310" max="2310" width="10.109375" bestFit="1" customWidth="1"/>
    <col min="2311" max="2560" width="8.88671875" customWidth="1"/>
    <col min="2561" max="2561" width="27.44140625" customWidth="1"/>
    <col min="2562" max="2562" width="59.109375" customWidth="1"/>
    <col min="2563" max="2564" width="22.6640625" customWidth="1"/>
    <col min="2565" max="2565" width="11.6640625" bestFit="1" customWidth="1"/>
    <col min="2566" max="2566" width="10.109375" bestFit="1" customWidth="1"/>
    <col min="2567" max="2816" width="8.88671875" customWidth="1"/>
    <col min="2817" max="2817" width="27.44140625" customWidth="1"/>
    <col min="2818" max="2818" width="59.109375" customWidth="1"/>
    <col min="2819" max="2820" width="22.6640625" customWidth="1"/>
    <col min="2821" max="2821" width="11.6640625" bestFit="1" customWidth="1"/>
    <col min="2822" max="2822" width="10.109375" bestFit="1" customWidth="1"/>
    <col min="2823" max="3072" width="8.88671875" customWidth="1"/>
    <col min="3073" max="3073" width="27.44140625" customWidth="1"/>
    <col min="3074" max="3074" width="59.109375" customWidth="1"/>
    <col min="3075" max="3076" width="22.6640625" customWidth="1"/>
    <col min="3077" max="3077" width="11.6640625" bestFit="1" customWidth="1"/>
    <col min="3078" max="3078" width="10.109375" bestFit="1" customWidth="1"/>
    <col min="3079" max="3328" width="8.88671875" customWidth="1"/>
    <col min="3329" max="3329" width="27.44140625" customWidth="1"/>
    <col min="3330" max="3330" width="59.109375" customWidth="1"/>
    <col min="3331" max="3332" width="22.6640625" customWidth="1"/>
    <col min="3333" max="3333" width="11.6640625" bestFit="1" customWidth="1"/>
    <col min="3334" max="3334" width="10.109375" bestFit="1" customWidth="1"/>
    <col min="3335" max="3584" width="8.88671875" customWidth="1"/>
    <col min="3585" max="3585" width="27.44140625" customWidth="1"/>
    <col min="3586" max="3586" width="59.109375" customWidth="1"/>
    <col min="3587" max="3588" width="22.6640625" customWidth="1"/>
    <col min="3589" max="3589" width="11.6640625" bestFit="1" customWidth="1"/>
    <col min="3590" max="3590" width="10.109375" bestFit="1" customWidth="1"/>
    <col min="3591" max="3840" width="8.88671875" customWidth="1"/>
    <col min="3841" max="3841" width="27.44140625" customWidth="1"/>
    <col min="3842" max="3842" width="59.109375" customWidth="1"/>
    <col min="3843" max="3844" width="22.6640625" customWidth="1"/>
    <col min="3845" max="3845" width="11.6640625" bestFit="1" customWidth="1"/>
    <col min="3846" max="3846" width="10.109375" bestFit="1" customWidth="1"/>
    <col min="3847" max="4096" width="8.88671875" customWidth="1"/>
    <col min="4097" max="4097" width="27.44140625" customWidth="1"/>
    <col min="4098" max="4098" width="59.109375" customWidth="1"/>
    <col min="4099" max="4100" width="22.6640625" customWidth="1"/>
    <col min="4101" max="4101" width="11.6640625" bestFit="1" customWidth="1"/>
    <col min="4102" max="4102" width="10.109375" bestFit="1" customWidth="1"/>
    <col min="4103" max="4352" width="8.88671875" customWidth="1"/>
    <col min="4353" max="4353" width="27.44140625" customWidth="1"/>
    <col min="4354" max="4354" width="59.109375" customWidth="1"/>
    <col min="4355" max="4356" width="22.6640625" customWidth="1"/>
    <col min="4357" max="4357" width="11.6640625" bestFit="1" customWidth="1"/>
    <col min="4358" max="4358" width="10.109375" bestFit="1" customWidth="1"/>
    <col min="4359" max="4608" width="8.88671875" customWidth="1"/>
    <col min="4609" max="4609" width="27.44140625" customWidth="1"/>
    <col min="4610" max="4610" width="59.109375" customWidth="1"/>
    <col min="4611" max="4612" width="22.6640625" customWidth="1"/>
    <col min="4613" max="4613" width="11.6640625" bestFit="1" customWidth="1"/>
    <col min="4614" max="4614" width="10.109375" bestFit="1" customWidth="1"/>
    <col min="4615" max="4864" width="8.88671875" customWidth="1"/>
    <col min="4865" max="4865" width="27.44140625" customWidth="1"/>
    <col min="4866" max="4866" width="59.109375" customWidth="1"/>
    <col min="4867" max="4868" width="22.6640625" customWidth="1"/>
    <col min="4869" max="4869" width="11.6640625" bestFit="1" customWidth="1"/>
    <col min="4870" max="4870" width="10.109375" bestFit="1" customWidth="1"/>
    <col min="4871" max="5120" width="8.88671875" customWidth="1"/>
    <col min="5121" max="5121" width="27.44140625" customWidth="1"/>
    <col min="5122" max="5122" width="59.109375" customWidth="1"/>
    <col min="5123" max="5124" width="22.6640625" customWidth="1"/>
    <col min="5125" max="5125" width="11.6640625" bestFit="1" customWidth="1"/>
    <col min="5126" max="5126" width="10.109375" bestFit="1" customWidth="1"/>
    <col min="5127" max="5376" width="8.88671875" customWidth="1"/>
    <col min="5377" max="5377" width="27.44140625" customWidth="1"/>
    <col min="5378" max="5378" width="59.109375" customWidth="1"/>
    <col min="5379" max="5380" width="22.6640625" customWidth="1"/>
    <col min="5381" max="5381" width="11.6640625" bestFit="1" customWidth="1"/>
    <col min="5382" max="5382" width="10.109375" bestFit="1" customWidth="1"/>
    <col min="5383" max="5632" width="8.88671875" customWidth="1"/>
    <col min="5633" max="5633" width="27.44140625" customWidth="1"/>
    <col min="5634" max="5634" width="59.109375" customWidth="1"/>
    <col min="5635" max="5636" width="22.6640625" customWidth="1"/>
    <col min="5637" max="5637" width="11.6640625" bestFit="1" customWidth="1"/>
    <col min="5638" max="5638" width="10.109375" bestFit="1" customWidth="1"/>
    <col min="5639" max="5888" width="8.88671875" customWidth="1"/>
    <col min="5889" max="5889" width="27.44140625" customWidth="1"/>
    <col min="5890" max="5890" width="59.109375" customWidth="1"/>
    <col min="5891" max="5892" width="22.6640625" customWidth="1"/>
    <col min="5893" max="5893" width="11.6640625" bestFit="1" customWidth="1"/>
    <col min="5894" max="5894" width="10.109375" bestFit="1" customWidth="1"/>
    <col min="5895" max="6144" width="8.88671875" customWidth="1"/>
    <col min="6145" max="6145" width="27.44140625" customWidth="1"/>
    <col min="6146" max="6146" width="59.109375" customWidth="1"/>
    <col min="6147" max="6148" width="22.6640625" customWidth="1"/>
    <col min="6149" max="6149" width="11.6640625" bestFit="1" customWidth="1"/>
    <col min="6150" max="6150" width="10.109375" bestFit="1" customWidth="1"/>
    <col min="6151" max="6400" width="8.88671875" customWidth="1"/>
    <col min="6401" max="6401" width="27.44140625" customWidth="1"/>
    <col min="6402" max="6402" width="59.109375" customWidth="1"/>
    <col min="6403" max="6404" width="22.6640625" customWidth="1"/>
    <col min="6405" max="6405" width="11.6640625" bestFit="1" customWidth="1"/>
    <col min="6406" max="6406" width="10.109375" bestFit="1" customWidth="1"/>
    <col min="6407" max="6656" width="8.88671875" customWidth="1"/>
    <col min="6657" max="6657" width="27.44140625" customWidth="1"/>
    <col min="6658" max="6658" width="59.109375" customWidth="1"/>
    <col min="6659" max="6660" width="22.6640625" customWidth="1"/>
    <col min="6661" max="6661" width="11.6640625" bestFit="1" customWidth="1"/>
    <col min="6662" max="6662" width="10.109375" bestFit="1" customWidth="1"/>
    <col min="6663" max="6912" width="8.88671875" customWidth="1"/>
    <col min="6913" max="6913" width="27.44140625" customWidth="1"/>
    <col min="6914" max="6914" width="59.109375" customWidth="1"/>
    <col min="6915" max="6916" width="22.6640625" customWidth="1"/>
    <col min="6917" max="6917" width="11.6640625" bestFit="1" customWidth="1"/>
    <col min="6918" max="6918" width="10.109375" bestFit="1" customWidth="1"/>
    <col min="6919" max="7168" width="8.88671875" customWidth="1"/>
    <col min="7169" max="7169" width="27.44140625" customWidth="1"/>
    <col min="7170" max="7170" width="59.109375" customWidth="1"/>
    <col min="7171" max="7172" width="22.6640625" customWidth="1"/>
    <col min="7173" max="7173" width="11.6640625" bestFit="1" customWidth="1"/>
    <col min="7174" max="7174" width="10.109375" bestFit="1" customWidth="1"/>
    <col min="7175" max="7424" width="8.88671875" customWidth="1"/>
    <col min="7425" max="7425" width="27.44140625" customWidth="1"/>
    <col min="7426" max="7426" width="59.109375" customWidth="1"/>
    <col min="7427" max="7428" width="22.6640625" customWidth="1"/>
    <col min="7429" max="7429" width="11.6640625" bestFit="1" customWidth="1"/>
    <col min="7430" max="7430" width="10.109375" bestFit="1" customWidth="1"/>
    <col min="7431" max="7680" width="8.88671875" customWidth="1"/>
    <col min="7681" max="7681" width="27.44140625" customWidth="1"/>
    <col min="7682" max="7682" width="59.109375" customWidth="1"/>
    <col min="7683" max="7684" width="22.6640625" customWidth="1"/>
    <col min="7685" max="7685" width="11.6640625" bestFit="1" customWidth="1"/>
    <col min="7686" max="7686" width="10.109375" bestFit="1" customWidth="1"/>
    <col min="7687" max="7936" width="8.88671875" customWidth="1"/>
    <col min="7937" max="7937" width="27.44140625" customWidth="1"/>
    <col min="7938" max="7938" width="59.109375" customWidth="1"/>
    <col min="7939" max="7940" width="22.6640625" customWidth="1"/>
    <col min="7941" max="7941" width="11.6640625" bestFit="1" customWidth="1"/>
    <col min="7942" max="7942" width="10.109375" bestFit="1" customWidth="1"/>
    <col min="7943" max="8192" width="8.88671875" customWidth="1"/>
    <col min="8193" max="8193" width="27.44140625" customWidth="1"/>
    <col min="8194" max="8194" width="59.109375" customWidth="1"/>
    <col min="8195" max="8196" width="22.6640625" customWidth="1"/>
    <col min="8197" max="8197" width="11.6640625" bestFit="1" customWidth="1"/>
    <col min="8198" max="8198" width="10.109375" bestFit="1" customWidth="1"/>
    <col min="8199" max="8448" width="8.88671875" customWidth="1"/>
    <col min="8449" max="8449" width="27.44140625" customWidth="1"/>
    <col min="8450" max="8450" width="59.109375" customWidth="1"/>
    <col min="8451" max="8452" width="22.6640625" customWidth="1"/>
    <col min="8453" max="8453" width="11.6640625" bestFit="1" customWidth="1"/>
    <col min="8454" max="8454" width="10.109375" bestFit="1" customWidth="1"/>
    <col min="8455" max="8704" width="8.88671875" customWidth="1"/>
    <col min="8705" max="8705" width="27.44140625" customWidth="1"/>
    <col min="8706" max="8706" width="59.109375" customWidth="1"/>
    <col min="8707" max="8708" width="22.6640625" customWidth="1"/>
    <col min="8709" max="8709" width="11.6640625" bestFit="1" customWidth="1"/>
    <col min="8710" max="8710" width="10.109375" bestFit="1" customWidth="1"/>
    <col min="8711" max="8960" width="8.88671875" customWidth="1"/>
    <col min="8961" max="8961" width="27.44140625" customWidth="1"/>
    <col min="8962" max="8962" width="59.109375" customWidth="1"/>
    <col min="8963" max="8964" width="22.6640625" customWidth="1"/>
    <col min="8965" max="8965" width="11.6640625" bestFit="1" customWidth="1"/>
    <col min="8966" max="8966" width="10.109375" bestFit="1" customWidth="1"/>
    <col min="8967" max="9216" width="8.88671875" customWidth="1"/>
    <col min="9217" max="9217" width="27.44140625" customWidth="1"/>
    <col min="9218" max="9218" width="59.109375" customWidth="1"/>
    <col min="9219" max="9220" width="22.6640625" customWidth="1"/>
    <col min="9221" max="9221" width="11.6640625" bestFit="1" customWidth="1"/>
    <col min="9222" max="9222" width="10.109375" bestFit="1" customWidth="1"/>
    <col min="9223" max="9472" width="8.88671875" customWidth="1"/>
    <col min="9473" max="9473" width="27.44140625" customWidth="1"/>
    <col min="9474" max="9474" width="59.109375" customWidth="1"/>
    <col min="9475" max="9476" width="22.6640625" customWidth="1"/>
    <col min="9477" max="9477" width="11.6640625" bestFit="1" customWidth="1"/>
    <col min="9478" max="9478" width="10.109375" bestFit="1" customWidth="1"/>
    <col min="9479" max="9728" width="8.88671875" customWidth="1"/>
    <col min="9729" max="9729" width="27.44140625" customWidth="1"/>
    <col min="9730" max="9730" width="59.109375" customWidth="1"/>
    <col min="9731" max="9732" width="22.6640625" customWidth="1"/>
    <col min="9733" max="9733" width="11.6640625" bestFit="1" customWidth="1"/>
    <col min="9734" max="9734" width="10.109375" bestFit="1" customWidth="1"/>
    <col min="9735" max="9984" width="8.88671875" customWidth="1"/>
    <col min="9985" max="9985" width="27.44140625" customWidth="1"/>
    <col min="9986" max="9986" width="59.109375" customWidth="1"/>
    <col min="9987" max="9988" width="22.6640625" customWidth="1"/>
    <col min="9989" max="9989" width="11.6640625" bestFit="1" customWidth="1"/>
    <col min="9990" max="9990" width="10.109375" bestFit="1" customWidth="1"/>
    <col min="9991" max="10240" width="8.88671875" customWidth="1"/>
    <col min="10241" max="10241" width="27.44140625" customWidth="1"/>
    <col min="10242" max="10242" width="59.109375" customWidth="1"/>
    <col min="10243" max="10244" width="22.6640625" customWidth="1"/>
    <col min="10245" max="10245" width="11.6640625" bestFit="1" customWidth="1"/>
    <col min="10246" max="10246" width="10.109375" bestFit="1" customWidth="1"/>
    <col min="10247" max="10496" width="8.88671875" customWidth="1"/>
    <col min="10497" max="10497" width="27.44140625" customWidth="1"/>
    <col min="10498" max="10498" width="59.109375" customWidth="1"/>
    <col min="10499" max="10500" width="22.6640625" customWidth="1"/>
    <col min="10501" max="10501" width="11.6640625" bestFit="1" customWidth="1"/>
    <col min="10502" max="10502" width="10.109375" bestFit="1" customWidth="1"/>
    <col min="10503" max="10752" width="8.88671875" customWidth="1"/>
    <col min="10753" max="10753" width="27.44140625" customWidth="1"/>
    <col min="10754" max="10754" width="59.109375" customWidth="1"/>
    <col min="10755" max="10756" width="22.6640625" customWidth="1"/>
    <col min="10757" max="10757" width="11.6640625" bestFit="1" customWidth="1"/>
    <col min="10758" max="10758" width="10.109375" bestFit="1" customWidth="1"/>
    <col min="10759" max="11008" width="8.88671875" customWidth="1"/>
    <col min="11009" max="11009" width="27.44140625" customWidth="1"/>
    <col min="11010" max="11010" width="59.109375" customWidth="1"/>
    <col min="11011" max="11012" width="22.6640625" customWidth="1"/>
    <col min="11013" max="11013" width="11.6640625" bestFit="1" customWidth="1"/>
    <col min="11014" max="11014" width="10.109375" bestFit="1" customWidth="1"/>
    <col min="11015" max="11264" width="8.88671875" customWidth="1"/>
    <col min="11265" max="11265" width="27.44140625" customWidth="1"/>
    <col min="11266" max="11266" width="59.109375" customWidth="1"/>
    <col min="11267" max="11268" width="22.6640625" customWidth="1"/>
    <col min="11269" max="11269" width="11.6640625" bestFit="1" customWidth="1"/>
    <col min="11270" max="11270" width="10.109375" bestFit="1" customWidth="1"/>
    <col min="11271" max="11520" width="8.88671875" customWidth="1"/>
    <col min="11521" max="11521" width="27.44140625" customWidth="1"/>
    <col min="11522" max="11522" width="59.109375" customWidth="1"/>
    <col min="11523" max="11524" width="22.6640625" customWidth="1"/>
    <col min="11525" max="11525" width="11.6640625" bestFit="1" customWidth="1"/>
    <col min="11526" max="11526" width="10.109375" bestFit="1" customWidth="1"/>
    <col min="11527" max="11776" width="8.88671875" customWidth="1"/>
    <col min="11777" max="11777" width="27.44140625" customWidth="1"/>
    <col min="11778" max="11778" width="59.109375" customWidth="1"/>
    <col min="11779" max="11780" width="22.6640625" customWidth="1"/>
    <col min="11781" max="11781" width="11.6640625" bestFit="1" customWidth="1"/>
    <col min="11782" max="11782" width="10.109375" bestFit="1" customWidth="1"/>
    <col min="11783" max="12032" width="8.88671875" customWidth="1"/>
    <col min="12033" max="12033" width="27.44140625" customWidth="1"/>
    <col min="12034" max="12034" width="59.109375" customWidth="1"/>
    <col min="12035" max="12036" width="22.6640625" customWidth="1"/>
    <col min="12037" max="12037" width="11.6640625" bestFit="1" customWidth="1"/>
    <col min="12038" max="12038" width="10.109375" bestFit="1" customWidth="1"/>
    <col min="12039" max="12288" width="8.88671875" customWidth="1"/>
    <col min="12289" max="12289" width="27.44140625" customWidth="1"/>
    <col min="12290" max="12290" width="59.109375" customWidth="1"/>
    <col min="12291" max="12292" width="22.6640625" customWidth="1"/>
    <col min="12293" max="12293" width="11.6640625" bestFit="1" customWidth="1"/>
    <col min="12294" max="12294" width="10.109375" bestFit="1" customWidth="1"/>
    <col min="12295" max="12544" width="8.88671875" customWidth="1"/>
    <col min="12545" max="12545" width="27.44140625" customWidth="1"/>
    <col min="12546" max="12546" width="59.109375" customWidth="1"/>
    <col min="12547" max="12548" width="22.6640625" customWidth="1"/>
    <col min="12549" max="12549" width="11.6640625" bestFit="1" customWidth="1"/>
    <col min="12550" max="12550" width="10.109375" bestFit="1" customWidth="1"/>
    <col min="12551" max="12800" width="8.88671875" customWidth="1"/>
    <col min="12801" max="12801" width="27.44140625" customWidth="1"/>
    <col min="12802" max="12802" width="59.109375" customWidth="1"/>
    <col min="12803" max="12804" width="22.6640625" customWidth="1"/>
    <col min="12805" max="12805" width="11.6640625" bestFit="1" customWidth="1"/>
    <col min="12806" max="12806" width="10.109375" bestFit="1" customWidth="1"/>
    <col min="12807" max="13056" width="8.88671875" customWidth="1"/>
    <col min="13057" max="13057" width="27.44140625" customWidth="1"/>
    <col min="13058" max="13058" width="59.109375" customWidth="1"/>
    <col min="13059" max="13060" width="22.6640625" customWidth="1"/>
    <col min="13061" max="13061" width="11.6640625" bestFit="1" customWidth="1"/>
    <col min="13062" max="13062" width="10.109375" bestFit="1" customWidth="1"/>
    <col min="13063" max="13312" width="8.88671875" customWidth="1"/>
    <col min="13313" max="13313" width="27.44140625" customWidth="1"/>
    <col min="13314" max="13314" width="59.109375" customWidth="1"/>
    <col min="13315" max="13316" width="22.6640625" customWidth="1"/>
    <col min="13317" max="13317" width="11.6640625" bestFit="1" customWidth="1"/>
    <col min="13318" max="13318" width="10.109375" bestFit="1" customWidth="1"/>
    <col min="13319" max="13568" width="8.88671875" customWidth="1"/>
    <col min="13569" max="13569" width="27.44140625" customWidth="1"/>
    <col min="13570" max="13570" width="59.109375" customWidth="1"/>
    <col min="13571" max="13572" width="22.6640625" customWidth="1"/>
    <col min="13573" max="13573" width="11.6640625" bestFit="1" customWidth="1"/>
    <col min="13574" max="13574" width="10.109375" bestFit="1" customWidth="1"/>
    <col min="13575" max="13824" width="8.88671875" customWidth="1"/>
    <col min="13825" max="13825" width="27.44140625" customWidth="1"/>
    <col min="13826" max="13826" width="59.109375" customWidth="1"/>
    <col min="13827" max="13828" width="22.6640625" customWidth="1"/>
    <col min="13829" max="13829" width="11.6640625" bestFit="1" customWidth="1"/>
    <col min="13830" max="13830" width="10.109375" bestFit="1" customWidth="1"/>
    <col min="13831" max="14080" width="8.88671875" customWidth="1"/>
    <col min="14081" max="14081" width="27.44140625" customWidth="1"/>
    <col min="14082" max="14082" width="59.109375" customWidth="1"/>
    <col min="14083" max="14084" width="22.6640625" customWidth="1"/>
    <col min="14085" max="14085" width="11.6640625" bestFit="1" customWidth="1"/>
    <col min="14086" max="14086" width="10.109375" bestFit="1" customWidth="1"/>
    <col min="14087" max="14336" width="8.88671875" customWidth="1"/>
    <col min="14337" max="14337" width="27.44140625" customWidth="1"/>
    <col min="14338" max="14338" width="59.109375" customWidth="1"/>
    <col min="14339" max="14340" width="22.6640625" customWidth="1"/>
    <col min="14341" max="14341" width="11.6640625" bestFit="1" customWidth="1"/>
    <col min="14342" max="14342" width="10.109375" bestFit="1" customWidth="1"/>
    <col min="14343" max="14592" width="8.88671875" customWidth="1"/>
    <col min="14593" max="14593" width="27.44140625" customWidth="1"/>
    <col min="14594" max="14594" width="59.109375" customWidth="1"/>
    <col min="14595" max="14596" width="22.6640625" customWidth="1"/>
    <col min="14597" max="14597" width="11.6640625" bestFit="1" customWidth="1"/>
    <col min="14598" max="14598" width="10.109375" bestFit="1" customWidth="1"/>
    <col min="14599" max="14848" width="8.88671875" customWidth="1"/>
    <col min="14849" max="14849" width="27.44140625" customWidth="1"/>
    <col min="14850" max="14850" width="59.109375" customWidth="1"/>
    <col min="14851" max="14852" width="22.6640625" customWidth="1"/>
    <col min="14853" max="14853" width="11.6640625" bestFit="1" customWidth="1"/>
    <col min="14854" max="14854" width="10.109375" bestFit="1" customWidth="1"/>
    <col min="14855" max="15104" width="8.88671875" customWidth="1"/>
    <col min="15105" max="15105" width="27.44140625" customWidth="1"/>
    <col min="15106" max="15106" width="59.109375" customWidth="1"/>
    <col min="15107" max="15108" width="22.6640625" customWidth="1"/>
    <col min="15109" max="15109" width="11.6640625" bestFit="1" customWidth="1"/>
    <col min="15110" max="15110" width="10.109375" bestFit="1" customWidth="1"/>
    <col min="15111" max="15360" width="8.88671875" customWidth="1"/>
    <col min="15361" max="15361" width="27.44140625" customWidth="1"/>
    <col min="15362" max="15362" width="59.109375" customWidth="1"/>
    <col min="15363" max="15364" width="22.6640625" customWidth="1"/>
    <col min="15365" max="15365" width="11.6640625" bestFit="1" customWidth="1"/>
    <col min="15366" max="15366" width="10.109375" bestFit="1" customWidth="1"/>
    <col min="15367" max="15616" width="8.88671875" customWidth="1"/>
    <col min="15617" max="15617" width="27.44140625" customWidth="1"/>
    <col min="15618" max="15618" width="59.109375" customWidth="1"/>
    <col min="15619" max="15620" width="22.6640625" customWidth="1"/>
    <col min="15621" max="15621" width="11.6640625" bestFit="1" customWidth="1"/>
    <col min="15622" max="15622" width="10.109375" bestFit="1" customWidth="1"/>
    <col min="15623" max="15872" width="8.88671875" customWidth="1"/>
    <col min="15873" max="15873" width="27.44140625" customWidth="1"/>
    <col min="15874" max="15874" width="59.109375" customWidth="1"/>
    <col min="15875" max="15876" width="22.6640625" customWidth="1"/>
    <col min="15877" max="15877" width="11.6640625" bestFit="1" customWidth="1"/>
    <col min="15878" max="15878" width="10.109375" bestFit="1" customWidth="1"/>
    <col min="15879" max="16128" width="8.88671875" customWidth="1"/>
    <col min="16129" max="16129" width="27.44140625" customWidth="1"/>
    <col min="16130" max="16130" width="59.109375" customWidth="1"/>
    <col min="16131" max="16132" width="22.6640625" customWidth="1"/>
    <col min="16133" max="16133" width="11.6640625" bestFit="1" customWidth="1"/>
    <col min="16134" max="16134" width="10.109375" bestFit="1" customWidth="1"/>
    <col min="16135" max="16384" width="8.88671875" customWidth="1"/>
  </cols>
  <sheetData>
    <row r="1" spans="1:6" ht="15.6" x14ac:dyDescent="0.3">
      <c r="A1" s="48" t="s">
        <v>376</v>
      </c>
    </row>
    <row r="2" spans="1:6" ht="23.25" customHeight="1" x14ac:dyDescent="0.3">
      <c r="A2" s="49" t="s">
        <v>330</v>
      </c>
      <c r="B2" s="49"/>
    </row>
    <row r="3" spans="1:6" ht="15" thickBot="1" x14ac:dyDescent="0.35"/>
    <row r="4" spans="1:6" ht="15" thickBot="1" x14ac:dyDescent="0.35">
      <c r="A4" s="50">
        <v>73</v>
      </c>
      <c r="B4" s="1012" t="s">
        <v>331</v>
      </c>
      <c r="C4" s="1012"/>
      <c r="D4" s="51">
        <f>SUM(D5:D13)</f>
        <v>4933803.66</v>
      </c>
      <c r="E4" s="6"/>
    </row>
    <row r="5" spans="1:6" x14ac:dyDescent="0.3">
      <c r="A5" s="52" t="s">
        <v>332</v>
      </c>
      <c r="B5" s="1013" t="s">
        <v>333</v>
      </c>
      <c r="C5" s="1013"/>
      <c r="D5" s="53">
        <v>0</v>
      </c>
    </row>
    <row r="6" spans="1:6" x14ac:dyDescent="0.3">
      <c r="A6" s="52" t="s">
        <v>334</v>
      </c>
      <c r="B6" s="1014" t="s">
        <v>335</v>
      </c>
      <c r="C6" s="1014"/>
      <c r="D6" s="53">
        <f>1494.87+3570</f>
        <v>5064.87</v>
      </c>
    </row>
    <row r="7" spans="1:6" ht="15" thickBot="1" x14ac:dyDescent="0.35">
      <c r="A7" s="54" t="s">
        <v>336</v>
      </c>
      <c r="B7" s="1015" t="s">
        <v>337</v>
      </c>
      <c r="C7" s="1015"/>
      <c r="D7">
        <v>0</v>
      </c>
    </row>
    <row r="8" spans="1:6" ht="12" customHeight="1" thickBot="1" x14ac:dyDescent="0.35">
      <c r="A8" s="56">
        <v>736</v>
      </c>
      <c r="B8" s="57" t="s">
        <v>11</v>
      </c>
      <c r="C8" s="58"/>
      <c r="D8" s="55">
        <f>27115.78+24484.85+41946.97+4666.33</f>
        <v>98213.930000000008</v>
      </c>
    </row>
    <row r="9" spans="1:6" ht="15" thickBot="1" x14ac:dyDescent="0.35">
      <c r="A9" s="56">
        <v>737</v>
      </c>
      <c r="B9" s="60" t="s">
        <v>338</v>
      </c>
      <c r="C9" s="58"/>
      <c r="D9" s="59">
        <f>4038394.96</f>
        <v>4038394.96</v>
      </c>
    </row>
    <row r="10" spans="1:6" ht="15" thickBot="1" x14ac:dyDescent="0.35">
      <c r="A10" s="56"/>
      <c r="B10" s="60" t="s">
        <v>377</v>
      </c>
      <c r="C10" s="58"/>
      <c r="D10" s="59">
        <f>25000</f>
        <v>25000</v>
      </c>
    </row>
    <row r="11" spans="1:6" ht="15" thickBot="1" x14ac:dyDescent="0.35">
      <c r="A11" s="56"/>
      <c r="B11" s="60" t="s">
        <v>378</v>
      </c>
      <c r="C11" s="58"/>
      <c r="D11" s="59">
        <f>79360.53</f>
        <v>79360.53</v>
      </c>
      <c r="E11" s="6"/>
    </row>
    <row r="12" spans="1:6" ht="15" thickBot="1" x14ac:dyDescent="0.35">
      <c r="A12" s="56"/>
      <c r="B12" s="60" t="s">
        <v>341</v>
      </c>
      <c r="C12" s="58"/>
      <c r="D12" s="59">
        <f>159000</f>
        <v>159000</v>
      </c>
      <c r="E12" s="6"/>
    </row>
    <row r="13" spans="1:6" ht="14.25" customHeight="1" thickBot="1" x14ac:dyDescent="0.35">
      <c r="A13" s="7" t="s">
        <v>342</v>
      </c>
      <c r="B13" s="1016" t="s">
        <v>343</v>
      </c>
      <c r="C13" s="1016"/>
      <c r="D13" s="61">
        <f>125032.51+7436+3500+390744.1+2056.76</f>
        <v>528769.37</v>
      </c>
      <c r="E13" s="6">
        <f>SUM(D9:D13)</f>
        <v>4830524.8600000003</v>
      </c>
    </row>
    <row r="14" spans="1:6" ht="15" thickBot="1" x14ac:dyDescent="0.35">
      <c r="A14" s="62" t="s">
        <v>5</v>
      </c>
      <c r="B14" s="63" t="s">
        <v>6</v>
      </c>
      <c r="C14" s="62" t="s">
        <v>344</v>
      </c>
      <c r="D14" s="64" t="s">
        <v>345</v>
      </c>
      <c r="F14" s="6"/>
    </row>
    <row r="15" spans="1:6" x14ac:dyDescent="0.3">
      <c r="A15" s="52"/>
      <c r="B15" s="27"/>
      <c r="C15" s="65"/>
      <c r="D15" s="53"/>
      <c r="E15" s="6"/>
    </row>
    <row r="16" spans="1:6" x14ac:dyDescent="0.3">
      <c r="A16" s="66" t="s">
        <v>346</v>
      </c>
      <c r="B16" s="27" t="s">
        <v>379</v>
      </c>
      <c r="C16" s="65" t="s">
        <v>346</v>
      </c>
      <c r="D16" s="53">
        <f>3870513.35</f>
        <v>3870513.35</v>
      </c>
      <c r="E16" s="6"/>
    </row>
    <row r="17" spans="1:6" x14ac:dyDescent="0.3">
      <c r="A17" s="66"/>
      <c r="B17" s="27" t="s">
        <v>348</v>
      </c>
      <c r="C17" s="65" t="s">
        <v>346</v>
      </c>
      <c r="D17" s="53">
        <f>34479.12</f>
        <v>34479.120000000003</v>
      </c>
      <c r="E17" s="6"/>
    </row>
    <row r="18" spans="1:6" x14ac:dyDescent="0.3">
      <c r="A18" s="66"/>
      <c r="B18" s="27" t="s">
        <v>353</v>
      </c>
      <c r="C18" s="65" t="s">
        <v>354</v>
      </c>
      <c r="D18" s="53">
        <f>90002.49</f>
        <v>90002.49</v>
      </c>
      <c r="E18" s="6"/>
      <c r="F18" s="6"/>
    </row>
    <row r="19" spans="1:6" x14ac:dyDescent="0.3">
      <c r="A19" s="66"/>
      <c r="B19" s="27" t="s">
        <v>380</v>
      </c>
      <c r="C19" s="65" t="s">
        <v>381</v>
      </c>
      <c r="D19" s="53">
        <f>18400</f>
        <v>18400</v>
      </c>
      <c r="E19" s="6"/>
      <c r="F19" s="6"/>
    </row>
    <row r="20" spans="1:6" x14ac:dyDescent="0.3">
      <c r="A20" s="66"/>
      <c r="B20" s="27" t="s">
        <v>382</v>
      </c>
      <c r="C20" s="65" t="s">
        <v>383</v>
      </c>
      <c r="D20" s="53">
        <f>25000</f>
        <v>25000</v>
      </c>
      <c r="E20" s="6"/>
      <c r="F20" s="6"/>
    </row>
    <row r="21" spans="1:6" x14ac:dyDescent="0.3">
      <c r="A21" s="52"/>
      <c r="B21" s="27" t="s">
        <v>355</v>
      </c>
      <c r="C21" s="65" t="s">
        <v>356</v>
      </c>
      <c r="D21" s="53">
        <f>79360.53</f>
        <v>79360.53</v>
      </c>
    </row>
    <row r="22" spans="1:6" x14ac:dyDescent="0.3">
      <c r="A22" s="52"/>
      <c r="B22" s="27" t="s">
        <v>384</v>
      </c>
      <c r="C22" s="65" t="s">
        <v>385</v>
      </c>
      <c r="D22" s="53">
        <f>25000</f>
        <v>25000</v>
      </c>
    </row>
    <row r="23" spans="1:6" x14ac:dyDescent="0.3">
      <c r="A23" s="52"/>
      <c r="B23" s="27"/>
      <c r="C23" s="65"/>
      <c r="D23" s="53"/>
    </row>
    <row r="24" spans="1:6" x14ac:dyDescent="0.3">
      <c r="A24" s="66" t="s">
        <v>361</v>
      </c>
      <c r="B24" s="27" t="s">
        <v>362</v>
      </c>
      <c r="C24" s="65" t="s">
        <v>346</v>
      </c>
      <c r="D24" s="53">
        <f>390744.1</f>
        <v>390744.1</v>
      </c>
    </row>
    <row r="25" spans="1:6" x14ac:dyDescent="0.3">
      <c r="A25" s="52"/>
      <c r="B25" s="27"/>
      <c r="C25" s="65"/>
      <c r="D25" s="53"/>
    </row>
    <row r="26" spans="1:6" x14ac:dyDescent="0.3">
      <c r="A26" s="66"/>
      <c r="B26" s="27"/>
      <c r="C26" s="65"/>
      <c r="D26" s="53"/>
    </row>
    <row r="27" spans="1:6" x14ac:dyDescent="0.3">
      <c r="A27" s="66" t="s">
        <v>365</v>
      </c>
      <c r="B27" s="27" t="s">
        <v>366</v>
      </c>
      <c r="C27" s="65" t="s">
        <v>367</v>
      </c>
      <c r="D27" s="53">
        <f>159000</f>
        <v>159000</v>
      </c>
    </row>
    <row r="28" spans="1:6" x14ac:dyDescent="0.3">
      <c r="A28" s="52"/>
      <c r="B28" s="27"/>
      <c r="C28" s="65"/>
      <c r="D28" s="53"/>
    </row>
    <row r="29" spans="1:6" x14ac:dyDescent="0.3">
      <c r="A29" s="66" t="s">
        <v>386</v>
      </c>
      <c r="B29" s="27" t="s">
        <v>387</v>
      </c>
      <c r="C29" s="65" t="s">
        <v>388</v>
      </c>
      <c r="D29" s="53">
        <f>18000+50000</f>
        <v>68000</v>
      </c>
    </row>
    <row r="30" spans="1:6" x14ac:dyDescent="0.3">
      <c r="A30" s="66" t="s">
        <v>386</v>
      </c>
      <c r="B30" s="27" t="s">
        <v>389</v>
      </c>
      <c r="C30" s="65" t="s">
        <v>388</v>
      </c>
      <c r="D30" s="53">
        <f>57032.51</f>
        <v>57032.51</v>
      </c>
      <c r="E30" s="6"/>
    </row>
    <row r="31" spans="1:6" x14ac:dyDescent="0.3">
      <c r="A31" s="52"/>
      <c r="B31" s="27"/>
      <c r="C31" s="65"/>
      <c r="D31" s="53"/>
    </row>
    <row r="32" spans="1:6" x14ac:dyDescent="0.3">
      <c r="A32" s="66" t="s">
        <v>371</v>
      </c>
      <c r="B32" s="27" t="s">
        <v>372</v>
      </c>
      <c r="C32" s="65" t="s">
        <v>346</v>
      </c>
      <c r="D32" s="53">
        <f>3500</f>
        <v>3500</v>
      </c>
    </row>
    <row r="33" spans="1:5" x14ac:dyDescent="0.3">
      <c r="A33" s="66"/>
      <c r="B33" s="27"/>
      <c r="C33" s="65"/>
      <c r="D33" s="53"/>
    </row>
    <row r="34" spans="1:5" x14ac:dyDescent="0.3">
      <c r="A34" s="66" t="s">
        <v>373</v>
      </c>
      <c r="B34" s="27" t="s">
        <v>372</v>
      </c>
      <c r="C34" s="65" t="s">
        <v>346</v>
      </c>
      <c r="D34" s="53">
        <v>7436</v>
      </c>
    </row>
    <row r="35" spans="1:5" x14ac:dyDescent="0.3">
      <c r="A35" s="52"/>
      <c r="B35" s="27"/>
      <c r="C35" s="65"/>
      <c r="D35" s="53"/>
    </row>
    <row r="36" spans="1:5" x14ac:dyDescent="0.3">
      <c r="A36" s="66" t="s">
        <v>390</v>
      </c>
      <c r="B36" s="27" t="s">
        <v>391</v>
      </c>
      <c r="C36" s="65" t="s">
        <v>346</v>
      </c>
      <c r="D36" s="53">
        <f>2056.76</f>
        <v>2056.7600000000002</v>
      </c>
    </row>
    <row r="37" spans="1:5" x14ac:dyDescent="0.3">
      <c r="A37" s="71"/>
      <c r="B37" s="31"/>
      <c r="C37" s="72"/>
      <c r="D37" s="73"/>
      <c r="E37" s="6">
        <f>SUM(D16:D36)</f>
        <v>4830524.8599999994</v>
      </c>
    </row>
    <row r="38" spans="1:5" x14ac:dyDescent="0.3">
      <c r="A38" s="71"/>
      <c r="B38" s="31"/>
      <c r="C38" s="72"/>
      <c r="D38" s="73"/>
    </row>
    <row r="39" spans="1:5" ht="15" thickBot="1" x14ac:dyDescent="0.35">
      <c r="A39" s="74"/>
      <c r="B39" s="75"/>
      <c r="C39" s="76"/>
      <c r="D39" s="77"/>
    </row>
    <row r="42" spans="1:5" x14ac:dyDescent="0.3">
      <c r="A42" s="3"/>
    </row>
    <row r="43" spans="1:5" x14ac:dyDescent="0.3">
      <c r="A43" s="78"/>
    </row>
  </sheetData>
  <mergeCells count="5">
    <mergeCell ref="B4:C4"/>
    <mergeCell ref="B5:C5"/>
    <mergeCell ref="B6:C6"/>
    <mergeCell ref="B7:C7"/>
    <mergeCell ref="B13:C13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"/>
  <sheetViews>
    <sheetView workbookViewId="0"/>
  </sheetViews>
  <sheetFormatPr defaultRowHeight="14.4" x14ac:dyDescent="0.3"/>
  <cols>
    <col min="1" max="1" width="27.44140625" customWidth="1"/>
    <col min="2" max="2" width="59.109375" customWidth="1"/>
    <col min="3" max="3" width="22.6640625" style="81" customWidth="1"/>
    <col min="4" max="4" width="22.6640625" customWidth="1"/>
    <col min="5" max="5" width="8.88671875" customWidth="1"/>
  </cols>
  <sheetData>
    <row r="1" spans="1:4" ht="17.399999999999999" x14ac:dyDescent="0.3">
      <c r="A1" s="80" t="s">
        <v>392</v>
      </c>
    </row>
    <row r="2" spans="1:4" ht="17.399999999999999" x14ac:dyDescent="0.3">
      <c r="A2" s="80"/>
    </row>
    <row r="3" spans="1:4" ht="23.25" customHeight="1" x14ac:dyDescent="0.3">
      <c r="A3" s="1017" t="s">
        <v>393</v>
      </c>
      <c r="B3" s="1017"/>
    </row>
    <row r="4" spans="1:4" ht="15" thickBot="1" x14ac:dyDescent="0.35"/>
    <row r="5" spans="1:4" ht="15" thickBot="1" x14ac:dyDescent="0.35">
      <c r="A5" s="50">
        <v>73</v>
      </c>
      <c r="B5" s="1012" t="s">
        <v>331</v>
      </c>
      <c r="C5" s="1012"/>
      <c r="D5" s="82">
        <f>SUM(D6:D8)+D9</f>
        <v>8743866.6499999985</v>
      </c>
    </row>
    <row r="6" spans="1:4" x14ac:dyDescent="0.3">
      <c r="A6" s="52" t="s">
        <v>332</v>
      </c>
      <c r="B6" s="1013" t="s">
        <v>333</v>
      </c>
      <c r="C6" s="1013"/>
      <c r="D6" s="53">
        <f>67+26839.04</f>
        <v>26906.04</v>
      </c>
    </row>
    <row r="7" spans="1:4" x14ac:dyDescent="0.3">
      <c r="A7" s="52" t="s">
        <v>334</v>
      </c>
      <c r="B7" s="1014" t="s">
        <v>335</v>
      </c>
      <c r="C7" s="1014"/>
      <c r="D7" s="53"/>
    </row>
    <row r="8" spans="1:4" ht="15" thickBot="1" x14ac:dyDescent="0.35">
      <c r="A8" s="54" t="s">
        <v>336</v>
      </c>
      <c r="B8" s="1015" t="s">
        <v>337</v>
      </c>
      <c r="C8" s="1015"/>
      <c r="D8" s="55"/>
    </row>
    <row r="9" spans="1:4" ht="39.75" customHeight="1" thickBot="1" x14ac:dyDescent="0.35">
      <c r="A9" s="7" t="s">
        <v>10</v>
      </c>
      <c r="B9" s="1016" t="s">
        <v>11</v>
      </c>
      <c r="C9" s="1016"/>
      <c r="D9" s="83">
        <f>SUM(D11:D41)</f>
        <v>8716960.6099999994</v>
      </c>
    </row>
    <row r="10" spans="1:4" ht="15" thickBot="1" x14ac:dyDescent="0.35">
      <c r="A10" s="62" t="s">
        <v>5</v>
      </c>
      <c r="B10" s="63" t="s">
        <v>6</v>
      </c>
      <c r="C10" s="62" t="s">
        <v>344</v>
      </c>
      <c r="D10" s="64" t="s">
        <v>345</v>
      </c>
    </row>
    <row r="11" spans="1:4" x14ac:dyDescent="0.3">
      <c r="A11" s="84" t="s">
        <v>394</v>
      </c>
      <c r="B11" s="27" t="s">
        <v>395</v>
      </c>
      <c r="C11" s="85" t="s">
        <v>394</v>
      </c>
      <c r="D11" s="53">
        <f>5698158.4+66668.52+86694.16+1014.32</f>
        <v>5852535.4000000004</v>
      </c>
    </row>
    <row r="12" spans="1:4" x14ac:dyDescent="0.3">
      <c r="A12" s="52" t="s">
        <v>394</v>
      </c>
      <c r="B12" s="27" t="s">
        <v>396</v>
      </c>
      <c r="C12" s="85" t="s">
        <v>396</v>
      </c>
      <c r="D12" s="53">
        <v>65703.820000000007</v>
      </c>
    </row>
    <row r="13" spans="1:4" x14ac:dyDescent="0.3">
      <c r="A13" s="52" t="s">
        <v>394</v>
      </c>
      <c r="B13" s="27" t="s">
        <v>397</v>
      </c>
      <c r="C13" s="85" t="s">
        <v>397</v>
      </c>
      <c r="D13" s="53">
        <v>54000</v>
      </c>
    </row>
    <row r="14" spans="1:4" x14ac:dyDescent="0.3">
      <c r="A14" s="52" t="s">
        <v>394</v>
      </c>
      <c r="B14" s="27" t="s">
        <v>398</v>
      </c>
      <c r="C14" s="85" t="s">
        <v>399</v>
      </c>
      <c r="D14" s="53">
        <v>50001.39</v>
      </c>
    </row>
    <row r="15" spans="1:4" x14ac:dyDescent="0.3">
      <c r="A15" s="86" t="s">
        <v>394</v>
      </c>
      <c r="B15" s="87" t="s">
        <v>400</v>
      </c>
      <c r="C15" s="81" t="s">
        <v>401</v>
      </c>
      <c r="D15" s="88">
        <v>33334.26</v>
      </c>
    </row>
    <row r="16" spans="1:4" x14ac:dyDescent="0.3">
      <c r="A16" s="52" t="s">
        <v>394</v>
      </c>
      <c r="B16" s="27" t="s">
        <v>402</v>
      </c>
      <c r="C16" s="85" t="s">
        <v>402</v>
      </c>
      <c r="D16" s="53">
        <v>285815.83</v>
      </c>
    </row>
    <row r="17" spans="1:4" x14ac:dyDescent="0.3">
      <c r="A17" s="52" t="s">
        <v>394</v>
      </c>
      <c r="B17" s="27" t="s">
        <v>403</v>
      </c>
      <c r="C17" s="85" t="s">
        <v>404</v>
      </c>
      <c r="D17" s="53">
        <v>45466.67</v>
      </c>
    </row>
    <row r="18" spans="1:4" x14ac:dyDescent="0.3">
      <c r="A18" s="52" t="s">
        <v>405</v>
      </c>
      <c r="B18" s="27" t="s">
        <v>406</v>
      </c>
      <c r="C18" s="85" t="s">
        <v>407</v>
      </c>
      <c r="D18" s="53">
        <v>5000</v>
      </c>
    </row>
    <row r="19" spans="1:4" x14ac:dyDescent="0.3">
      <c r="A19" s="52" t="s">
        <v>408</v>
      </c>
      <c r="B19" s="27" t="s">
        <v>409</v>
      </c>
      <c r="C19" s="85" t="s">
        <v>410</v>
      </c>
      <c r="D19" s="53">
        <v>32051.67</v>
      </c>
    </row>
    <row r="20" spans="1:4" x14ac:dyDescent="0.3">
      <c r="A20" s="52" t="s">
        <v>411</v>
      </c>
      <c r="B20" s="27" t="s">
        <v>412</v>
      </c>
      <c r="C20" s="85" t="s">
        <v>413</v>
      </c>
      <c r="D20" s="53">
        <v>505000</v>
      </c>
    </row>
    <row r="21" spans="1:4" x14ac:dyDescent="0.3">
      <c r="A21" s="52" t="s">
        <v>414</v>
      </c>
      <c r="B21" s="27" t="s">
        <v>414</v>
      </c>
      <c r="C21" s="85" t="s">
        <v>414</v>
      </c>
      <c r="D21" s="53">
        <v>468980.18</v>
      </c>
    </row>
    <row r="22" spans="1:4" x14ac:dyDescent="0.3">
      <c r="A22" s="52" t="s">
        <v>415</v>
      </c>
      <c r="B22" s="27" t="s">
        <v>416</v>
      </c>
      <c r="C22" s="85" t="s">
        <v>416</v>
      </c>
      <c r="D22" s="53">
        <v>38448.730000000003</v>
      </c>
    </row>
    <row r="23" spans="1:4" x14ac:dyDescent="0.3">
      <c r="A23" s="52" t="s">
        <v>411</v>
      </c>
      <c r="B23" s="27" t="s">
        <v>417</v>
      </c>
      <c r="C23" s="85" t="s">
        <v>418</v>
      </c>
      <c r="D23" s="53">
        <v>9250</v>
      </c>
    </row>
    <row r="24" spans="1:4" x14ac:dyDescent="0.3">
      <c r="A24" s="52"/>
      <c r="B24" s="27" t="s">
        <v>419</v>
      </c>
      <c r="C24" s="85" t="s">
        <v>394</v>
      </c>
      <c r="D24" s="53">
        <f>102408.99+27654.82</f>
        <v>130063.81</v>
      </c>
    </row>
    <row r="25" spans="1:4" x14ac:dyDescent="0.3">
      <c r="A25" s="52" t="s">
        <v>394</v>
      </c>
      <c r="B25" s="27" t="s">
        <v>417</v>
      </c>
      <c r="C25" s="85" t="s">
        <v>394</v>
      </c>
      <c r="D25" s="53">
        <v>1000</v>
      </c>
    </row>
    <row r="26" spans="1:4" x14ac:dyDescent="0.3">
      <c r="A26" s="52" t="s">
        <v>394</v>
      </c>
      <c r="B26" s="27" t="s">
        <v>227</v>
      </c>
      <c r="C26" s="85" t="s">
        <v>394</v>
      </c>
      <c r="D26" s="53">
        <v>43384.15</v>
      </c>
    </row>
    <row r="27" spans="1:4" x14ac:dyDescent="0.3">
      <c r="A27" s="52"/>
      <c r="B27" s="27" t="s">
        <v>361</v>
      </c>
      <c r="C27" s="85" t="s">
        <v>394</v>
      </c>
      <c r="D27" s="53">
        <v>442797.77</v>
      </c>
    </row>
    <row r="28" spans="1:4" x14ac:dyDescent="0.3">
      <c r="A28" s="52"/>
      <c r="B28" s="27" t="s">
        <v>420</v>
      </c>
      <c r="C28" s="85" t="s">
        <v>394</v>
      </c>
      <c r="D28" s="53">
        <v>12135.58</v>
      </c>
    </row>
    <row r="29" spans="1:4" x14ac:dyDescent="0.3">
      <c r="A29" s="52" t="s">
        <v>405</v>
      </c>
      <c r="B29" s="27" t="s">
        <v>421</v>
      </c>
      <c r="C29" s="85" t="s">
        <v>394</v>
      </c>
      <c r="D29" s="53">
        <v>554451.34</v>
      </c>
    </row>
    <row r="30" spans="1:4" x14ac:dyDescent="0.3">
      <c r="A30" s="52" t="s">
        <v>405</v>
      </c>
      <c r="B30" s="27" t="s">
        <v>422</v>
      </c>
      <c r="C30" s="85" t="s">
        <v>394</v>
      </c>
      <c r="D30" s="53">
        <v>27459.9</v>
      </c>
    </row>
    <row r="31" spans="1:4" x14ac:dyDescent="0.3">
      <c r="A31" s="52" t="s">
        <v>405</v>
      </c>
      <c r="B31" s="27" t="s">
        <v>423</v>
      </c>
      <c r="C31" s="85" t="s">
        <v>394</v>
      </c>
      <c r="D31" s="53">
        <v>54643.82</v>
      </c>
    </row>
    <row r="32" spans="1:4" x14ac:dyDescent="0.3">
      <c r="A32" s="52"/>
      <c r="B32" s="27" t="s">
        <v>424</v>
      </c>
      <c r="C32" s="85" t="s">
        <v>394</v>
      </c>
      <c r="D32" s="53">
        <v>4842.1899999999996</v>
      </c>
    </row>
    <row r="33" spans="1:4" x14ac:dyDescent="0.3">
      <c r="A33" s="52"/>
      <c r="B33" s="27" t="s">
        <v>425</v>
      </c>
      <c r="C33" s="85" t="s">
        <v>394</v>
      </c>
      <c r="D33" s="53">
        <v>594.1</v>
      </c>
    </row>
    <row r="34" spans="1:4" x14ac:dyDescent="0.3">
      <c r="A34" s="52"/>
      <c r="B34" s="27"/>
      <c r="C34" s="85"/>
      <c r="D34" s="53"/>
    </row>
    <row r="35" spans="1:4" x14ac:dyDescent="0.3">
      <c r="A35" s="52"/>
      <c r="B35" s="27"/>
      <c r="C35" s="85"/>
      <c r="D35" s="53"/>
    </row>
    <row r="36" spans="1:4" x14ac:dyDescent="0.3">
      <c r="A36" s="71"/>
      <c r="B36" s="31"/>
      <c r="C36" s="89"/>
      <c r="D36" s="73"/>
    </row>
    <row r="37" spans="1:4" x14ac:dyDescent="0.3">
      <c r="A37" s="71"/>
      <c r="B37" s="31"/>
      <c r="C37" s="89"/>
      <c r="D37" s="73"/>
    </row>
    <row r="38" spans="1:4" x14ac:dyDescent="0.3">
      <c r="A38" s="71"/>
      <c r="B38" s="31"/>
      <c r="C38" s="89"/>
      <c r="D38" s="73"/>
    </row>
    <row r="39" spans="1:4" x14ac:dyDescent="0.3">
      <c r="A39" s="71"/>
      <c r="B39" s="31"/>
      <c r="C39" s="89"/>
      <c r="D39" s="73"/>
    </row>
    <row r="40" spans="1:4" x14ac:dyDescent="0.3">
      <c r="A40" s="71"/>
      <c r="B40" s="31"/>
      <c r="C40" s="89"/>
      <c r="D40" s="73"/>
    </row>
    <row r="41" spans="1:4" ht="15" thickBot="1" x14ac:dyDescent="0.35">
      <c r="A41" s="74"/>
      <c r="B41" s="75"/>
      <c r="C41" s="90"/>
      <c r="D41" s="77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workbookViewId="0"/>
  </sheetViews>
  <sheetFormatPr defaultRowHeight="14.4" x14ac:dyDescent="0.3"/>
  <cols>
    <col min="1" max="1" width="27.44140625" customWidth="1"/>
    <col min="2" max="2" width="59.109375" customWidth="1"/>
    <col min="3" max="4" width="22.6640625" customWidth="1"/>
    <col min="5" max="5" width="8.88671875" customWidth="1"/>
  </cols>
  <sheetData>
    <row r="1" spans="1:4" ht="17.399999999999999" x14ac:dyDescent="0.3">
      <c r="A1" s="80" t="s">
        <v>392</v>
      </c>
    </row>
    <row r="2" spans="1:4" ht="17.399999999999999" x14ac:dyDescent="0.3">
      <c r="A2" s="80"/>
    </row>
    <row r="3" spans="1:4" ht="23.25" customHeight="1" x14ac:dyDescent="0.3">
      <c r="A3" s="1017" t="s">
        <v>426</v>
      </c>
      <c r="B3" s="1017"/>
      <c r="C3" s="48">
        <v>2017</v>
      </c>
    </row>
    <row r="4" spans="1:4" ht="15" thickBot="1" x14ac:dyDescent="0.35"/>
    <row r="5" spans="1:4" ht="15" thickBot="1" x14ac:dyDescent="0.35">
      <c r="A5" s="50">
        <v>73</v>
      </c>
      <c r="B5" s="1012" t="s">
        <v>331</v>
      </c>
      <c r="C5" s="1012"/>
      <c r="D5" s="82">
        <f>SUM(D6:D8)+D9</f>
        <v>4674669.6500000004</v>
      </c>
    </row>
    <row r="6" spans="1:4" x14ac:dyDescent="0.3">
      <c r="A6" s="52" t="s">
        <v>332</v>
      </c>
      <c r="B6" s="1013" t="s">
        <v>333</v>
      </c>
      <c r="C6" s="1013"/>
      <c r="D6" s="53">
        <v>0</v>
      </c>
    </row>
    <row r="7" spans="1:4" x14ac:dyDescent="0.3">
      <c r="A7" s="52" t="s">
        <v>334</v>
      </c>
      <c r="B7" s="1014" t="s">
        <v>335</v>
      </c>
      <c r="C7" s="1014"/>
      <c r="D7" s="53">
        <v>9132</v>
      </c>
    </row>
    <row r="8" spans="1:4" ht="15" thickBot="1" x14ac:dyDescent="0.35">
      <c r="A8" s="54" t="s">
        <v>336</v>
      </c>
      <c r="B8" s="1015" t="s">
        <v>337</v>
      </c>
      <c r="C8" s="1015"/>
      <c r="D8" s="55"/>
    </row>
    <row r="9" spans="1:4" ht="39.75" customHeight="1" thickBot="1" x14ac:dyDescent="0.35">
      <c r="A9" s="7" t="s">
        <v>10</v>
      </c>
      <c r="B9" s="1016" t="s">
        <v>11</v>
      </c>
      <c r="C9" s="1016"/>
      <c r="D9" s="82">
        <f>147534.79+4196677.09+321325.77</f>
        <v>4665537.6500000004</v>
      </c>
    </row>
    <row r="10" spans="1:4" ht="15" thickBot="1" x14ac:dyDescent="0.35">
      <c r="A10" s="62" t="s">
        <v>5</v>
      </c>
      <c r="B10" s="63" t="s">
        <v>6</v>
      </c>
      <c r="C10" s="62" t="s">
        <v>344</v>
      </c>
      <c r="D10" s="64" t="s">
        <v>345</v>
      </c>
    </row>
    <row r="11" spans="1:4" x14ac:dyDescent="0.3">
      <c r="A11" s="84" t="s">
        <v>427</v>
      </c>
      <c r="B11" s="25" t="s">
        <v>428</v>
      </c>
      <c r="C11" s="91" t="s">
        <v>346</v>
      </c>
      <c r="D11" s="53">
        <v>4775.16</v>
      </c>
    </row>
    <row r="12" spans="1:4" x14ac:dyDescent="0.3">
      <c r="A12" s="84" t="s">
        <v>427</v>
      </c>
      <c r="B12" s="25" t="s">
        <v>429</v>
      </c>
      <c r="C12" s="91" t="s">
        <v>346</v>
      </c>
      <c r="D12" s="53">
        <v>10004.120000000001</v>
      </c>
    </row>
    <row r="13" spans="1:4" x14ac:dyDescent="0.3">
      <c r="A13" s="84" t="s">
        <v>430</v>
      </c>
      <c r="B13" s="25" t="s">
        <v>431</v>
      </c>
      <c r="C13" s="91" t="s">
        <v>346</v>
      </c>
      <c r="D13" s="53">
        <v>5000.12</v>
      </c>
    </row>
    <row r="14" spans="1:4" x14ac:dyDescent="0.3">
      <c r="A14" s="84" t="s">
        <v>432</v>
      </c>
      <c r="B14" s="25" t="s">
        <v>431</v>
      </c>
      <c r="C14" s="91" t="s">
        <v>346</v>
      </c>
      <c r="D14" s="53">
        <v>2326.52</v>
      </c>
    </row>
    <row r="15" spans="1:4" x14ac:dyDescent="0.3">
      <c r="A15" s="84" t="s">
        <v>427</v>
      </c>
      <c r="B15" s="25" t="s">
        <v>433</v>
      </c>
      <c r="C15" s="91" t="s">
        <v>346</v>
      </c>
      <c r="D15" s="53">
        <v>23477.16</v>
      </c>
    </row>
    <row r="16" spans="1:4" x14ac:dyDescent="0.3">
      <c r="A16" s="84" t="s">
        <v>434</v>
      </c>
      <c r="B16" s="25" t="s">
        <v>435</v>
      </c>
      <c r="C16" s="91" t="s">
        <v>346</v>
      </c>
      <c r="D16" s="53">
        <f>9733.32+1404.47+415.4</f>
        <v>11553.189999999999</v>
      </c>
    </row>
    <row r="17" spans="1:4" x14ac:dyDescent="0.3">
      <c r="A17" s="84" t="s">
        <v>427</v>
      </c>
      <c r="B17" s="25" t="s">
        <v>436</v>
      </c>
      <c r="C17" s="91" t="s">
        <v>346</v>
      </c>
      <c r="D17" s="53">
        <v>10129.48</v>
      </c>
    </row>
    <row r="18" spans="1:4" x14ac:dyDescent="0.3">
      <c r="A18" s="84" t="s">
        <v>427</v>
      </c>
      <c r="B18" s="25" t="s">
        <v>437</v>
      </c>
      <c r="C18" s="91" t="s">
        <v>346</v>
      </c>
      <c r="D18" s="53">
        <v>20609.84</v>
      </c>
    </row>
    <row r="19" spans="1:4" x14ac:dyDescent="0.3">
      <c r="A19" s="84" t="s">
        <v>438</v>
      </c>
      <c r="B19" s="25" t="s">
        <v>439</v>
      </c>
      <c r="C19" s="91" t="s">
        <v>346</v>
      </c>
      <c r="D19" s="53">
        <v>59659.199999999997</v>
      </c>
    </row>
    <row r="20" spans="1:4" x14ac:dyDescent="0.3">
      <c r="A20" s="52" t="s">
        <v>293</v>
      </c>
      <c r="B20" s="27" t="s">
        <v>440</v>
      </c>
      <c r="C20" s="65" t="s">
        <v>346</v>
      </c>
      <c r="D20" s="53">
        <v>3883442.83</v>
      </c>
    </row>
    <row r="21" spans="1:4" x14ac:dyDescent="0.3">
      <c r="A21" s="52" t="s">
        <v>293</v>
      </c>
      <c r="B21" s="27" t="s">
        <v>441</v>
      </c>
      <c r="C21" s="65" t="s">
        <v>442</v>
      </c>
      <c r="D21" s="53">
        <v>11111.42</v>
      </c>
    </row>
    <row r="22" spans="1:4" x14ac:dyDescent="0.3">
      <c r="A22" s="52" t="s">
        <v>293</v>
      </c>
      <c r="B22" s="27" t="s">
        <v>443</v>
      </c>
      <c r="C22" s="65" t="s">
        <v>444</v>
      </c>
      <c r="D22" s="53">
        <v>77962.490000000005</v>
      </c>
    </row>
    <row r="23" spans="1:4" x14ac:dyDescent="0.3">
      <c r="A23" s="52" t="s">
        <v>293</v>
      </c>
      <c r="B23" s="27" t="s">
        <v>445</v>
      </c>
      <c r="C23" s="65" t="s">
        <v>346</v>
      </c>
      <c r="D23" s="53">
        <v>8309.94</v>
      </c>
    </row>
    <row r="24" spans="1:4" x14ac:dyDescent="0.3">
      <c r="A24" s="52" t="s">
        <v>293</v>
      </c>
      <c r="B24" s="27" t="s">
        <v>446</v>
      </c>
      <c r="C24" s="91" t="s">
        <v>444</v>
      </c>
      <c r="D24" s="53">
        <v>8.4499999999999993</v>
      </c>
    </row>
    <row r="25" spans="1:4" x14ac:dyDescent="0.3">
      <c r="A25" s="52" t="s">
        <v>447</v>
      </c>
      <c r="B25" s="27" t="s">
        <v>448</v>
      </c>
      <c r="C25" s="65" t="s">
        <v>449</v>
      </c>
      <c r="D25" s="53">
        <v>22085</v>
      </c>
    </row>
    <row r="26" spans="1:4" ht="28.8" x14ac:dyDescent="0.3">
      <c r="A26" s="52" t="s">
        <v>450</v>
      </c>
      <c r="B26" s="27" t="s">
        <v>451</v>
      </c>
      <c r="C26" s="65" t="s">
        <v>449</v>
      </c>
      <c r="D26" s="53">
        <v>7384.83</v>
      </c>
    </row>
    <row r="27" spans="1:4" ht="28.8" x14ac:dyDescent="0.3">
      <c r="A27" s="52" t="s">
        <v>450</v>
      </c>
      <c r="B27" s="27" t="s">
        <v>451</v>
      </c>
      <c r="C27" s="65" t="s">
        <v>346</v>
      </c>
      <c r="D27" s="53">
        <v>-7384.83</v>
      </c>
    </row>
    <row r="28" spans="1:4" x14ac:dyDescent="0.3">
      <c r="A28" s="52" t="s">
        <v>293</v>
      </c>
      <c r="B28" s="27" t="s">
        <v>452</v>
      </c>
      <c r="C28" s="65" t="s">
        <v>402</v>
      </c>
      <c r="D28" s="53">
        <v>138151.28</v>
      </c>
    </row>
    <row r="29" spans="1:4" x14ac:dyDescent="0.3">
      <c r="A29" s="52" t="s">
        <v>293</v>
      </c>
      <c r="B29" s="27" t="s">
        <v>453</v>
      </c>
      <c r="C29" s="65" t="s">
        <v>454</v>
      </c>
      <c r="D29" s="53">
        <v>44445.68</v>
      </c>
    </row>
    <row r="30" spans="1:4" x14ac:dyDescent="0.3">
      <c r="A30" s="52" t="s">
        <v>447</v>
      </c>
      <c r="B30" s="27" t="s">
        <v>455</v>
      </c>
      <c r="C30" s="65" t="s">
        <v>346</v>
      </c>
      <c r="D30" s="53">
        <v>11160</v>
      </c>
    </row>
    <row r="31" spans="1:4" x14ac:dyDescent="0.3">
      <c r="A31" s="52" t="s">
        <v>456</v>
      </c>
      <c r="B31" s="27" t="s">
        <v>457</v>
      </c>
      <c r="C31" s="65" t="s">
        <v>346</v>
      </c>
      <c r="D31" s="53">
        <f>5480-169.49</f>
        <v>5310.51</v>
      </c>
    </row>
    <row r="32" spans="1:4" x14ac:dyDescent="0.3">
      <c r="A32" s="52" t="s">
        <v>458</v>
      </c>
      <c r="B32" s="27" t="s">
        <v>459</v>
      </c>
      <c r="C32" s="65" t="s">
        <v>346</v>
      </c>
      <c r="D32" s="53">
        <v>293566.40000000002</v>
      </c>
    </row>
    <row r="33" spans="1:4" x14ac:dyDescent="0.3">
      <c r="A33" s="52" t="s">
        <v>460</v>
      </c>
      <c r="B33" s="27" t="s">
        <v>461</v>
      </c>
      <c r="C33" s="65" t="s">
        <v>346</v>
      </c>
      <c r="D33" s="53">
        <v>2368.9699999999998</v>
      </c>
    </row>
    <row r="34" spans="1:4" x14ac:dyDescent="0.3">
      <c r="A34" s="52" t="s">
        <v>462</v>
      </c>
      <c r="B34" s="27" t="s">
        <v>463</v>
      </c>
      <c r="C34" s="65" t="s">
        <v>463</v>
      </c>
      <c r="D34" s="53">
        <v>13500</v>
      </c>
    </row>
    <row r="35" spans="1:4" ht="28.8" x14ac:dyDescent="0.3">
      <c r="A35" s="52" t="s">
        <v>464</v>
      </c>
      <c r="B35" s="27" t="s">
        <v>465</v>
      </c>
      <c r="C35" s="65" t="s">
        <v>466</v>
      </c>
      <c r="D35" s="53">
        <v>6579.89</v>
      </c>
    </row>
    <row r="36" spans="1:4" x14ac:dyDescent="0.3">
      <c r="A36" s="52"/>
      <c r="B36" s="27"/>
      <c r="C36" s="65"/>
      <c r="D36" s="53"/>
    </row>
    <row r="37" spans="1:4" x14ac:dyDescent="0.3">
      <c r="A37" s="52"/>
      <c r="B37" s="27"/>
      <c r="C37" s="65"/>
      <c r="D37" s="53"/>
    </row>
    <row r="38" spans="1:4" x14ac:dyDescent="0.3">
      <c r="A38" s="71"/>
      <c r="B38" s="31"/>
      <c r="C38" s="72"/>
      <c r="D38" s="73"/>
    </row>
    <row r="39" spans="1:4" x14ac:dyDescent="0.3">
      <c r="A39" s="71"/>
      <c r="B39" s="31"/>
      <c r="C39" s="72"/>
      <c r="D39" s="73"/>
    </row>
    <row r="40" spans="1:4" x14ac:dyDescent="0.3">
      <c r="A40" s="71"/>
      <c r="B40" s="31"/>
      <c r="C40" s="72"/>
      <c r="D40" s="73"/>
    </row>
    <row r="41" spans="1:4" x14ac:dyDescent="0.3">
      <c r="A41" s="52"/>
      <c r="B41" s="27"/>
      <c r="C41" s="65"/>
      <c r="D41" s="53"/>
    </row>
    <row r="42" spans="1:4" x14ac:dyDescent="0.3">
      <c r="A42" s="71"/>
      <c r="B42" s="31"/>
      <c r="C42" s="72"/>
      <c r="D42" s="73"/>
    </row>
    <row r="43" spans="1:4" ht="15" thickBot="1" x14ac:dyDescent="0.35">
      <c r="A43" s="74"/>
      <c r="B43" s="75"/>
      <c r="C43" s="76"/>
      <c r="D43" s="77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"/>
  <sheetViews>
    <sheetView workbookViewId="0"/>
  </sheetViews>
  <sheetFormatPr defaultRowHeight="14.4" x14ac:dyDescent="0.3"/>
  <cols>
    <col min="1" max="1" width="27.44140625" customWidth="1"/>
    <col min="2" max="2" width="59.109375" customWidth="1"/>
    <col min="3" max="4" width="22.6640625" customWidth="1"/>
    <col min="5" max="5" width="8.88671875" customWidth="1"/>
  </cols>
  <sheetData>
    <row r="1" spans="1:4" ht="17.399999999999999" x14ac:dyDescent="0.3">
      <c r="A1" s="80" t="s">
        <v>392</v>
      </c>
    </row>
    <row r="2" spans="1:4" ht="17.399999999999999" x14ac:dyDescent="0.3">
      <c r="A2" s="80"/>
    </row>
    <row r="3" spans="1:4" ht="23.25" customHeight="1" x14ac:dyDescent="0.3">
      <c r="A3" s="1017" t="s">
        <v>467</v>
      </c>
      <c r="B3" s="1017"/>
    </row>
    <row r="4" spans="1:4" ht="15" thickBot="1" x14ac:dyDescent="0.35"/>
    <row r="5" spans="1:4" ht="15" thickBot="1" x14ac:dyDescent="0.35">
      <c r="A5" s="50">
        <v>73</v>
      </c>
      <c r="B5" s="1012" t="s">
        <v>331</v>
      </c>
      <c r="C5" s="1012"/>
      <c r="D5" s="82">
        <f>SUM(D6:D8)+D9</f>
        <v>4755049.0239999983</v>
      </c>
    </row>
    <row r="6" spans="1:4" x14ac:dyDescent="0.3">
      <c r="A6" s="52" t="s">
        <v>332</v>
      </c>
      <c r="B6" s="1013" t="s">
        <v>333</v>
      </c>
      <c r="C6" s="1013"/>
      <c r="D6" s="53">
        <v>0</v>
      </c>
    </row>
    <row r="7" spans="1:4" x14ac:dyDescent="0.3">
      <c r="A7" s="52" t="s">
        <v>334</v>
      </c>
      <c r="B7" s="1014" t="s">
        <v>335</v>
      </c>
      <c r="C7" s="1014"/>
      <c r="D7" s="53">
        <v>13310.35</v>
      </c>
    </row>
    <row r="8" spans="1:4" ht="15" thickBot="1" x14ac:dyDescent="0.35">
      <c r="A8" s="54" t="s">
        <v>336</v>
      </c>
      <c r="B8" s="1015" t="s">
        <v>337</v>
      </c>
      <c r="C8" s="1015"/>
      <c r="D8" s="55">
        <v>0</v>
      </c>
    </row>
    <row r="9" spans="1:4" ht="39.75" customHeight="1" thickBot="1" x14ac:dyDescent="0.35">
      <c r="A9" s="7" t="s">
        <v>10</v>
      </c>
      <c r="B9" s="1016" t="s">
        <v>11</v>
      </c>
      <c r="C9" s="1016"/>
      <c r="D9" s="82">
        <f>SUM(D11:D41)</f>
        <v>4741738.6739999987</v>
      </c>
    </row>
    <row r="10" spans="1:4" ht="15" thickBot="1" x14ac:dyDescent="0.35">
      <c r="A10" s="62" t="s">
        <v>5</v>
      </c>
      <c r="B10" s="63" t="s">
        <v>6</v>
      </c>
      <c r="C10" s="62" t="s">
        <v>344</v>
      </c>
      <c r="D10" s="64" t="s">
        <v>345</v>
      </c>
    </row>
    <row r="11" spans="1:4" x14ac:dyDescent="0.3">
      <c r="A11" s="84" t="s">
        <v>427</v>
      </c>
      <c r="B11" s="25" t="s">
        <v>428</v>
      </c>
      <c r="C11" s="91" t="s">
        <v>346</v>
      </c>
      <c r="D11" s="53">
        <v>4775.16</v>
      </c>
    </row>
    <row r="12" spans="1:4" x14ac:dyDescent="0.3">
      <c r="A12" s="84" t="s">
        <v>430</v>
      </c>
      <c r="B12" s="25" t="s">
        <v>431</v>
      </c>
      <c r="C12" s="91" t="s">
        <v>346</v>
      </c>
      <c r="D12" s="53">
        <v>5000.1000000000004</v>
      </c>
    </row>
    <row r="13" spans="1:4" x14ac:dyDescent="0.3">
      <c r="A13" s="84" t="s">
        <v>432</v>
      </c>
      <c r="B13" s="25" t="s">
        <v>431</v>
      </c>
      <c r="C13" s="91" t="s">
        <v>346</v>
      </c>
      <c r="D13" s="53">
        <v>2326.48</v>
      </c>
    </row>
    <row r="14" spans="1:4" x14ac:dyDescent="0.3">
      <c r="A14" s="84" t="s">
        <v>427</v>
      </c>
      <c r="B14" s="25" t="s">
        <v>433</v>
      </c>
      <c r="C14" s="91" t="s">
        <v>346</v>
      </c>
      <c r="D14" s="53">
        <v>23477.200000000001</v>
      </c>
    </row>
    <row r="15" spans="1:4" x14ac:dyDescent="0.3">
      <c r="A15" s="84" t="s">
        <v>434</v>
      </c>
      <c r="B15" s="25" t="s">
        <v>435</v>
      </c>
      <c r="C15" s="91" t="s">
        <v>346</v>
      </c>
      <c r="D15" s="53">
        <f>9191.59+415.4</f>
        <v>9606.99</v>
      </c>
    </row>
    <row r="16" spans="1:4" x14ac:dyDescent="0.3">
      <c r="A16" s="84" t="s">
        <v>427</v>
      </c>
      <c r="B16" s="25" t="s">
        <v>436</v>
      </c>
      <c r="C16" s="91" t="s">
        <v>346</v>
      </c>
      <c r="D16" s="53">
        <v>10129.48</v>
      </c>
    </row>
    <row r="17" spans="1:4" x14ac:dyDescent="0.3">
      <c r="A17" s="84" t="s">
        <v>427</v>
      </c>
      <c r="B17" s="25" t="s">
        <v>437</v>
      </c>
      <c r="C17" s="91" t="s">
        <v>346</v>
      </c>
      <c r="D17" s="53">
        <v>20609.84</v>
      </c>
    </row>
    <row r="18" spans="1:4" x14ac:dyDescent="0.3">
      <c r="A18" s="84" t="s">
        <v>438</v>
      </c>
      <c r="B18" s="25" t="s">
        <v>439</v>
      </c>
      <c r="C18" s="91" t="s">
        <v>346</v>
      </c>
      <c r="D18" s="53">
        <v>59659.16</v>
      </c>
    </row>
    <row r="19" spans="1:4" x14ac:dyDescent="0.3">
      <c r="A19" s="52" t="s">
        <v>293</v>
      </c>
      <c r="B19" s="27" t="s">
        <v>440</v>
      </c>
      <c r="C19" s="65" t="s">
        <v>346</v>
      </c>
      <c r="D19" s="53">
        <v>3957559.45</v>
      </c>
    </row>
    <row r="20" spans="1:4" x14ac:dyDescent="0.3">
      <c r="A20" s="52" t="s">
        <v>293</v>
      </c>
      <c r="B20" s="27" t="s">
        <v>441</v>
      </c>
      <c r="C20" s="65" t="s">
        <v>442</v>
      </c>
      <c r="D20" s="53">
        <v>13333.7</v>
      </c>
    </row>
    <row r="21" spans="1:4" x14ac:dyDescent="0.3">
      <c r="A21" s="52" t="s">
        <v>293</v>
      </c>
      <c r="B21" s="27" t="s">
        <v>443</v>
      </c>
      <c r="C21" s="65" t="s">
        <v>444</v>
      </c>
      <c r="D21" s="53">
        <v>80284.570000000007</v>
      </c>
    </row>
    <row r="22" spans="1:4" x14ac:dyDescent="0.3">
      <c r="A22" s="52" t="s">
        <v>293</v>
      </c>
      <c r="B22" s="27" t="s">
        <v>468</v>
      </c>
      <c r="C22" s="65" t="s">
        <v>469</v>
      </c>
      <c r="D22" s="53">
        <v>5843.5</v>
      </c>
    </row>
    <row r="23" spans="1:4" x14ac:dyDescent="0.3">
      <c r="A23" s="52" t="s">
        <v>293</v>
      </c>
      <c r="B23" s="27" t="s">
        <v>470</v>
      </c>
      <c r="C23" s="65" t="s">
        <v>471</v>
      </c>
      <c r="D23" s="53">
        <v>1340.76</v>
      </c>
    </row>
    <row r="24" spans="1:4" x14ac:dyDescent="0.3">
      <c r="A24" s="52" t="s">
        <v>293</v>
      </c>
      <c r="B24" s="27" t="s">
        <v>453</v>
      </c>
      <c r="C24" s="65" t="s">
        <v>454</v>
      </c>
      <c r="D24" s="53">
        <v>53334.83</v>
      </c>
    </row>
    <row r="25" spans="1:4" x14ac:dyDescent="0.3">
      <c r="A25" s="52" t="s">
        <v>414</v>
      </c>
      <c r="B25" s="27" t="s">
        <v>472</v>
      </c>
      <c r="C25" s="65" t="s">
        <v>473</v>
      </c>
      <c r="D25" s="53">
        <f>17710.14-0.006</f>
        <v>17710.133999999998</v>
      </c>
    </row>
    <row r="26" spans="1:4" x14ac:dyDescent="0.3">
      <c r="A26" s="52" t="s">
        <v>456</v>
      </c>
      <c r="B26" s="27" t="s">
        <v>457</v>
      </c>
      <c r="C26" s="65" t="s">
        <v>346</v>
      </c>
      <c r="D26" s="53">
        <v>11325</v>
      </c>
    </row>
    <row r="27" spans="1:4" x14ac:dyDescent="0.3">
      <c r="A27" s="52" t="s">
        <v>456</v>
      </c>
      <c r="B27" s="27" t="s">
        <v>474</v>
      </c>
      <c r="C27" s="65" t="s">
        <v>346</v>
      </c>
      <c r="D27" s="53">
        <v>4676.6899999999996</v>
      </c>
    </row>
    <row r="28" spans="1:4" x14ac:dyDescent="0.3">
      <c r="A28" s="52" t="s">
        <v>458</v>
      </c>
      <c r="B28" s="27" t="s">
        <v>459</v>
      </c>
      <c r="C28" s="65" t="s">
        <v>346</v>
      </c>
      <c r="D28" s="53">
        <v>371995.89</v>
      </c>
    </row>
    <row r="29" spans="1:4" x14ac:dyDescent="0.3">
      <c r="A29" s="52" t="s">
        <v>475</v>
      </c>
      <c r="B29" s="27" t="s">
        <v>476</v>
      </c>
      <c r="C29" s="65" t="s">
        <v>475</v>
      </c>
      <c r="D29" s="53">
        <v>25675.97</v>
      </c>
    </row>
    <row r="30" spans="1:4" x14ac:dyDescent="0.3">
      <c r="A30" s="52" t="s">
        <v>477</v>
      </c>
      <c r="B30" s="27" t="s">
        <v>478</v>
      </c>
      <c r="C30" s="65" t="s">
        <v>479</v>
      </c>
      <c r="D30" s="53">
        <v>11972.59</v>
      </c>
    </row>
    <row r="31" spans="1:4" x14ac:dyDescent="0.3">
      <c r="A31" s="52" t="s">
        <v>460</v>
      </c>
      <c r="B31" s="27" t="s">
        <v>461</v>
      </c>
      <c r="C31" s="65" t="s">
        <v>346</v>
      </c>
      <c r="D31" s="53">
        <v>5697.56</v>
      </c>
    </row>
    <row r="32" spans="1:4" x14ac:dyDescent="0.3">
      <c r="A32" s="52" t="s">
        <v>462</v>
      </c>
      <c r="B32" s="27" t="s">
        <v>463</v>
      </c>
      <c r="C32" s="65" t="s">
        <v>463</v>
      </c>
      <c r="D32" s="53">
        <v>13500</v>
      </c>
    </row>
    <row r="33" spans="1:4" ht="28.8" x14ac:dyDescent="0.3">
      <c r="A33" s="52" t="s">
        <v>464</v>
      </c>
      <c r="B33" s="27" t="s">
        <v>465</v>
      </c>
      <c r="C33" s="65" t="s">
        <v>466</v>
      </c>
      <c r="D33" s="53">
        <v>31903.62</v>
      </c>
    </row>
    <row r="34" spans="1:4" x14ac:dyDescent="0.3">
      <c r="A34" s="52"/>
      <c r="B34" s="27"/>
      <c r="C34" s="65"/>
      <c r="D34" s="53"/>
    </row>
    <row r="35" spans="1:4" x14ac:dyDescent="0.3">
      <c r="A35" s="52"/>
      <c r="B35" s="27"/>
      <c r="C35" s="65"/>
      <c r="D35" s="53"/>
    </row>
    <row r="36" spans="1:4" x14ac:dyDescent="0.3">
      <c r="A36" s="71"/>
      <c r="B36" s="31"/>
      <c r="C36" s="72"/>
      <c r="D36" s="73"/>
    </row>
    <row r="37" spans="1:4" x14ac:dyDescent="0.3">
      <c r="A37" s="71"/>
      <c r="B37" s="31"/>
      <c r="C37" s="72"/>
      <c r="D37" s="73"/>
    </row>
    <row r="38" spans="1:4" x14ac:dyDescent="0.3">
      <c r="A38" s="71"/>
      <c r="B38" s="31"/>
      <c r="C38" s="72"/>
      <c r="D38" s="73"/>
    </row>
    <row r="39" spans="1:4" x14ac:dyDescent="0.3">
      <c r="A39" s="71"/>
      <c r="B39" s="31"/>
      <c r="C39" s="72"/>
      <c r="D39" s="73"/>
    </row>
    <row r="40" spans="1:4" x14ac:dyDescent="0.3">
      <c r="A40" s="71"/>
      <c r="B40" s="31"/>
      <c r="C40" s="72"/>
      <c r="D40" s="73"/>
    </row>
    <row r="41" spans="1:4" ht="15" thickBot="1" x14ac:dyDescent="0.35">
      <c r="A41" s="74"/>
      <c r="B41" s="75"/>
      <c r="C41" s="76"/>
      <c r="D41" s="77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4"/>
  <sheetViews>
    <sheetView workbookViewId="0"/>
  </sheetViews>
  <sheetFormatPr defaultRowHeight="14.4" x14ac:dyDescent="0.3"/>
  <cols>
    <col min="1" max="1" width="24.44140625" customWidth="1"/>
    <col min="2" max="2" width="30.5546875" customWidth="1"/>
    <col min="3" max="3" width="21.109375" customWidth="1"/>
    <col min="4" max="4" width="19.109375" customWidth="1"/>
    <col min="5" max="1024" width="9" customWidth="1"/>
    <col min="1025" max="1025" width="8.88671875" customWidth="1"/>
  </cols>
  <sheetData>
    <row r="1" spans="1:4" ht="17.399999999999999" x14ac:dyDescent="0.3">
      <c r="A1" s="80" t="s">
        <v>392</v>
      </c>
    </row>
    <row r="2" spans="1:4" ht="17.399999999999999" x14ac:dyDescent="0.3">
      <c r="A2" s="80"/>
    </row>
    <row r="3" spans="1:4" ht="23.25" customHeight="1" x14ac:dyDescent="0.3">
      <c r="A3" s="1017" t="s">
        <v>480</v>
      </c>
      <c r="B3" s="1017"/>
      <c r="D3" t="s">
        <v>3</v>
      </c>
    </row>
    <row r="5" spans="1:4" x14ac:dyDescent="0.3">
      <c r="A5" s="92">
        <v>73</v>
      </c>
      <c r="B5" s="1019" t="s">
        <v>331</v>
      </c>
      <c r="C5" s="1019"/>
      <c r="D5" s="93">
        <f>SUM(D6:D8)+D9</f>
        <v>8463046.9199999981</v>
      </c>
    </row>
    <row r="6" spans="1:4" x14ac:dyDescent="0.3">
      <c r="A6" s="94" t="s">
        <v>332</v>
      </c>
      <c r="B6" s="1020" t="s">
        <v>333</v>
      </c>
      <c r="C6" s="1020"/>
      <c r="D6" s="95"/>
    </row>
    <row r="7" spans="1:4" x14ac:dyDescent="0.3">
      <c r="A7" s="94" t="s">
        <v>334</v>
      </c>
      <c r="B7" s="1020" t="s">
        <v>335</v>
      </c>
      <c r="C7" s="1020"/>
      <c r="D7" s="96">
        <f>452.5+3423.87</f>
        <v>3876.37</v>
      </c>
    </row>
    <row r="8" spans="1:4" x14ac:dyDescent="0.3">
      <c r="A8" s="94" t="s">
        <v>336</v>
      </c>
      <c r="B8" s="1020" t="s">
        <v>337</v>
      </c>
      <c r="C8" s="1020"/>
      <c r="D8" s="95"/>
    </row>
    <row r="9" spans="1:4" ht="39.75" customHeight="1" x14ac:dyDescent="0.3">
      <c r="A9" s="97" t="s">
        <v>481</v>
      </c>
      <c r="B9" s="1018" t="s">
        <v>482</v>
      </c>
      <c r="C9" s="1018"/>
      <c r="D9" s="98">
        <f>SUM(D11:D61)</f>
        <v>8459170.5499999989</v>
      </c>
    </row>
    <row r="10" spans="1:4" x14ac:dyDescent="0.3">
      <c r="A10" s="99" t="s">
        <v>5</v>
      </c>
      <c r="B10" s="100" t="s">
        <v>6</v>
      </c>
      <c r="C10" s="99" t="s">
        <v>344</v>
      </c>
      <c r="D10" s="101" t="s">
        <v>345</v>
      </c>
    </row>
    <row r="11" spans="1:4" x14ac:dyDescent="0.3">
      <c r="A11" s="102" t="s">
        <v>346</v>
      </c>
      <c r="B11" s="103" t="s">
        <v>483</v>
      </c>
      <c r="C11" s="104" t="s">
        <v>346</v>
      </c>
      <c r="D11" s="96">
        <v>6474315.1200000001</v>
      </c>
    </row>
    <row r="12" spans="1:4" x14ac:dyDescent="0.3">
      <c r="A12" s="102" t="s">
        <v>361</v>
      </c>
      <c r="B12" s="103" t="s">
        <v>484</v>
      </c>
      <c r="C12" s="104" t="s">
        <v>346</v>
      </c>
      <c r="D12" s="105">
        <v>327647.87</v>
      </c>
    </row>
    <row r="13" spans="1:4" x14ac:dyDescent="0.3">
      <c r="A13" s="106" t="s">
        <v>485</v>
      </c>
      <c r="B13" s="30" t="s">
        <v>32</v>
      </c>
      <c r="C13" s="107" t="s">
        <v>346</v>
      </c>
      <c r="D13" s="96">
        <v>165953.41</v>
      </c>
    </row>
    <row r="14" spans="1:4" x14ac:dyDescent="0.3">
      <c r="A14" s="102" t="s">
        <v>346</v>
      </c>
      <c r="B14" s="103" t="s">
        <v>486</v>
      </c>
      <c r="C14" s="104" t="s">
        <v>486</v>
      </c>
      <c r="D14" s="105">
        <v>130750.32</v>
      </c>
    </row>
    <row r="15" spans="1:4" x14ac:dyDescent="0.3">
      <c r="A15" s="106" t="s">
        <v>487</v>
      </c>
      <c r="B15" s="30" t="s">
        <v>488</v>
      </c>
      <c r="C15" s="107" t="s">
        <v>489</v>
      </c>
      <c r="D15" s="105">
        <v>104658</v>
      </c>
    </row>
    <row r="16" spans="1:4" x14ac:dyDescent="0.3">
      <c r="B16" t="s">
        <v>490</v>
      </c>
      <c r="C16" t="s">
        <v>491</v>
      </c>
      <c r="D16" s="108">
        <v>101669.65</v>
      </c>
    </row>
    <row r="17" spans="1:4" x14ac:dyDescent="0.3">
      <c r="A17" s="102" t="s">
        <v>346</v>
      </c>
      <c r="B17" s="103" t="s">
        <v>492</v>
      </c>
      <c r="C17" s="104" t="s">
        <v>396</v>
      </c>
      <c r="D17" s="96">
        <v>83984.31</v>
      </c>
    </row>
    <row r="18" spans="1:4" x14ac:dyDescent="0.3">
      <c r="A18" s="102" t="s">
        <v>493</v>
      </c>
      <c r="B18" s="103" t="s">
        <v>494</v>
      </c>
      <c r="C18" s="104" t="s">
        <v>494</v>
      </c>
      <c r="D18" s="105">
        <v>80000</v>
      </c>
    </row>
    <row r="19" spans="1:4" x14ac:dyDescent="0.3">
      <c r="A19" s="102" t="s">
        <v>495</v>
      </c>
      <c r="B19" s="103" t="s">
        <v>496</v>
      </c>
      <c r="C19" s="104" t="s">
        <v>496</v>
      </c>
      <c r="D19" s="105">
        <v>70589.06</v>
      </c>
    </row>
    <row r="20" spans="1:4" x14ac:dyDescent="0.3">
      <c r="A20" s="102" t="s">
        <v>497</v>
      </c>
      <c r="B20" s="103" t="s">
        <v>498</v>
      </c>
      <c r="C20" s="104" t="s">
        <v>499</v>
      </c>
      <c r="D20" s="96">
        <f>37877.83+30000</f>
        <v>67877.83</v>
      </c>
    </row>
    <row r="21" spans="1:4" ht="27" x14ac:dyDescent="0.3">
      <c r="A21" s="106" t="s">
        <v>500</v>
      </c>
      <c r="B21" s="30" t="s">
        <v>501</v>
      </c>
      <c r="C21" s="107" t="s">
        <v>502</v>
      </c>
      <c r="D21" s="96">
        <v>59225.68</v>
      </c>
    </row>
    <row r="22" spans="1:4" x14ac:dyDescent="0.3">
      <c r="A22" s="102" t="s">
        <v>503</v>
      </c>
      <c r="B22" s="103" t="s">
        <v>504</v>
      </c>
      <c r="C22" s="104" t="s">
        <v>505</v>
      </c>
      <c r="D22" s="105">
        <v>57315.040000000001</v>
      </c>
    </row>
    <row r="23" spans="1:4" x14ac:dyDescent="0.3">
      <c r="A23" s="106" t="s">
        <v>506</v>
      </c>
      <c r="B23" s="30" t="s">
        <v>507</v>
      </c>
      <c r="C23" s="107" t="s">
        <v>508</v>
      </c>
      <c r="D23" s="105">
        <v>56640.38</v>
      </c>
    </row>
    <row r="24" spans="1:4" x14ac:dyDescent="0.3">
      <c r="A24" s="106" t="s">
        <v>346</v>
      </c>
      <c r="B24" s="30" t="s">
        <v>509</v>
      </c>
      <c r="C24" s="107" t="s">
        <v>509</v>
      </c>
      <c r="D24" s="96">
        <f>65000-10506.85</f>
        <v>54493.15</v>
      </c>
    </row>
    <row r="25" spans="1:4" x14ac:dyDescent="0.3">
      <c r="A25" s="102" t="s">
        <v>510</v>
      </c>
      <c r="B25" s="103" t="s">
        <v>511</v>
      </c>
      <c r="C25" s="104" t="s">
        <v>512</v>
      </c>
      <c r="D25" s="96">
        <f>30000+21088.65</f>
        <v>51088.65</v>
      </c>
    </row>
    <row r="26" spans="1:4" ht="26.4" x14ac:dyDescent="0.3">
      <c r="A26" s="102" t="s">
        <v>497</v>
      </c>
      <c r="B26" s="103" t="s">
        <v>501</v>
      </c>
      <c r="C26" s="104" t="s">
        <v>513</v>
      </c>
      <c r="D26" s="105">
        <v>50000</v>
      </c>
    </row>
    <row r="27" spans="1:4" x14ac:dyDescent="0.3">
      <c r="A27" s="102" t="s">
        <v>514</v>
      </c>
      <c r="B27" s="103" t="s">
        <v>488</v>
      </c>
      <c r="C27" s="24" t="s">
        <v>508</v>
      </c>
      <c r="D27" s="96">
        <v>48386.879999999997</v>
      </c>
    </row>
    <row r="28" spans="1:4" x14ac:dyDescent="0.3">
      <c r="A28" s="102" t="s">
        <v>515</v>
      </c>
      <c r="B28" s="103" t="s">
        <v>511</v>
      </c>
      <c r="C28" s="104" t="s">
        <v>516</v>
      </c>
      <c r="D28" s="105">
        <v>45549.16</v>
      </c>
    </row>
    <row r="29" spans="1:4" x14ac:dyDescent="0.3">
      <c r="A29" s="106" t="s">
        <v>346</v>
      </c>
      <c r="B29" s="30" t="s">
        <v>517</v>
      </c>
      <c r="C29" s="107" t="s">
        <v>346</v>
      </c>
      <c r="D29" s="96">
        <v>41667.82</v>
      </c>
    </row>
    <row r="30" spans="1:4" x14ac:dyDescent="0.3">
      <c r="A30" s="102" t="s">
        <v>346</v>
      </c>
      <c r="B30" s="103" t="s">
        <v>518</v>
      </c>
      <c r="C30" s="104" t="s">
        <v>519</v>
      </c>
      <c r="D30" s="96">
        <v>32210.31</v>
      </c>
    </row>
    <row r="31" spans="1:4" x14ac:dyDescent="0.3">
      <c r="A31" s="102" t="s">
        <v>258</v>
      </c>
      <c r="B31" s="103" t="s">
        <v>520</v>
      </c>
      <c r="C31" s="104" t="s">
        <v>486</v>
      </c>
      <c r="D31" s="105">
        <v>30000</v>
      </c>
    </row>
    <row r="32" spans="1:4" x14ac:dyDescent="0.3">
      <c r="A32" s="102" t="s">
        <v>258</v>
      </c>
      <c r="B32" s="103" t="s">
        <v>521</v>
      </c>
      <c r="C32" s="104" t="s">
        <v>522</v>
      </c>
      <c r="D32" s="105">
        <v>30000</v>
      </c>
    </row>
    <row r="33" spans="1:4" x14ac:dyDescent="0.3">
      <c r="A33" s="102" t="s">
        <v>414</v>
      </c>
      <c r="B33" s="103" t="s">
        <v>523</v>
      </c>
      <c r="C33" s="104" t="s">
        <v>227</v>
      </c>
      <c r="D33" s="105">
        <f>34260.79-6118.67</f>
        <v>28142.120000000003</v>
      </c>
    </row>
    <row r="34" spans="1:4" x14ac:dyDescent="0.3">
      <c r="A34" s="102" t="s">
        <v>524</v>
      </c>
      <c r="B34" s="103" t="s">
        <v>511</v>
      </c>
      <c r="C34" s="104" t="s">
        <v>525</v>
      </c>
      <c r="D34" s="96">
        <v>25000</v>
      </c>
    </row>
    <row r="35" spans="1:4" x14ac:dyDescent="0.3">
      <c r="A35" s="106" t="s">
        <v>487</v>
      </c>
      <c r="B35" s="30" t="s">
        <v>488</v>
      </c>
      <c r="C35" s="107" t="s">
        <v>526</v>
      </c>
      <c r="D35" s="96">
        <v>25000</v>
      </c>
    </row>
    <row r="36" spans="1:4" x14ac:dyDescent="0.3">
      <c r="A36" s="102" t="s">
        <v>527</v>
      </c>
      <c r="B36" s="21" t="s">
        <v>528</v>
      </c>
      <c r="C36" s="104" t="s">
        <v>486</v>
      </c>
      <c r="D36" s="105">
        <v>25000</v>
      </c>
    </row>
    <row r="37" spans="1:4" x14ac:dyDescent="0.3">
      <c r="A37" s="102" t="s">
        <v>487</v>
      </c>
      <c r="B37" s="103" t="s">
        <v>529</v>
      </c>
      <c r="C37" s="104" t="s">
        <v>346</v>
      </c>
      <c r="D37" s="96">
        <v>25000</v>
      </c>
    </row>
    <row r="38" spans="1:4" x14ac:dyDescent="0.3">
      <c r="A38" s="102" t="s">
        <v>365</v>
      </c>
      <c r="B38" s="103" t="s">
        <v>530</v>
      </c>
      <c r="C38" s="104" t="s">
        <v>512</v>
      </c>
      <c r="D38" s="96">
        <v>18687</v>
      </c>
    </row>
    <row r="39" spans="1:4" x14ac:dyDescent="0.3">
      <c r="A39" s="102" t="s">
        <v>531</v>
      </c>
      <c r="B39" s="103" t="s">
        <v>32</v>
      </c>
      <c r="C39" s="104" t="s">
        <v>346</v>
      </c>
      <c r="D39" s="96">
        <v>16797.79</v>
      </c>
    </row>
    <row r="40" spans="1:4" x14ac:dyDescent="0.3">
      <c r="A40" s="102" t="s">
        <v>510</v>
      </c>
      <c r="B40" s="103" t="s">
        <v>532</v>
      </c>
      <c r="C40" s="104" t="s">
        <v>346</v>
      </c>
      <c r="D40" s="96">
        <v>13801.49</v>
      </c>
    </row>
    <row r="41" spans="1:4" x14ac:dyDescent="0.3">
      <c r="A41" s="102" t="s">
        <v>533</v>
      </c>
      <c r="B41" s="21" t="s">
        <v>534</v>
      </c>
      <c r="C41" s="24" t="s">
        <v>346</v>
      </c>
      <c r="D41" s="105">
        <v>12400</v>
      </c>
    </row>
    <row r="42" spans="1:4" x14ac:dyDescent="0.3">
      <c r="A42" s="102" t="s">
        <v>500</v>
      </c>
      <c r="B42" s="103" t="s">
        <v>498</v>
      </c>
      <c r="C42" s="104" t="s">
        <v>535</v>
      </c>
      <c r="D42" s="96">
        <v>12037.9</v>
      </c>
    </row>
    <row r="43" spans="1:4" x14ac:dyDescent="0.3">
      <c r="A43" s="102" t="s">
        <v>536</v>
      </c>
      <c r="B43" s="21" t="s">
        <v>528</v>
      </c>
      <c r="C43" s="104" t="s">
        <v>537</v>
      </c>
      <c r="D43" s="105">
        <v>10833.34</v>
      </c>
    </row>
    <row r="44" spans="1:4" x14ac:dyDescent="0.3">
      <c r="A44" s="102" t="s">
        <v>365</v>
      </c>
      <c r="B44" s="103" t="s">
        <v>538</v>
      </c>
      <c r="C44" s="104" t="s">
        <v>486</v>
      </c>
      <c r="D44" s="96">
        <v>10000</v>
      </c>
    </row>
    <row r="45" spans="1:4" x14ac:dyDescent="0.3">
      <c r="A45" s="102" t="s">
        <v>346</v>
      </c>
      <c r="B45" s="103" t="s">
        <v>539</v>
      </c>
      <c r="C45" s="24" t="s">
        <v>346</v>
      </c>
      <c r="D45" s="105">
        <v>7219.2</v>
      </c>
    </row>
    <row r="46" spans="1:4" x14ac:dyDescent="0.3">
      <c r="A46" s="106" t="s">
        <v>487</v>
      </c>
      <c r="B46" s="30" t="s">
        <v>488</v>
      </c>
      <c r="C46" s="107" t="s">
        <v>486</v>
      </c>
      <c r="D46" s="105">
        <v>6947</v>
      </c>
    </row>
    <row r="47" spans="1:4" x14ac:dyDescent="0.3">
      <c r="A47" s="102" t="s">
        <v>540</v>
      </c>
      <c r="B47" s="103" t="s">
        <v>541</v>
      </c>
      <c r="C47" s="104" t="s">
        <v>346</v>
      </c>
      <c r="D47" s="96">
        <v>6928.87</v>
      </c>
    </row>
    <row r="48" spans="1:4" x14ac:dyDescent="0.3">
      <c r="A48" s="106" t="s">
        <v>258</v>
      </c>
      <c r="B48" s="30" t="s">
        <v>32</v>
      </c>
      <c r="C48" s="107" t="s">
        <v>346</v>
      </c>
      <c r="D48" s="105">
        <v>6250</v>
      </c>
    </row>
    <row r="49" spans="1:4" x14ac:dyDescent="0.3">
      <c r="A49" s="102" t="s">
        <v>542</v>
      </c>
      <c r="B49" s="103" t="s">
        <v>498</v>
      </c>
      <c r="C49" s="104" t="s">
        <v>535</v>
      </c>
      <c r="D49" s="96">
        <v>6018.95</v>
      </c>
    </row>
    <row r="50" spans="1:4" x14ac:dyDescent="0.3">
      <c r="A50" s="102" t="s">
        <v>543</v>
      </c>
      <c r="B50" s="103" t="s">
        <v>498</v>
      </c>
      <c r="C50" s="104" t="s">
        <v>535</v>
      </c>
      <c r="D50" s="96">
        <v>6018.95</v>
      </c>
    </row>
    <row r="51" spans="1:4" x14ac:dyDescent="0.3">
      <c r="A51" s="102" t="s">
        <v>544</v>
      </c>
      <c r="B51" s="21" t="s">
        <v>545</v>
      </c>
      <c r="C51" s="104" t="s">
        <v>346</v>
      </c>
      <c r="D51" s="105">
        <v>5676</v>
      </c>
    </row>
    <row r="52" spans="1:4" x14ac:dyDescent="0.3">
      <c r="A52" s="102" t="s">
        <v>546</v>
      </c>
      <c r="B52" s="103" t="s">
        <v>511</v>
      </c>
      <c r="C52" s="104" t="s">
        <v>346</v>
      </c>
      <c r="D52" s="96">
        <v>5000</v>
      </c>
    </row>
    <row r="53" spans="1:4" x14ac:dyDescent="0.3">
      <c r="A53" s="102" t="s">
        <v>365</v>
      </c>
      <c r="B53" s="103" t="s">
        <v>547</v>
      </c>
      <c r="C53" s="104" t="s">
        <v>346</v>
      </c>
      <c r="D53" s="96">
        <v>4000</v>
      </c>
    </row>
    <row r="54" spans="1:4" x14ac:dyDescent="0.3">
      <c r="A54" s="106" t="s">
        <v>548</v>
      </c>
      <c r="B54" s="30" t="s">
        <v>549</v>
      </c>
      <c r="C54" s="107" t="s">
        <v>346</v>
      </c>
      <c r="D54" s="105">
        <v>3903.14</v>
      </c>
    </row>
    <row r="55" spans="1:4" x14ac:dyDescent="0.3">
      <c r="A55" s="102" t="s">
        <v>365</v>
      </c>
      <c r="B55" s="103" t="s">
        <v>32</v>
      </c>
      <c r="C55" s="104" t="s">
        <v>346</v>
      </c>
      <c r="D55" s="96">
        <v>3030</v>
      </c>
    </row>
    <row r="56" spans="1:4" x14ac:dyDescent="0.3">
      <c r="A56" s="106" t="s">
        <v>497</v>
      </c>
      <c r="B56" s="30" t="s">
        <v>463</v>
      </c>
      <c r="C56" s="107" t="s">
        <v>346</v>
      </c>
      <c r="D56" s="96">
        <v>2800</v>
      </c>
    </row>
    <row r="57" spans="1:4" x14ac:dyDescent="0.3">
      <c r="A57" s="106" t="s">
        <v>487</v>
      </c>
      <c r="B57" s="30" t="s">
        <v>550</v>
      </c>
      <c r="C57" s="107" t="s">
        <v>346</v>
      </c>
      <c r="D57" s="105">
        <v>2800</v>
      </c>
    </row>
    <row r="58" spans="1:4" x14ac:dyDescent="0.3">
      <c r="A58" s="102" t="s">
        <v>346</v>
      </c>
      <c r="B58" s="21" t="s">
        <v>551</v>
      </c>
      <c r="C58" s="24" t="s">
        <v>346</v>
      </c>
      <c r="D58" s="105">
        <v>1950</v>
      </c>
    </row>
    <row r="59" spans="1:4" x14ac:dyDescent="0.3">
      <c r="A59" s="102" t="s">
        <v>531</v>
      </c>
      <c r="B59" s="103" t="s">
        <v>552</v>
      </c>
      <c r="C59" s="104" t="s">
        <v>346</v>
      </c>
      <c r="D59" s="96">
        <v>1860</v>
      </c>
    </row>
    <row r="60" spans="1:4" x14ac:dyDescent="0.3">
      <c r="A60" s="102" t="s">
        <v>346</v>
      </c>
      <c r="B60" s="21" t="s">
        <v>553</v>
      </c>
      <c r="C60" s="24" t="s">
        <v>227</v>
      </c>
      <c r="D60" s="105">
        <v>1550</v>
      </c>
    </row>
    <row r="61" spans="1:4" x14ac:dyDescent="0.3">
      <c r="A61" s="102" t="s">
        <v>554</v>
      </c>
      <c r="B61" s="103" t="s">
        <v>484</v>
      </c>
      <c r="C61" s="104" t="s">
        <v>346</v>
      </c>
      <c r="D61" s="96">
        <v>496.16</v>
      </c>
    </row>
    <row r="62" spans="1:4" x14ac:dyDescent="0.3">
      <c r="D62" s="109"/>
    </row>
    <row r="63" spans="1:4" x14ac:dyDescent="0.3">
      <c r="D63" s="6"/>
    </row>
    <row r="64" spans="1:4" x14ac:dyDescent="0.3">
      <c r="D64" s="6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9"/>
  <sheetViews>
    <sheetView workbookViewId="0"/>
  </sheetViews>
  <sheetFormatPr defaultRowHeight="14.4" x14ac:dyDescent="0.3"/>
  <cols>
    <col min="1" max="1" width="24.44140625" customWidth="1"/>
    <col min="2" max="2" width="45.6640625" customWidth="1"/>
    <col min="3" max="3" width="21.109375" customWidth="1"/>
    <col min="4" max="4" width="19.109375" style="6" customWidth="1"/>
    <col min="5" max="5" width="19.109375" customWidth="1"/>
    <col min="6" max="6" width="13.33203125" style="6" customWidth="1"/>
    <col min="7" max="7" width="13.88671875" style="6" customWidth="1"/>
    <col min="8" max="8" width="14.44140625" customWidth="1"/>
    <col min="9" max="1024" width="9" customWidth="1"/>
    <col min="1025" max="1025" width="8.88671875" customWidth="1"/>
  </cols>
  <sheetData>
    <row r="1" spans="1:8" ht="17.399999999999999" x14ac:dyDescent="0.3">
      <c r="A1" s="80" t="s">
        <v>392</v>
      </c>
    </row>
    <row r="2" spans="1:8" ht="17.399999999999999" x14ac:dyDescent="0.3">
      <c r="A2" s="80"/>
    </row>
    <row r="3" spans="1:8" ht="23.25" customHeight="1" x14ac:dyDescent="0.3">
      <c r="A3" s="1017" t="s">
        <v>480</v>
      </c>
      <c r="B3" s="1017"/>
      <c r="D3" s="6" t="s">
        <v>4</v>
      </c>
      <c r="E3" t="s">
        <v>301</v>
      </c>
    </row>
    <row r="5" spans="1:8" x14ac:dyDescent="0.3">
      <c r="A5" s="92">
        <v>73</v>
      </c>
      <c r="B5" s="1019" t="s">
        <v>331</v>
      </c>
      <c r="C5" s="1019"/>
      <c r="D5" s="93">
        <f>SUM(D6:D8)+D9</f>
        <v>16959402.240000002</v>
      </c>
      <c r="E5" s="93">
        <f>SUM(E6:E8)+E9</f>
        <v>8810323.4899999984</v>
      </c>
      <c r="F5" s="93">
        <f>SUM(F6:F8)+F9</f>
        <v>8810323.4899999984</v>
      </c>
      <c r="G5" s="93">
        <f>SUM(G6:G8)+G9</f>
        <v>8810323.4899999984</v>
      </c>
      <c r="H5" s="6">
        <f>H66</f>
        <v>0</v>
      </c>
    </row>
    <row r="6" spans="1:8" x14ac:dyDescent="0.3">
      <c r="A6" s="94" t="s">
        <v>332</v>
      </c>
      <c r="B6" s="1020" t="s">
        <v>333</v>
      </c>
      <c r="C6" s="1020"/>
      <c r="D6" s="111"/>
      <c r="E6" s="95"/>
    </row>
    <row r="7" spans="1:8" x14ac:dyDescent="0.3">
      <c r="A7" s="94" t="s">
        <v>334</v>
      </c>
      <c r="B7" s="1020" t="s">
        <v>335</v>
      </c>
      <c r="C7" s="1020"/>
      <c r="D7" s="21">
        <v>2500</v>
      </c>
      <c r="E7" s="96">
        <v>7859</v>
      </c>
      <c r="F7" s="6">
        <f>SUM(E7)</f>
        <v>7859</v>
      </c>
      <c r="G7" s="6">
        <v>7859</v>
      </c>
      <c r="H7" s="112">
        <f>F7-G7</f>
        <v>0</v>
      </c>
    </row>
    <row r="8" spans="1:8" x14ac:dyDescent="0.3">
      <c r="A8" s="94" t="s">
        <v>336</v>
      </c>
      <c r="B8" s="1020" t="s">
        <v>337</v>
      </c>
      <c r="C8" s="1020"/>
      <c r="D8" s="103"/>
      <c r="E8" s="95"/>
    </row>
    <row r="9" spans="1:8" ht="39.75" customHeight="1" x14ac:dyDescent="0.3">
      <c r="A9" s="97" t="s">
        <v>481</v>
      </c>
      <c r="B9" s="1018" t="s">
        <v>482</v>
      </c>
      <c r="C9" s="1018"/>
      <c r="D9" s="98">
        <f>SUM(D11:D67)</f>
        <v>16956902.240000002</v>
      </c>
      <c r="E9" s="98">
        <f>SUM(E11:E64)</f>
        <v>8802464.4899999984</v>
      </c>
      <c r="F9" s="98">
        <f>SUM(F11:F64)</f>
        <v>8802464.4899999984</v>
      </c>
      <c r="G9" s="6">
        <f>SUM(G10:G64)</f>
        <v>8802464.4899999984</v>
      </c>
      <c r="H9" s="113">
        <f>E9-G9</f>
        <v>0</v>
      </c>
    </row>
    <row r="10" spans="1:8" x14ac:dyDescent="0.3">
      <c r="A10" s="99" t="s">
        <v>5</v>
      </c>
      <c r="B10" s="100" t="s">
        <v>6</v>
      </c>
      <c r="C10" s="99" t="s">
        <v>344</v>
      </c>
      <c r="D10" s="114"/>
      <c r="E10" s="101" t="s">
        <v>345</v>
      </c>
      <c r="H10" s="112"/>
    </row>
    <row r="11" spans="1:8" x14ac:dyDescent="0.3">
      <c r="A11" s="102" t="s">
        <v>346</v>
      </c>
      <c r="B11" s="103" t="s">
        <v>555</v>
      </c>
      <c r="C11" s="103" t="s">
        <v>346</v>
      </c>
      <c r="D11" s="23">
        <v>7402.63</v>
      </c>
      <c r="E11" s="96">
        <v>7402.63</v>
      </c>
      <c r="F11" s="115"/>
      <c r="G11" s="115"/>
    </row>
    <row r="12" spans="1:8" x14ac:dyDescent="0.3">
      <c r="A12" s="102" t="s">
        <v>346</v>
      </c>
      <c r="B12" s="103" t="s">
        <v>556</v>
      </c>
      <c r="C12" s="103" t="s">
        <v>346</v>
      </c>
      <c r="D12" s="23">
        <v>85441.99</v>
      </c>
      <c r="E12" s="96">
        <v>85441.99</v>
      </c>
      <c r="F12" s="115"/>
      <c r="G12" s="115"/>
    </row>
    <row r="13" spans="1:8" x14ac:dyDescent="0.3">
      <c r="A13" s="102" t="s">
        <v>346</v>
      </c>
      <c r="B13" s="103" t="s">
        <v>557</v>
      </c>
      <c r="C13" s="103" t="s">
        <v>346</v>
      </c>
      <c r="D13" s="23">
        <v>56405.63</v>
      </c>
      <c r="E13" s="96">
        <v>56405.63</v>
      </c>
      <c r="F13" s="115"/>
      <c r="G13" s="115"/>
    </row>
    <row r="14" spans="1:8" x14ac:dyDescent="0.3">
      <c r="A14" s="102" t="s">
        <v>346</v>
      </c>
      <c r="B14" s="103" t="s">
        <v>558</v>
      </c>
      <c r="C14" s="103" t="s">
        <v>346</v>
      </c>
      <c r="D14" s="23">
        <v>136194.79999999999</v>
      </c>
      <c r="E14" s="96">
        <v>114438.19</v>
      </c>
      <c r="F14" s="115"/>
      <c r="G14" s="115"/>
    </row>
    <row r="15" spans="1:8" x14ac:dyDescent="0.3">
      <c r="A15" s="102" t="s">
        <v>346</v>
      </c>
      <c r="B15" s="103" t="s">
        <v>559</v>
      </c>
      <c r="C15" s="103" t="s">
        <v>346</v>
      </c>
      <c r="D15" s="23">
        <v>3030</v>
      </c>
      <c r="E15" s="96">
        <v>3030</v>
      </c>
      <c r="F15" s="115"/>
      <c r="G15" s="115"/>
    </row>
    <row r="16" spans="1:8" x14ac:dyDescent="0.3">
      <c r="A16" s="102" t="s">
        <v>258</v>
      </c>
      <c r="B16" s="103" t="s">
        <v>560</v>
      </c>
      <c r="C16" s="103" t="s">
        <v>346</v>
      </c>
      <c r="D16" s="23">
        <v>6250</v>
      </c>
      <c r="E16" s="96">
        <v>6250</v>
      </c>
      <c r="F16" s="115"/>
      <c r="G16" s="115"/>
    </row>
    <row r="17" spans="1:8" x14ac:dyDescent="0.3">
      <c r="A17" s="102" t="s">
        <v>531</v>
      </c>
      <c r="B17" s="103" t="s">
        <v>561</v>
      </c>
      <c r="C17" s="103" t="s">
        <v>346</v>
      </c>
      <c r="D17" s="23">
        <v>12960</v>
      </c>
      <c r="E17" s="96">
        <v>12960</v>
      </c>
      <c r="F17" s="115">
        <f>SUM(E11:E17)</f>
        <v>285928.44</v>
      </c>
      <c r="G17" s="115">
        <v>285928.44</v>
      </c>
      <c r="H17" s="112">
        <f>F17-G17</f>
        <v>0</v>
      </c>
    </row>
    <row r="18" spans="1:8" x14ac:dyDescent="0.3">
      <c r="A18" s="102" t="s">
        <v>346</v>
      </c>
      <c r="B18" s="103" t="s">
        <v>562</v>
      </c>
      <c r="C18" s="103" t="s">
        <v>346</v>
      </c>
      <c r="D18" s="23">
        <v>6558221</v>
      </c>
      <c r="E18" s="96">
        <v>6588078.4900000002</v>
      </c>
      <c r="F18" s="115">
        <f>E18</f>
        <v>6588078.4900000002</v>
      </c>
      <c r="G18" s="115">
        <v>6588078.4900000002</v>
      </c>
      <c r="H18" s="112">
        <f>F18-G18</f>
        <v>0</v>
      </c>
    </row>
    <row r="19" spans="1:8" x14ac:dyDescent="0.3">
      <c r="A19" s="102" t="s">
        <v>346</v>
      </c>
      <c r="B19" s="103" t="s">
        <v>396</v>
      </c>
      <c r="C19" s="103" t="s">
        <v>396</v>
      </c>
      <c r="D19" s="23">
        <v>85497.2</v>
      </c>
      <c r="E19" s="96">
        <v>86651.41</v>
      </c>
      <c r="F19" s="115"/>
      <c r="G19" s="115"/>
      <c r="H19" s="112"/>
    </row>
    <row r="20" spans="1:8" x14ac:dyDescent="0.3">
      <c r="A20" s="102" t="s">
        <v>346</v>
      </c>
      <c r="B20" s="103" t="s">
        <v>563</v>
      </c>
      <c r="C20" s="103" t="s">
        <v>346</v>
      </c>
      <c r="D20" s="23"/>
      <c r="E20" s="96">
        <v>3850</v>
      </c>
      <c r="F20" s="115"/>
      <c r="G20" s="115"/>
      <c r="H20" s="112"/>
    </row>
    <row r="21" spans="1:8" x14ac:dyDescent="0.3">
      <c r="A21" s="102" t="s">
        <v>346</v>
      </c>
      <c r="B21" s="103" t="s">
        <v>564</v>
      </c>
      <c r="C21" s="103" t="s">
        <v>565</v>
      </c>
      <c r="D21" s="23"/>
      <c r="E21" s="96">
        <v>50001.38</v>
      </c>
      <c r="F21" s="115"/>
      <c r="G21" s="115"/>
      <c r="H21" s="112"/>
    </row>
    <row r="22" spans="1:8" x14ac:dyDescent="0.3">
      <c r="A22" s="102" t="s">
        <v>346</v>
      </c>
      <c r="B22" s="103" t="s">
        <v>540</v>
      </c>
      <c r="C22" s="103" t="s">
        <v>346</v>
      </c>
      <c r="D22" s="23"/>
      <c r="E22" s="96">
        <v>13925.779999999999</v>
      </c>
      <c r="F22" s="115"/>
      <c r="G22" s="115"/>
      <c r="H22" s="112"/>
    </row>
    <row r="23" spans="1:8" x14ac:dyDescent="0.3">
      <c r="A23" s="102" t="s">
        <v>346</v>
      </c>
      <c r="B23" s="103" t="s">
        <v>566</v>
      </c>
      <c r="C23" s="103" t="s">
        <v>567</v>
      </c>
      <c r="D23" s="23">
        <v>8000</v>
      </c>
      <c r="E23" s="96">
        <v>24000</v>
      </c>
      <c r="F23" s="115"/>
      <c r="G23" s="115"/>
      <c r="H23" s="112"/>
    </row>
    <row r="24" spans="1:8" x14ac:dyDescent="0.3">
      <c r="A24" s="102" t="s">
        <v>346</v>
      </c>
      <c r="B24" s="103" t="s">
        <v>466</v>
      </c>
      <c r="C24" s="103" t="s">
        <v>509</v>
      </c>
      <c r="D24" s="23">
        <v>65000</v>
      </c>
      <c r="E24" s="96">
        <v>65000</v>
      </c>
      <c r="F24" s="115"/>
      <c r="G24" s="115"/>
      <c r="H24" s="112"/>
    </row>
    <row r="25" spans="1:8" x14ac:dyDescent="0.3">
      <c r="A25" s="102" t="s">
        <v>346</v>
      </c>
      <c r="B25" s="103" t="s">
        <v>568</v>
      </c>
      <c r="C25" s="103" t="s">
        <v>569</v>
      </c>
      <c r="D25" s="23">
        <v>90000</v>
      </c>
      <c r="E25" s="96">
        <v>90000</v>
      </c>
      <c r="F25" s="115"/>
      <c r="G25" s="115"/>
      <c r="H25" s="112"/>
    </row>
    <row r="26" spans="1:8" x14ac:dyDescent="0.3">
      <c r="A26" s="102" t="s">
        <v>346</v>
      </c>
      <c r="B26" s="103" t="s">
        <v>570</v>
      </c>
      <c r="C26" s="103" t="s">
        <v>346</v>
      </c>
      <c r="D26" s="23">
        <v>3100</v>
      </c>
      <c r="E26" s="96">
        <v>3500</v>
      </c>
      <c r="F26" s="115"/>
      <c r="G26" s="115"/>
      <c r="H26" s="112"/>
    </row>
    <row r="27" spans="1:8" x14ac:dyDescent="0.3">
      <c r="A27" s="102" t="s">
        <v>346</v>
      </c>
      <c r="B27" s="103" t="s">
        <v>571</v>
      </c>
      <c r="C27" s="103" t="s">
        <v>572</v>
      </c>
      <c r="D27" s="23"/>
      <c r="E27" s="96">
        <v>77228.239999999991</v>
      </c>
      <c r="F27" s="115"/>
      <c r="G27" s="115"/>
      <c r="H27" s="112"/>
    </row>
    <row r="28" spans="1:8" x14ac:dyDescent="0.3">
      <c r="A28" s="102" t="s">
        <v>479</v>
      </c>
      <c r="B28" s="103" t="s">
        <v>573</v>
      </c>
      <c r="C28" s="103" t="s">
        <v>486</v>
      </c>
      <c r="D28" s="23">
        <v>80000</v>
      </c>
      <c r="E28" s="96">
        <v>80000</v>
      </c>
      <c r="F28" s="115"/>
      <c r="G28" s="115"/>
      <c r="H28" s="112"/>
    </row>
    <row r="29" spans="1:8" x14ac:dyDescent="0.3">
      <c r="A29" s="102" t="s">
        <v>574</v>
      </c>
      <c r="B29" s="103" t="s">
        <v>575</v>
      </c>
      <c r="C29" s="103" t="s">
        <v>576</v>
      </c>
      <c r="D29" s="23">
        <v>70350</v>
      </c>
      <c r="E29" s="96">
        <v>70589.08</v>
      </c>
      <c r="F29" s="115">
        <f>SUM(E19:E29)</f>
        <v>564745.89</v>
      </c>
      <c r="G29" s="115">
        <v>564745.89</v>
      </c>
      <c r="H29" s="112">
        <f>F29-G29</f>
        <v>0</v>
      </c>
    </row>
    <row r="30" spans="1:8" x14ac:dyDescent="0.3">
      <c r="A30" s="102" t="s">
        <v>493</v>
      </c>
      <c r="B30" s="103" t="s">
        <v>494</v>
      </c>
      <c r="C30" s="103" t="s">
        <v>494</v>
      </c>
      <c r="D30" s="23">
        <v>80000</v>
      </c>
      <c r="E30" s="96">
        <v>80000</v>
      </c>
      <c r="F30" s="115"/>
      <c r="G30" s="115"/>
      <c r="H30" s="112"/>
    </row>
    <row r="31" spans="1:8" x14ac:dyDescent="0.3">
      <c r="A31" s="102" t="s">
        <v>346</v>
      </c>
      <c r="B31" t="s">
        <v>577</v>
      </c>
      <c r="C31" s="103" t="s">
        <v>578</v>
      </c>
      <c r="D31" s="23"/>
      <c r="E31" s="96">
        <v>60000</v>
      </c>
      <c r="F31" s="115">
        <f>SUM(E30:E31)</f>
        <v>140000</v>
      </c>
      <c r="G31" s="115">
        <v>140000</v>
      </c>
      <c r="H31" s="112">
        <f>F31-G31</f>
        <v>0</v>
      </c>
    </row>
    <row r="32" spans="1:8" x14ac:dyDescent="0.3">
      <c r="A32" s="102" t="s">
        <v>278</v>
      </c>
      <c r="B32" t="s">
        <v>579</v>
      </c>
      <c r="C32" s="103" t="s">
        <v>346</v>
      </c>
      <c r="D32" s="23"/>
      <c r="E32" s="96">
        <v>850</v>
      </c>
      <c r="F32" s="115"/>
      <c r="G32" s="115"/>
      <c r="H32" s="112"/>
    </row>
    <row r="33" spans="1:8" x14ac:dyDescent="0.3">
      <c r="A33" s="102" t="s">
        <v>500</v>
      </c>
      <c r="B33" t="s">
        <v>501</v>
      </c>
      <c r="C33" s="103" t="s">
        <v>502</v>
      </c>
      <c r="D33" s="23">
        <v>54000</v>
      </c>
      <c r="E33" s="96">
        <v>60237.2</v>
      </c>
      <c r="F33" s="115"/>
      <c r="G33" s="115"/>
      <c r="H33" s="112"/>
    </row>
    <row r="34" spans="1:8" x14ac:dyDescent="0.3">
      <c r="A34" s="102" t="s">
        <v>510</v>
      </c>
      <c r="B34" t="s">
        <v>512</v>
      </c>
      <c r="C34" s="103" t="s">
        <v>580</v>
      </c>
      <c r="D34" s="23">
        <v>51088.65</v>
      </c>
      <c r="E34" s="96">
        <v>50500</v>
      </c>
      <c r="F34" s="115"/>
      <c r="G34" s="115"/>
      <c r="H34" s="112"/>
    </row>
    <row r="35" spans="1:8" x14ac:dyDescent="0.3">
      <c r="A35" s="102" t="s">
        <v>497</v>
      </c>
      <c r="B35" t="s">
        <v>525</v>
      </c>
      <c r="C35" s="103" t="s">
        <v>581</v>
      </c>
      <c r="D35" s="23">
        <v>25000</v>
      </c>
      <c r="E35" s="96">
        <v>25000</v>
      </c>
      <c r="F35" s="115"/>
      <c r="G35" s="115"/>
      <c r="H35" s="112"/>
    </row>
    <row r="36" spans="1:8" x14ac:dyDescent="0.3">
      <c r="A36" s="102" t="s">
        <v>582</v>
      </c>
      <c r="B36" t="s">
        <v>583</v>
      </c>
      <c r="C36" s="103" t="s">
        <v>346</v>
      </c>
      <c r="D36" s="23"/>
      <c r="E36" s="96">
        <v>125</v>
      </c>
      <c r="F36" s="115"/>
      <c r="G36" s="115"/>
      <c r="H36" s="112"/>
    </row>
    <row r="37" spans="1:8" x14ac:dyDescent="0.3">
      <c r="A37" s="102" t="s">
        <v>584</v>
      </c>
      <c r="B37" t="s">
        <v>585</v>
      </c>
      <c r="C37" s="103" t="s">
        <v>346</v>
      </c>
      <c r="D37" s="23"/>
      <c r="E37" s="96">
        <v>187.95</v>
      </c>
      <c r="F37" s="115"/>
      <c r="G37" s="115"/>
      <c r="H37" s="112"/>
    </row>
    <row r="38" spans="1:8" x14ac:dyDescent="0.3">
      <c r="A38" s="102" t="s">
        <v>524</v>
      </c>
      <c r="B38" t="s">
        <v>499</v>
      </c>
      <c r="C38" s="103" t="s">
        <v>586</v>
      </c>
      <c r="D38" s="23">
        <v>86323.46</v>
      </c>
      <c r="E38" s="96">
        <v>70876.37</v>
      </c>
      <c r="F38" s="115"/>
      <c r="G38" s="115"/>
      <c r="H38" s="112"/>
    </row>
    <row r="39" spans="1:8" x14ac:dyDescent="0.3">
      <c r="A39" s="102" t="s">
        <v>524</v>
      </c>
      <c r="B39" t="s">
        <v>463</v>
      </c>
      <c r="C39" s="103" t="s">
        <v>346</v>
      </c>
      <c r="D39" s="23"/>
      <c r="E39" s="96">
        <v>2800</v>
      </c>
      <c r="F39" s="115"/>
      <c r="G39" s="115"/>
      <c r="H39" s="112"/>
    </row>
    <row r="40" spans="1:8" x14ac:dyDescent="0.3">
      <c r="A40" s="102" t="s">
        <v>587</v>
      </c>
      <c r="B40" t="s">
        <v>588</v>
      </c>
      <c r="C40" s="103" t="s">
        <v>346</v>
      </c>
      <c r="D40" s="23">
        <v>660</v>
      </c>
      <c r="E40" s="96">
        <v>663.7</v>
      </c>
      <c r="F40" s="115"/>
      <c r="G40" s="115"/>
      <c r="H40" s="112"/>
    </row>
    <row r="41" spans="1:8" x14ac:dyDescent="0.3">
      <c r="A41" s="102" t="s">
        <v>589</v>
      </c>
      <c r="B41" t="s">
        <v>590</v>
      </c>
      <c r="C41" s="103" t="s">
        <v>346</v>
      </c>
      <c r="D41" s="23">
        <v>500</v>
      </c>
      <c r="E41" s="96">
        <v>500</v>
      </c>
      <c r="F41" s="115"/>
      <c r="G41" s="115"/>
      <c r="H41" s="112"/>
    </row>
    <row r="42" spans="1:8" x14ac:dyDescent="0.3">
      <c r="A42" s="102" t="s">
        <v>510</v>
      </c>
      <c r="B42" t="s">
        <v>591</v>
      </c>
      <c r="C42" s="103" t="s">
        <v>346</v>
      </c>
      <c r="D42" s="23">
        <v>13801.49</v>
      </c>
      <c r="E42" s="96">
        <v>14080.13</v>
      </c>
      <c r="F42" s="115"/>
      <c r="G42" s="115"/>
      <c r="H42" s="112"/>
    </row>
    <row r="43" spans="1:8" x14ac:dyDescent="0.3">
      <c r="A43" s="102" t="s">
        <v>497</v>
      </c>
      <c r="B43" t="s">
        <v>501</v>
      </c>
      <c r="C43" s="103" t="s">
        <v>513</v>
      </c>
      <c r="D43" s="23">
        <v>50000</v>
      </c>
      <c r="E43" s="96">
        <v>50000</v>
      </c>
      <c r="F43" s="115"/>
      <c r="G43" s="115"/>
      <c r="H43" s="112"/>
    </row>
    <row r="44" spans="1:8" x14ac:dyDescent="0.3">
      <c r="A44" s="102" t="s">
        <v>514</v>
      </c>
      <c r="B44" t="s">
        <v>592</v>
      </c>
      <c r="C44" s="103" t="s">
        <v>592</v>
      </c>
      <c r="D44" s="23"/>
      <c r="E44" s="96">
        <v>27916.42</v>
      </c>
      <c r="F44" s="115"/>
      <c r="G44" s="115"/>
      <c r="H44" s="112"/>
    </row>
    <row r="45" spans="1:8" ht="26.4" x14ac:dyDescent="0.3">
      <c r="A45" s="102" t="s">
        <v>593</v>
      </c>
      <c r="B45" t="s">
        <v>594</v>
      </c>
      <c r="C45" s="103"/>
      <c r="D45" s="23"/>
      <c r="E45" s="96">
        <v>19737.349999999999</v>
      </c>
      <c r="F45" s="115"/>
      <c r="G45" s="115"/>
      <c r="H45" s="112"/>
    </row>
    <row r="46" spans="1:8" x14ac:dyDescent="0.3">
      <c r="A46" s="102" t="s">
        <v>531</v>
      </c>
      <c r="B46" t="s">
        <v>595</v>
      </c>
      <c r="C46" s="103" t="s">
        <v>346</v>
      </c>
      <c r="D46" s="23">
        <v>5000</v>
      </c>
      <c r="E46" s="96">
        <v>5000</v>
      </c>
      <c r="F46" s="115"/>
      <c r="G46" s="115"/>
      <c r="H46" s="112"/>
    </row>
    <row r="47" spans="1:8" x14ac:dyDescent="0.3">
      <c r="A47" s="102" t="s">
        <v>531</v>
      </c>
      <c r="B47" t="s">
        <v>596</v>
      </c>
      <c r="C47" s="103" t="s">
        <v>346</v>
      </c>
      <c r="D47" s="23">
        <v>1860</v>
      </c>
      <c r="E47" s="96">
        <v>1860</v>
      </c>
      <c r="F47" s="115"/>
      <c r="G47" s="115"/>
      <c r="H47" s="112"/>
    </row>
    <row r="48" spans="1:8" x14ac:dyDescent="0.3">
      <c r="A48" s="102" t="s">
        <v>524</v>
      </c>
      <c r="B48" t="s">
        <v>597</v>
      </c>
      <c r="C48" s="103" t="s">
        <v>597</v>
      </c>
      <c r="D48" s="23"/>
      <c r="E48" s="96">
        <v>16287.57</v>
      </c>
      <c r="F48" s="115"/>
      <c r="G48" s="115"/>
      <c r="H48" s="112"/>
    </row>
    <row r="49" spans="1:8" x14ac:dyDescent="0.3">
      <c r="A49" s="102" t="s">
        <v>515</v>
      </c>
      <c r="B49" t="s">
        <v>598</v>
      </c>
      <c r="C49" s="103" t="s">
        <v>516</v>
      </c>
      <c r="D49" s="23"/>
      <c r="E49" s="96">
        <v>12894.56</v>
      </c>
      <c r="F49" s="115"/>
      <c r="G49" s="115"/>
      <c r="H49" s="112"/>
    </row>
    <row r="50" spans="1:8" x14ac:dyDescent="0.3">
      <c r="A50" s="102" t="s">
        <v>515</v>
      </c>
      <c r="B50" t="s">
        <v>599</v>
      </c>
      <c r="C50" s="103" t="s">
        <v>516</v>
      </c>
      <c r="D50" s="23">
        <f>12680.24+32868.92</f>
        <v>45549.159999999996</v>
      </c>
      <c r="E50" s="96">
        <v>32868.92</v>
      </c>
      <c r="F50" s="115"/>
      <c r="G50" s="115"/>
      <c r="H50" s="112"/>
    </row>
    <row r="51" spans="1:8" x14ac:dyDescent="0.3">
      <c r="A51" s="102" t="s">
        <v>600</v>
      </c>
      <c r="B51" t="s">
        <v>601</v>
      </c>
      <c r="C51" s="103" t="s">
        <v>601</v>
      </c>
      <c r="D51" s="23"/>
      <c r="E51" s="96">
        <v>30195.37</v>
      </c>
      <c r="F51" s="115">
        <f>SUM(E32:E51)</f>
        <v>422580.54</v>
      </c>
      <c r="G51" s="115">
        <v>422580.54</v>
      </c>
      <c r="H51" s="112">
        <f>F51-G51</f>
        <v>0</v>
      </c>
    </row>
    <row r="52" spans="1:8" x14ac:dyDescent="0.3">
      <c r="A52" s="102" t="s">
        <v>602</v>
      </c>
      <c r="B52" t="s">
        <v>603</v>
      </c>
      <c r="C52" s="103" t="s">
        <v>346</v>
      </c>
      <c r="D52" s="23">
        <v>9929.4500000000007</v>
      </c>
      <c r="E52" s="96">
        <v>9929.4500000000007</v>
      </c>
      <c r="F52" s="115"/>
      <c r="G52" s="115"/>
      <c r="H52" s="112"/>
    </row>
    <row r="53" spans="1:8" x14ac:dyDescent="0.3">
      <c r="A53" s="102" t="s">
        <v>602</v>
      </c>
      <c r="B53" t="s">
        <v>604</v>
      </c>
      <c r="C53" s="103" t="s">
        <v>489</v>
      </c>
      <c r="D53" s="23">
        <v>104658</v>
      </c>
      <c r="E53" s="96">
        <v>104658</v>
      </c>
      <c r="F53" s="115"/>
      <c r="G53" s="115"/>
      <c r="H53" s="112"/>
    </row>
    <row r="54" spans="1:8" x14ac:dyDescent="0.3">
      <c r="A54" s="102" t="s">
        <v>602</v>
      </c>
      <c r="B54" t="s">
        <v>605</v>
      </c>
      <c r="C54" s="103" t="s">
        <v>346</v>
      </c>
      <c r="D54" s="23">
        <v>2800</v>
      </c>
      <c r="E54" s="96">
        <v>2800</v>
      </c>
      <c r="F54" s="115"/>
      <c r="G54" s="115"/>
      <c r="H54" s="112"/>
    </row>
    <row r="55" spans="1:8" x14ac:dyDescent="0.3">
      <c r="A55" s="102" t="s">
        <v>602</v>
      </c>
      <c r="B55" t="s">
        <v>606</v>
      </c>
      <c r="C55" s="103" t="s">
        <v>526</v>
      </c>
      <c r="D55" s="23">
        <v>25000</v>
      </c>
      <c r="E55" s="96">
        <v>25000</v>
      </c>
      <c r="F55" s="115"/>
      <c r="G55" s="115"/>
      <c r="H55" s="112"/>
    </row>
    <row r="56" spans="1:8" x14ac:dyDescent="0.3">
      <c r="A56" s="102" t="s">
        <v>602</v>
      </c>
      <c r="B56" t="s">
        <v>607</v>
      </c>
      <c r="C56" s="103" t="s">
        <v>608</v>
      </c>
      <c r="D56" s="23">
        <v>50000</v>
      </c>
      <c r="E56" s="96">
        <v>50000</v>
      </c>
      <c r="F56" s="115"/>
      <c r="G56" s="115"/>
      <c r="H56" s="112"/>
    </row>
    <row r="57" spans="1:8" x14ac:dyDescent="0.3">
      <c r="A57" s="102" t="s">
        <v>609</v>
      </c>
      <c r="B57" t="s">
        <v>610</v>
      </c>
      <c r="C57" s="103" t="s">
        <v>508</v>
      </c>
      <c r="D57" s="23">
        <v>46507.96</v>
      </c>
      <c r="E57" s="96">
        <v>44943.05</v>
      </c>
      <c r="F57" s="115">
        <f>SUM(E52:E57)</f>
        <v>237330.5</v>
      </c>
      <c r="G57" s="115">
        <v>237330.5</v>
      </c>
      <c r="H57" s="112">
        <f>F57-G57</f>
        <v>0</v>
      </c>
    </row>
    <row r="58" spans="1:8" x14ac:dyDescent="0.3">
      <c r="A58" s="102" t="s">
        <v>506</v>
      </c>
      <c r="B58" t="s">
        <v>611</v>
      </c>
      <c r="C58" s="103" t="s">
        <v>508</v>
      </c>
      <c r="D58" s="23">
        <v>56640.38</v>
      </c>
      <c r="E58" s="96">
        <v>56959.63</v>
      </c>
      <c r="F58" s="115">
        <f>E58</f>
        <v>56959.63</v>
      </c>
      <c r="G58" s="115">
        <v>56959.63</v>
      </c>
      <c r="H58" s="112">
        <f>F58-G58</f>
        <v>0</v>
      </c>
    </row>
    <row r="59" spans="1:8" x14ac:dyDescent="0.3">
      <c r="A59" s="102" t="s">
        <v>414</v>
      </c>
      <c r="B59" t="s">
        <v>612</v>
      </c>
      <c r="C59" s="103" t="s">
        <v>227</v>
      </c>
      <c r="D59" s="23">
        <v>28379.32</v>
      </c>
      <c r="E59" s="96">
        <v>29074.400000000001</v>
      </c>
      <c r="F59" s="115">
        <f>E59</f>
        <v>29074.400000000001</v>
      </c>
      <c r="G59" s="115">
        <v>29074.400000000001</v>
      </c>
      <c r="H59" s="112">
        <f>F59-G59</f>
        <v>0</v>
      </c>
    </row>
    <row r="60" spans="1:8" x14ac:dyDescent="0.3">
      <c r="A60" s="102" t="s">
        <v>361</v>
      </c>
      <c r="B60" t="s">
        <v>361</v>
      </c>
      <c r="C60" s="103" t="s">
        <v>346</v>
      </c>
      <c r="D60" s="23">
        <v>331100</v>
      </c>
      <c r="E60" s="96">
        <v>341942.48</v>
      </c>
      <c r="F60" s="115"/>
      <c r="G60" s="115"/>
      <c r="H60" s="112"/>
    </row>
    <row r="61" spans="1:8" x14ac:dyDescent="0.3">
      <c r="A61" s="102" t="s">
        <v>361</v>
      </c>
      <c r="B61" t="s">
        <v>613</v>
      </c>
      <c r="C61" s="103" t="s">
        <v>346</v>
      </c>
      <c r="D61" s="23"/>
      <c r="E61" s="96">
        <v>10390.950000000001</v>
      </c>
      <c r="F61" s="115"/>
      <c r="G61" s="115"/>
      <c r="H61" s="112"/>
    </row>
    <row r="62" spans="1:8" x14ac:dyDescent="0.3">
      <c r="A62" s="102" t="s">
        <v>361</v>
      </c>
      <c r="B62" t="s">
        <v>614</v>
      </c>
      <c r="C62" s="103" t="s">
        <v>505</v>
      </c>
      <c r="D62" s="23">
        <v>66800</v>
      </c>
      <c r="E62" s="96">
        <v>60058.26</v>
      </c>
      <c r="F62" s="115">
        <f>SUM(E60:E62)</f>
        <v>412391.69</v>
      </c>
      <c r="G62" s="115">
        <v>412391.69</v>
      </c>
      <c r="H62" s="112">
        <f>F62-G62</f>
        <v>0</v>
      </c>
    </row>
    <row r="63" spans="1:8" x14ac:dyDescent="0.3">
      <c r="A63" s="102" t="s">
        <v>346</v>
      </c>
      <c r="B63" t="s">
        <v>615</v>
      </c>
      <c r="C63" s="103" t="s">
        <v>346</v>
      </c>
      <c r="D63" s="23">
        <v>10000</v>
      </c>
      <c r="E63" s="96">
        <v>374.87</v>
      </c>
      <c r="F63" s="115">
        <f>E63</f>
        <v>374.87</v>
      </c>
      <c r="G63" s="115">
        <v>374.87</v>
      </c>
      <c r="H63" s="112">
        <f>F63-G63</f>
        <v>0</v>
      </c>
    </row>
    <row r="64" spans="1:8" x14ac:dyDescent="0.3">
      <c r="A64" s="102" t="s">
        <v>616</v>
      </c>
      <c r="B64" t="s">
        <v>537</v>
      </c>
      <c r="C64" s="103" t="s">
        <v>537</v>
      </c>
      <c r="D64" s="23">
        <v>65000</v>
      </c>
      <c r="E64" s="96">
        <v>65000.04</v>
      </c>
      <c r="F64" s="115">
        <f>E64</f>
        <v>65000.04</v>
      </c>
      <c r="G64" s="115">
        <v>65000.04</v>
      </c>
      <c r="H64" s="112">
        <f>F64-G64</f>
        <v>0</v>
      </c>
    </row>
    <row r="65" spans="1:8" x14ac:dyDescent="0.3">
      <c r="A65" s="102"/>
      <c r="C65" s="103"/>
      <c r="D65" s="23"/>
      <c r="E65" s="96"/>
      <c r="F65" s="115"/>
      <c r="G65" s="115"/>
      <c r="H65" s="112"/>
    </row>
    <row r="66" spans="1:8" x14ac:dyDescent="0.3">
      <c r="A66" s="102"/>
      <c r="B66" s="116" t="s">
        <v>617</v>
      </c>
      <c r="C66" s="103"/>
      <c r="D66" s="117">
        <f>SUM(D11:D64)</f>
        <v>8478451.120000001</v>
      </c>
      <c r="E66" s="117">
        <f>SUM(E11:E64)</f>
        <v>8802464.4899999984</v>
      </c>
      <c r="F66" s="117">
        <f>SUM(F11:F64)</f>
        <v>8802464.4899999984</v>
      </c>
      <c r="G66" s="117">
        <f>SUM(G11:G64)+G7</f>
        <v>8810323.4899999984</v>
      </c>
      <c r="H66" s="112"/>
    </row>
    <row r="67" spans="1:8" x14ac:dyDescent="0.3">
      <c r="A67" s="102"/>
      <c r="B67" s="103"/>
      <c r="C67" s="103"/>
      <c r="D67" s="23"/>
      <c r="E67" s="96"/>
      <c r="F67" s="115"/>
      <c r="G67" s="115"/>
      <c r="H67" s="112"/>
    </row>
    <row r="68" spans="1:8" x14ac:dyDescent="0.3">
      <c r="E68" s="6"/>
    </row>
    <row r="69" spans="1:8" x14ac:dyDescent="0.3">
      <c r="E69" s="6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4" ma:contentTypeDescription="Een nieuw document maken." ma:contentTypeScope="" ma:versionID="7fd78f2d8fc341e8b9eeec6907ec217e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3076d0522c60d6afd387469cb198da2e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647B9E-ABA5-49B9-9D58-7F1F38A446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FC605-D74A-45BE-8356-DC54858D6AE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e58823c3-9226-4bb7-a434-941750dd95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0D11A2-1F61-4C11-A39C-DD5422BCF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31</vt:i4>
      </vt:variant>
    </vt:vector>
  </HeadingPairs>
  <TitlesOfParts>
    <vt:vector size="31" baseType="lpstr">
      <vt:lpstr>CAW_Antwerpen_2017</vt:lpstr>
      <vt:lpstr>CAW_Antwerpen_2018</vt:lpstr>
      <vt:lpstr>CAW_BML_2017</vt:lpstr>
      <vt:lpstr>CAW_BML_2018</vt:lpstr>
      <vt:lpstr>CAW_Brussel_2017</vt:lpstr>
      <vt:lpstr>CAW_CWVL_2017</vt:lpstr>
      <vt:lpstr>CAW_CWVL_2018</vt:lpstr>
      <vt:lpstr>CAW_De_Kempen_2017</vt:lpstr>
      <vt:lpstr>CAW_De_Kempen_2018</vt:lpstr>
      <vt:lpstr>CAW_HV_2017</vt:lpstr>
      <vt:lpstr>CAW_HV_2018</vt:lpstr>
      <vt:lpstr>CAW_Limburg_2017</vt:lpstr>
      <vt:lpstr>CAW_Limburg_2018</vt:lpstr>
      <vt:lpstr>CAW_NWVL_2017</vt:lpstr>
      <vt:lpstr>CAW_NWVL_2018</vt:lpstr>
      <vt:lpstr>CAW_Oost-Brabant_2017</vt:lpstr>
      <vt:lpstr>CAW_Oost-Brabant_2018</vt:lpstr>
      <vt:lpstr>CAW_Oost-Vlaanderen_2017</vt:lpstr>
      <vt:lpstr>CAW_Oost-Vlaanderen_2018</vt:lpstr>
      <vt:lpstr>CAW_ZWVL_2017</vt:lpstr>
      <vt:lpstr>CAW_ZWVL_2018</vt:lpstr>
      <vt:lpstr>RR_Antwerpen_2018</vt:lpstr>
      <vt:lpstr>RR_BML_2018</vt:lpstr>
      <vt:lpstr>RR_CWVL_2018</vt:lpstr>
      <vt:lpstr>RR_De_Kempen_2018</vt:lpstr>
      <vt:lpstr>RR_HV_2018</vt:lpstr>
      <vt:lpstr>RR_Limburg_2018</vt:lpstr>
      <vt:lpstr>RR_NWVL_2018</vt:lpstr>
      <vt:lpstr>RR_Oost-Brabant_2018</vt:lpstr>
      <vt:lpstr>RR_Oost-Vlaanderen_2018</vt:lpstr>
      <vt:lpstr>RR_ZWVL_2018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Droogenbroeck, Daniel</dc:creator>
  <cp:lastModifiedBy>Goossens, Martine</cp:lastModifiedBy>
  <cp:lastPrinted>2019-08-08T12:49:40Z</cp:lastPrinted>
  <dcterms:created xsi:type="dcterms:W3CDTF">2019-07-22T08:16:39Z</dcterms:created>
  <dcterms:modified xsi:type="dcterms:W3CDTF">2019-08-08T13:46:43Z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_docset_NoMedatataSyncRequired">
    <vt:lpwstr>False</vt:lpwstr>
  </property>
</Properties>
</file>