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4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9.xml" ContentType="application/vnd.ms-excel.controlproperties+xml"/>
  <Override PartName="/xl/ctrlProps/ctrlProp1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20" yWindow="75" windowWidth="19020" windowHeight="8580" tabRatio="609"/>
  </bookViews>
  <sheets>
    <sheet name="Licht vervoer" sheetId="1" r:id="rId1"/>
    <sheet name="Zwaar vervoer" sheetId="2" r:id="rId2"/>
    <sheet name=" Fietsers " sheetId="6" r:id="rId3"/>
    <sheet name="Voetgangers" sheetId="4" r:id="rId4"/>
    <sheet name="Stromendiagram periode 1" sheetId="12" r:id="rId5"/>
    <sheet name="Stromendiagram periode 2" sheetId="5" r:id="rId6"/>
    <sheet name="Samenvattende telresultaten 1" sheetId="7" state="hidden" r:id="rId7"/>
    <sheet name="Samenvattende telresultaten 2" sheetId="9" state="hidden" r:id="rId8"/>
    <sheet name="Licht en zwaar vervoer+fietsers" sheetId="3" state="hidden" r:id="rId9"/>
  </sheets>
  <definedNames>
    <definedName name="_xlnm.Print_Area" localSheetId="2">' Fietsers '!$A$1:$R$43</definedName>
    <definedName name="_xlnm.Print_Area" localSheetId="0">'Licht vervoer'!$A$1:$R$36</definedName>
    <definedName name="_xlnm.Print_Area" localSheetId="4">'Stromendiagram periode 1'!$A$1:$BE$68</definedName>
    <definedName name="_xlnm.Print_Area" localSheetId="5">'Stromendiagram periode 2'!$A$1:$BE$68</definedName>
    <definedName name="_xlnm.Print_Area" localSheetId="3">Voetgangers!$A$1:$R$40</definedName>
    <definedName name="_xlnm.Print_Area" localSheetId="1">'Zwaar vervoer'!$A$1:$R$36</definedName>
  </definedNames>
  <calcPr calcId="162913"/>
</workbook>
</file>

<file path=xl/calcChain.xml><?xml version="1.0" encoding="utf-8"?>
<calcChain xmlns="http://schemas.openxmlformats.org/spreadsheetml/2006/main">
  <c r="M33" i="6" l="1"/>
  <c r="T26" i="7"/>
  <c r="F21" i="7"/>
  <c r="H22" i="7"/>
  <c r="F23" i="7"/>
  <c r="E17" i="3"/>
  <c r="S19" i="6"/>
  <c r="F27" i="7"/>
  <c r="P3" i="2"/>
  <c r="I23" i="7"/>
  <c r="F25" i="7"/>
  <c r="G33" i="6"/>
  <c r="J33" i="6"/>
  <c r="P33" i="6"/>
  <c r="P13" i="6"/>
  <c r="M13" i="6"/>
  <c r="J13" i="6"/>
  <c r="G13" i="6"/>
  <c r="G13" i="3"/>
  <c r="M26" i="7"/>
  <c r="M44" i="7" s="1"/>
  <c r="M27" i="7"/>
  <c r="T27" i="7"/>
  <c r="U19" i="6"/>
  <c r="U20" i="6"/>
  <c r="G21" i="9"/>
  <c r="G5" i="9"/>
  <c r="G13" i="9"/>
  <c r="J21" i="9"/>
  <c r="J5" i="9"/>
  <c r="J13" i="9"/>
  <c r="M21" i="9"/>
  <c r="M5" i="9"/>
  <c r="M39" i="9" s="1"/>
  <c r="M13" i="9"/>
  <c r="P21" i="9"/>
  <c r="P5" i="9"/>
  <c r="P13" i="9"/>
  <c r="N38" i="3"/>
  <c r="O5" i="9"/>
  <c r="O13" i="9"/>
  <c r="P38" i="3"/>
  <c r="Q5" i="9"/>
  <c r="Q13" i="9"/>
  <c r="L21" i="9"/>
  <c r="L5" i="9"/>
  <c r="L13" i="9"/>
  <c r="L39" i="9"/>
  <c r="N21" i="9"/>
  <c r="N5" i="9"/>
  <c r="N39" i="9" s="1"/>
  <c r="N13" i="9"/>
  <c r="F21" i="9"/>
  <c r="F5" i="9"/>
  <c r="F39" i="9" s="1"/>
  <c r="F13" i="9"/>
  <c r="H21" i="9"/>
  <c r="H39" i="9" s="1"/>
  <c r="H5" i="9"/>
  <c r="H13" i="9"/>
  <c r="I21" i="9"/>
  <c r="I5" i="9"/>
  <c r="I13" i="9"/>
  <c r="K5" i="9"/>
  <c r="K13" i="9"/>
  <c r="O22" i="9"/>
  <c r="O6" i="9"/>
  <c r="O14" i="9"/>
  <c r="P22" i="9"/>
  <c r="P6" i="9"/>
  <c r="P14" i="9"/>
  <c r="Q22" i="9"/>
  <c r="Q6" i="9"/>
  <c r="Q14" i="9"/>
  <c r="L22" i="9"/>
  <c r="L40" i="9" s="1"/>
  <c r="L6" i="9"/>
  <c r="L14" i="9"/>
  <c r="M22" i="9"/>
  <c r="M6" i="9"/>
  <c r="M14" i="9"/>
  <c r="N22" i="9"/>
  <c r="N6" i="9"/>
  <c r="N14" i="9"/>
  <c r="F22" i="9"/>
  <c r="F6" i="9"/>
  <c r="F14" i="9"/>
  <c r="F40" i="9" s="1"/>
  <c r="G22" i="9"/>
  <c r="G6" i="9"/>
  <c r="G40" i="9" s="1"/>
  <c r="G14" i="9"/>
  <c r="H22" i="9"/>
  <c r="H6" i="9"/>
  <c r="H14" i="9"/>
  <c r="I22" i="9"/>
  <c r="I6" i="9"/>
  <c r="I14" i="9"/>
  <c r="J22" i="9"/>
  <c r="J6" i="9"/>
  <c r="J14" i="9"/>
  <c r="K42" i="6"/>
  <c r="K6" i="9"/>
  <c r="K14" i="9"/>
  <c r="V36" i="6"/>
  <c r="O7" i="9"/>
  <c r="O15" i="9"/>
  <c r="P23" i="9"/>
  <c r="P7" i="9"/>
  <c r="P15" i="9"/>
  <c r="P40" i="3"/>
  <c r="Q23" i="9"/>
  <c r="Q7" i="9"/>
  <c r="Q15" i="9"/>
  <c r="L23" i="9"/>
  <c r="L7" i="9"/>
  <c r="L15" i="9"/>
  <c r="M23" i="9"/>
  <c r="M7" i="9"/>
  <c r="M15" i="9"/>
  <c r="M41" i="9"/>
  <c r="M40" i="3"/>
  <c r="N7" i="9"/>
  <c r="N15" i="9"/>
  <c r="F23" i="9"/>
  <c r="F7" i="9"/>
  <c r="F15" i="9"/>
  <c r="G23" i="9"/>
  <c r="G7" i="9"/>
  <c r="G15" i="9"/>
  <c r="H23" i="9"/>
  <c r="H7" i="9"/>
  <c r="H15" i="9"/>
  <c r="H41" i="9" s="1"/>
  <c r="I23" i="9"/>
  <c r="I7" i="9"/>
  <c r="I15" i="9"/>
  <c r="J23" i="9"/>
  <c r="J41" i="9" s="1"/>
  <c r="J7" i="9"/>
  <c r="J15" i="9"/>
  <c r="J40" i="3"/>
  <c r="K23" i="9"/>
  <c r="K7" i="9"/>
  <c r="K15" i="9"/>
  <c r="N41" i="3"/>
  <c r="O8" i="9"/>
  <c r="O16" i="9"/>
  <c r="P24" i="9"/>
  <c r="P8" i="9"/>
  <c r="P16" i="9"/>
  <c r="P41" i="3"/>
  <c r="Q24" i="9"/>
  <c r="Q8" i="9"/>
  <c r="Q16" i="9"/>
  <c r="L24" i="9"/>
  <c r="L8" i="9"/>
  <c r="L16" i="9"/>
  <c r="M24" i="9"/>
  <c r="M8" i="9"/>
  <c r="M16" i="9"/>
  <c r="N24" i="9"/>
  <c r="N8" i="9"/>
  <c r="N16" i="9"/>
  <c r="F24" i="9"/>
  <c r="F42" i="9" s="1"/>
  <c r="F8" i="9"/>
  <c r="F16" i="9"/>
  <c r="G24" i="9"/>
  <c r="G8" i="9"/>
  <c r="G16" i="9"/>
  <c r="S37" i="6"/>
  <c r="H8" i="9"/>
  <c r="H16" i="9"/>
  <c r="H41" i="3"/>
  <c r="I24" i="9"/>
  <c r="I8" i="9"/>
  <c r="I16" i="9"/>
  <c r="J24" i="9"/>
  <c r="J8" i="9"/>
  <c r="J16" i="9"/>
  <c r="J42" i="9" s="1"/>
  <c r="K24" i="9"/>
  <c r="K8" i="9"/>
  <c r="K16" i="9"/>
  <c r="O25" i="9"/>
  <c r="O9" i="9"/>
  <c r="O17" i="9"/>
  <c r="P25" i="9"/>
  <c r="P9" i="9"/>
  <c r="P17" i="9"/>
  <c r="Q25" i="9"/>
  <c r="Q9" i="9"/>
  <c r="Q17" i="9"/>
  <c r="L25" i="9"/>
  <c r="L9" i="9"/>
  <c r="L17" i="9"/>
  <c r="L43" i="9"/>
  <c r="M25" i="9"/>
  <c r="M9" i="9"/>
  <c r="M43" i="9" s="1"/>
  <c r="M17" i="9"/>
  <c r="N25" i="9"/>
  <c r="N9" i="9"/>
  <c r="N43" i="9"/>
  <c r="N17" i="9"/>
  <c r="F25" i="9"/>
  <c r="F9" i="9"/>
  <c r="F43" i="9" s="1"/>
  <c r="F17" i="9"/>
  <c r="G25" i="9"/>
  <c r="G9" i="9"/>
  <c r="G17" i="9"/>
  <c r="G42" i="3"/>
  <c r="H9" i="9"/>
  <c r="H17" i="9"/>
  <c r="I25" i="9"/>
  <c r="I9" i="9"/>
  <c r="I17" i="9"/>
  <c r="J25" i="9"/>
  <c r="J9" i="9"/>
  <c r="J43" i="9" s="1"/>
  <c r="J17" i="9"/>
  <c r="K25" i="9"/>
  <c r="K9" i="9"/>
  <c r="K17" i="9"/>
  <c r="V39" i="6"/>
  <c r="O26" i="9"/>
  <c r="O10" i="9"/>
  <c r="O18" i="9"/>
  <c r="P26" i="9"/>
  <c r="P10" i="9"/>
  <c r="P18" i="9"/>
  <c r="Q26" i="9"/>
  <c r="Q10" i="9"/>
  <c r="Q44" i="9" s="1"/>
  <c r="Q18" i="9"/>
  <c r="L26" i="9"/>
  <c r="L10" i="9"/>
  <c r="L18" i="9"/>
  <c r="M26" i="9"/>
  <c r="M10" i="9"/>
  <c r="M18" i="9"/>
  <c r="M44" i="9"/>
  <c r="N26" i="9"/>
  <c r="N10" i="9"/>
  <c r="N18" i="9"/>
  <c r="N44" i="9"/>
  <c r="E43" i="3"/>
  <c r="F26" i="9"/>
  <c r="F10" i="9"/>
  <c r="F18" i="9"/>
  <c r="G26" i="9"/>
  <c r="G10" i="9"/>
  <c r="G18" i="9"/>
  <c r="G44" i="9" s="1"/>
  <c r="H26" i="9"/>
  <c r="H10" i="9"/>
  <c r="H18" i="9"/>
  <c r="I26" i="9"/>
  <c r="I10" i="9"/>
  <c r="I18" i="9"/>
  <c r="J26" i="9"/>
  <c r="J10" i="9"/>
  <c r="J18" i="9"/>
  <c r="J44" i="9" s="1"/>
  <c r="K26" i="9"/>
  <c r="K10" i="9"/>
  <c r="K18" i="9"/>
  <c r="O27" i="9"/>
  <c r="O11" i="9"/>
  <c r="O19" i="9"/>
  <c r="P27" i="9"/>
  <c r="P11" i="9"/>
  <c r="P19" i="9"/>
  <c r="Q27" i="9"/>
  <c r="Q11" i="9"/>
  <c r="Q45" i="9" s="1"/>
  <c r="Q19" i="9"/>
  <c r="L27" i="9"/>
  <c r="L11" i="9"/>
  <c r="L19" i="9"/>
  <c r="M27" i="9"/>
  <c r="M11" i="9"/>
  <c r="M19" i="9"/>
  <c r="N27" i="9"/>
  <c r="N11" i="9"/>
  <c r="N19" i="9"/>
  <c r="S40" i="6"/>
  <c r="F11" i="9"/>
  <c r="F45" i="9" s="1"/>
  <c r="F19" i="9"/>
  <c r="G27" i="9"/>
  <c r="G11" i="9"/>
  <c r="G19" i="9"/>
  <c r="H27" i="9"/>
  <c r="H11" i="9"/>
  <c r="H45" i="9" s="1"/>
  <c r="H19" i="9"/>
  <c r="T40" i="6"/>
  <c r="R40" i="6" s="1"/>
  <c r="H44" i="3"/>
  <c r="I11" i="9"/>
  <c r="I45" i="9" s="1"/>
  <c r="I19" i="9"/>
  <c r="J27" i="9"/>
  <c r="J11" i="9"/>
  <c r="J19" i="9"/>
  <c r="K27" i="9"/>
  <c r="K11" i="9"/>
  <c r="K19" i="9"/>
  <c r="O28" i="9"/>
  <c r="O12" i="9"/>
  <c r="O20" i="9"/>
  <c r="O46" i="9" s="1"/>
  <c r="P28" i="9"/>
  <c r="P12" i="9"/>
  <c r="P20" i="9"/>
  <c r="P46" i="9" s="1"/>
  <c r="P45" i="3"/>
  <c r="Q12" i="9"/>
  <c r="Q20" i="9"/>
  <c r="L28" i="9"/>
  <c r="L12" i="9"/>
  <c r="L20" i="9"/>
  <c r="M28" i="9"/>
  <c r="M12" i="9"/>
  <c r="M20" i="9"/>
  <c r="N28" i="9"/>
  <c r="N12" i="9"/>
  <c r="N20" i="9"/>
  <c r="N46" i="9" s="1"/>
  <c r="F28" i="9"/>
  <c r="F12" i="9"/>
  <c r="F20" i="9"/>
  <c r="G28" i="9"/>
  <c r="G12" i="9"/>
  <c r="G20" i="9"/>
  <c r="G45" i="3"/>
  <c r="H28" i="9"/>
  <c r="H12" i="9"/>
  <c r="H20" i="9"/>
  <c r="H46" i="9" s="1"/>
  <c r="I28" i="9"/>
  <c r="I12" i="9"/>
  <c r="I20" i="9"/>
  <c r="J28" i="9"/>
  <c r="J12" i="9"/>
  <c r="J20" i="9"/>
  <c r="K28" i="9"/>
  <c r="K12" i="9"/>
  <c r="K46" i="9" s="1"/>
  <c r="K20" i="9"/>
  <c r="AB5" i="9"/>
  <c r="AB6" i="9"/>
  <c r="AB7" i="9"/>
  <c r="AB8" i="9"/>
  <c r="AB9" i="9"/>
  <c r="AB10" i="9"/>
  <c r="AB11" i="9"/>
  <c r="AB12" i="9"/>
  <c r="AB13" i="9"/>
  <c r="AB14" i="9"/>
  <c r="AB15" i="9"/>
  <c r="AB16" i="9"/>
  <c r="AB17" i="9"/>
  <c r="AB18" i="9"/>
  <c r="AB19" i="9"/>
  <c r="AB20" i="9"/>
  <c r="U21" i="9"/>
  <c r="AB21" i="9"/>
  <c r="AB22" i="9"/>
  <c r="U22" i="9"/>
  <c r="AB23" i="9"/>
  <c r="U23" i="9"/>
  <c r="AB24" i="9"/>
  <c r="U24" i="9"/>
  <c r="AB25" i="9"/>
  <c r="U25" i="9"/>
  <c r="AB26" i="9"/>
  <c r="U26" i="9"/>
  <c r="AB27" i="9"/>
  <c r="U27" i="9"/>
  <c r="AB28" i="9"/>
  <c r="U28" i="9"/>
  <c r="AB29" i="9"/>
  <c r="AB30" i="9"/>
  <c r="AB31" i="9"/>
  <c r="AB32" i="9"/>
  <c r="AB33" i="9"/>
  <c r="AB34" i="9"/>
  <c r="AB35" i="9"/>
  <c r="AB36" i="9"/>
  <c r="T21" i="9"/>
  <c r="T22" i="9"/>
  <c r="T23" i="9"/>
  <c r="T24" i="9"/>
  <c r="T25" i="9"/>
  <c r="T26" i="9"/>
  <c r="T27" i="9"/>
  <c r="T28" i="9"/>
  <c r="S21" i="9"/>
  <c r="S22" i="9"/>
  <c r="S23" i="9"/>
  <c r="S24" i="9"/>
  <c r="S25" i="9"/>
  <c r="S26" i="9"/>
  <c r="S27" i="9"/>
  <c r="S28" i="9"/>
  <c r="R21" i="9"/>
  <c r="R22" i="9"/>
  <c r="R23" i="9"/>
  <c r="R24" i="9"/>
  <c r="R25" i="9"/>
  <c r="R26" i="9"/>
  <c r="R27" i="9"/>
  <c r="R28" i="9"/>
  <c r="G21" i="7"/>
  <c r="G5" i="7"/>
  <c r="G13" i="7"/>
  <c r="J21" i="7"/>
  <c r="J5" i="7"/>
  <c r="J13" i="7"/>
  <c r="M21" i="7"/>
  <c r="M5" i="7"/>
  <c r="M13" i="7"/>
  <c r="M39" i="7" s="1"/>
  <c r="P21" i="7"/>
  <c r="P5" i="7"/>
  <c r="P13" i="7"/>
  <c r="P39" i="7" s="1"/>
  <c r="O22" i="6"/>
  <c r="O21" i="7"/>
  <c r="O5" i="7"/>
  <c r="O13" i="7"/>
  <c r="Q22" i="6"/>
  <c r="Q21" i="7"/>
  <c r="Q5" i="7"/>
  <c r="Q13" i="7"/>
  <c r="L21" i="7"/>
  <c r="L5" i="7"/>
  <c r="L13" i="7"/>
  <c r="N21" i="7"/>
  <c r="N5" i="7"/>
  <c r="N39" i="7" s="1"/>
  <c r="N13" i="7"/>
  <c r="F5" i="7"/>
  <c r="F39" i="7"/>
  <c r="F13" i="7"/>
  <c r="H21" i="7"/>
  <c r="H5" i="7"/>
  <c r="H13" i="7"/>
  <c r="T14" i="6"/>
  <c r="I5" i="7"/>
  <c r="I13" i="7"/>
  <c r="J13" i="3"/>
  <c r="K5" i="7"/>
  <c r="K13" i="7"/>
  <c r="N14" i="3"/>
  <c r="O22" i="7"/>
  <c r="O6" i="7"/>
  <c r="O14" i="7"/>
  <c r="O40" i="7" s="1"/>
  <c r="P22" i="7"/>
  <c r="P40" i="7" s="1"/>
  <c r="P6" i="7"/>
  <c r="P14" i="7"/>
  <c r="Q22" i="7"/>
  <c r="Q6" i="7"/>
  <c r="Q14" i="7"/>
  <c r="L22" i="7"/>
  <c r="L6" i="7"/>
  <c r="L14" i="7"/>
  <c r="M22" i="7"/>
  <c r="M6" i="7"/>
  <c r="M40" i="7"/>
  <c r="M14" i="7"/>
  <c r="N22" i="7"/>
  <c r="N6" i="7"/>
  <c r="N14" i="7"/>
  <c r="S15" i="6"/>
  <c r="F22" i="7"/>
  <c r="F6" i="7"/>
  <c r="F40" i="7" s="1"/>
  <c r="F14" i="7"/>
  <c r="G22" i="7"/>
  <c r="G6" i="7"/>
  <c r="G14" i="7"/>
  <c r="H6" i="7"/>
  <c r="H14" i="7"/>
  <c r="I22" i="7"/>
  <c r="I6" i="7"/>
  <c r="I14" i="7"/>
  <c r="J22" i="7"/>
  <c r="J6" i="7"/>
  <c r="J14" i="7"/>
  <c r="K22" i="7"/>
  <c r="K6" i="7"/>
  <c r="K14" i="7"/>
  <c r="O23" i="7"/>
  <c r="O7" i="7"/>
  <c r="O41" i="7" s="1"/>
  <c r="O15" i="7"/>
  <c r="P23" i="7"/>
  <c r="P41" i="7" s="1"/>
  <c r="P7" i="7"/>
  <c r="P15" i="7"/>
  <c r="Q23" i="7"/>
  <c r="Q7" i="7"/>
  <c r="Q15" i="7"/>
  <c r="L23" i="7"/>
  <c r="L7" i="7"/>
  <c r="L15" i="7"/>
  <c r="L41" i="7"/>
  <c r="M23" i="7"/>
  <c r="M7" i="7"/>
  <c r="M15" i="7"/>
  <c r="N23" i="7"/>
  <c r="N7" i="7"/>
  <c r="N41" i="7" s="1"/>
  <c r="N15" i="7"/>
  <c r="E15" i="3"/>
  <c r="F7" i="7"/>
  <c r="F15" i="7"/>
  <c r="G23" i="7"/>
  <c r="G7" i="7"/>
  <c r="G15" i="7"/>
  <c r="H23" i="7"/>
  <c r="H41" i="7" s="1"/>
  <c r="H7" i="7"/>
  <c r="H15" i="7"/>
  <c r="I7" i="7"/>
  <c r="I15" i="7"/>
  <c r="I41" i="7" s="1"/>
  <c r="J23" i="7"/>
  <c r="J7" i="7"/>
  <c r="J15" i="7"/>
  <c r="J41" i="7" s="1"/>
  <c r="J15" i="3"/>
  <c r="K23" i="7"/>
  <c r="K7" i="7"/>
  <c r="K15" i="7"/>
  <c r="K41" i="7" s="1"/>
  <c r="O24" i="7"/>
  <c r="O8" i="7"/>
  <c r="O16" i="7"/>
  <c r="P24" i="7"/>
  <c r="P8" i="7"/>
  <c r="P16" i="7"/>
  <c r="V17" i="6"/>
  <c r="Q8" i="7"/>
  <c r="Q16" i="7"/>
  <c r="Q42" i="7"/>
  <c r="L24" i="7"/>
  <c r="L8" i="7"/>
  <c r="L16" i="7"/>
  <c r="M24" i="7"/>
  <c r="M8" i="7"/>
  <c r="M16" i="7"/>
  <c r="M42" i="7"/>
  <c r="M16" i="3"/>
  <c r="N8" i="7"/>
  <c r="N16" i="7"/>
  <c r="F24" i="7"/>
  <c r="F8" i="7"/>
  <c r="F16" i="7"/>
  <c r="G24" i="7"/>
  <c r="G8" i="7"/>
  <c r="G16" i="7"/>
  <c r="H24" i="7"/>
  <c r="H8" i="7"/>
  <c r="H16" i="7"/>
  <c r="T17" i="6"/>
  <c r="I8" i="7"/>
  <c r="I16" i="7"/>
  <c r="J24" i="7"/>
  <c r="J8" i="7"/>
  <c r="J16" i="7"/>
  <c r="K24" i="7"/>
  <c r="K8" i="7"/>
  <c r="K16" i="7"/>
  <c r="O25" i="7"/>
  <c r="O9" i="7"/>
  <c r="O17" i="7"/>
  <c r="P25" i="7"/>
  <c r="P9" i="7"/>
  <c r="P43" i="7" s="1"/>
  <c r="P17" i="7"/>
  <c r="Q25" i="7"/>
  <c r="Q9" i="7"/>
  <c r="Q17" i="7"/>
  <c r="Q43" i="7" s="1"/>
  <c r="K17" i="3"/>
  <c r="L9" i="7"/>
  <c r="L17" i="7"/>
  <c r="M25" i="7"/>
  <c r="M9" i="7"/>
  <c r="M43" i="7" s="1"/>
  <c r="M17" i="7"/>
  <c r="N25" i="7"/>
  <c r="N43" i="7" s="1"/>
  <c r="N9" i="7"/>
  <c r="N17" i="7"/>
  <c r="F9" i="7"/>
  <c r="F17" i="7"/>
  <c r="G25" i="7"/>
  <c r="G9" i="7"/>
  <c r="G17" i="7"/>
  <c r="G17" i="3"/>
  <c r="H9" i="7"/>
  <c r="H17" i="7"/>
  <c r="I25" i="7"/>
  <c r="I43" i="7" s="1"/>
  <c r="I9" i="7"/>
  <c r="I17" i="7"/>
  <c r="J25" i="7"/>
  <c r="J9" i="7"/>
  <c r="J17" i="7"/>
  <c r="J17" i="3"/>
  <c r="K9" i="7"/>
  <c r="K17" i="7"/>
  <c r="K43" i="7" s="1"/>
  <c r="O26" i="7"/>
  <c r="O10" i="7"/>
  <c r="O18" i="7"/>
  <c r="P26" i="7"/>
  <c r="P10" i="7"/>
  <c r="P18" i="7"/>
  <c r="P18" i="3"/>
  <c r="Q10" i="7"/>
  <c r="Q18" i="7"/>
  <c r="L26" i="7"/>
  <c r="L10" i="7"/>
  <c r="L18" i="7"/>
  <c r="L44" i="7"/>
  <c r="M10" i="7"/>
  <c r="M18" i="7"/>
  <c r="N26" i="7"/>
  <c r="N10" i="7"/>
  <c r="N44" i="7" s="1"/>
  <c r="N18" i="7"/>
  <c r="F26" i="7"/>
  <c r="F10" i="7"/>
  <c r="F18" i="7"/>
  <c r="G26" i="7"/>
  <c r="G10" i="7"/>
  <c r="G18" i="7"/>
  <c r="G44" i="7" s="1"/>
  <c r="H26" i="7"/>
  <c r="H10" i="7"/>
  <c r="H18" i="7"/>
  <c r="H44" i="7" s="1"/>
  <c r="I26" i="7"/>
  <c r="I10" i="7"/>
  <c r="I18" i="7"/>
  <c r="J26" i="7"/>
  <c r="J10" i="7"/>
  <c r="J18" i="7"/>
  <c r="K26" i="7"/>
  <c r="K10" i="7"/>
  <c r="K18" i="7"/>
  <c r="O27" i="7"/>
  <c r="O11" i="7"/>
  <c r="O19" i="7"/>
  <c r="P27" i="7"/>
  <c r="P11" i="7"/>
  <c r="P19" i="7"/>
  <c r="Q27" i="7"/>
  <c r="Q11" i="7"/>
  <c r="Q19" i="7"/>
  <c r="L27" i="7"/>
  <c r="L11" i="7"/>
  <c r="L19" i="7"/>
  <c r="L45" i="7"/>
  <c r="M11" i="7"/>
  <c r="M19" i="7"/>
  <c r="M45" i="7"/>
  <c r="N27" i="7"/>
  <c r="N11" i="7"/>
  <c r="N19" i="7"/>
  <c r="F11" i="7"/>
  <c r="F19" i="7"/>
  <c r="F45" i="7" s="1"/>
  <c r="G27" i="7"/>
  <c r="G11" i="7"/>
  <c r="G19" i="7"/>
  <c r="H27" i="7"/>
  <c r="H11" i="7"/>
  <c r="H19" i="7"/>
  <c r="H19" i="3"/>
  <c r="I27" i="7"/>
  <c r="I11" i="7"/>
  <c r="I19" i="7"/>
  <c r="I45" i="7" s="1"/>
  <c r="J27" i="7"/>
  <c r="J11" i="7"/>
  <c r="J19" i="7"/>
  <c r="K27" i="7"/>
  <c r="K11" i="7"/>
  <c r="K19" i="7"/>
  <c r="K45" i="7" s="1"/>
  <c r="V21" i="6"/>
  <c r="O28" i="7"/>
  <c r="O12" i="7"/>
  <c r="O20" i="7"/>
  <c r="O46" i="7" s="1"/>
  <c r="P28" i="7"/>
  <c r="P12" i="7"/>
  <c r="P20" i="7"/>
  <c r="Q28" i="7"/>
  <c r="Q12" i="7"/>
  <c r="Q20" i="7"/>
  <c r="L28" i="7"/>
  <c r="L46" i="7" s="1"/>
  <c r="L12" i="7"/>
  <c r="L20" i="7"/>
  <c r="M28" i="7"/>
  <c r="M12" i="7"/>
  <c r="M20" i="7"/>
  <c r="N28" i="7"/>
  <c r="N12" i="7"/>
  <c r="N20" i="7"/>
  <c r="F28" i="7"/>
  <c r="F12" i="7"/>
  <c r="F20" i="7"/>
  <c r="G28" i="7"/>
  <c r="G12" i="7"/>
  <c r="G20" i="7"/>
  <c r="H28" i="7"/>
  <c r="H12" i="7"/>
  <c r="H20" i="7"/>
  <c r="T21" i="6"/>
  <c r="I28" i="7"/>
  <c r="I12" i="7"/>
  <c r="I20" i="7"/>
  <c r="J28" i="7"/>
  <c r="J12" i="7"/>
  <c r="J20" i="7"/>
  <c r="J46" i="7"/>
  <c r="K28" i="7"/>
  <c r="K12" i="7"/>
  <c r="K20" i="7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U21" i="7"/>
  <c r="AB21" i="7"/>
  <c r="U22" i="7"/>
  <c r="AB22" i="7"/>
  <c r="U23" i="7"/>
  <c r="AB23" i="7"/>
  <c r="U24" i="7"/>
  <c r="AB24" i="7"/>
  <c r="U25" i="7"/>
  <c r="AB25" i="7"/>
  <c r="U26" i="7"/>
  <c r="AB26" i="7"/>
  <c r="U27" i="7"/>
  <c r="AB27" i="7"/>
  <c r="U28" i="7"/>
  <c r="AB28" i="7"/>
  <c r="AB29" i="7"/>
  <c r="AB30" i="7"/>
  <c r="AB31" i="7"/>
  <c r="AB32" i="7"/>
  <c r="AB33" i="7"/>
  <c r="AB34" i="7"/>
  <c r="AB35" i="7"/>
  <c r="AB36" i="7"/>
  <c r="T21" i="7"/>
  <c r="T22" i="7"/>
  <c r="T23" i="7"/>
  <c r="T24" i="7"/>
  <c r="T25" i="7"/>
  <c r="T28" i="7"/>
  <c r="S21" i="7"/>
  <c r="S22" i="7"/>
  <c r="S23" i="7"/>
  <c r="S24" i="7"/>
  <c r="S25" i="7"/>
  <c r="S26" i="7"/>
  <c r="S27" i="7"/>
  <c r="S28" i="7"/>
  <c r="R21" i="7"/>
  <c r="R22" i="7"/>
  <c r="R23" i="7"/>
  <c r="R24" i="7"/>
  <c r="R25" i="7"/>
  <c r="R26" i="7"/>
  <c r="R27" i="7"/>
  <c r="R28" i="7"/>
  <c r="C39" i="1"/>
  <c r="D11" i="1"/>
  <c r="D11" i="2"/>
  <c r="R37" i="4"/>
  <c r="R34" i="4"/>
  <c r="R35" i="4"/>
  <c r="R32" i="4"/>
  <c r="R39" i="4"/>
  <c r="R13" i="4"/>
  <c r="R14" i="4"/>
  <c r="R20" i="4"/>
  <c r="R19" i="4"/>
  <c r="R26" i="4" s="1"/>
  <c r="B10" i="4"/>
  <c r="B43" i="4"/>
  <c r="B29" i="4"/>
  <c r="B44" i="4"/>
  <c r="A13" i="1"/>
  <c r="D13" i="1"/>
  <c r="B39" i="7"/>
  <c r="Y29" i="7"/>
  <c r="Y30" i="7"/>
  <c r="Y31" i="7"/>
  <c r="Y32" i="7"/>
  <c r="Y33" i="7"/>
  <c r="Y34" i="7"/>
  <c r="Y35" i="7"/>
  <c r="Y36" i="7"/>
  <c r="X29" i="7"/>
  <c r="X30" i="7"/>
  <c r="X31" i="7"/>
  <c r="X32" i="7"/>
  <c r="X33" i="7"/>
  <c r="X34" i="7"/>
  <c r="X35" i="7"/>
  <c r="X36" i="7"/>
  <c r="W29" i="7"/>
  <c r="W30" i="7"/>
  <c r="W31" i="7"/>
  <c r="W32" i="7"/>
  <c r="W33" i="7"/>
  <c r="W34" i="7"/>
  <c r="W35" i="7"/>
  <c r="W36" i="7"/>
  <c r="V29" i="7"/>
  <c r="V30" i="7"/>
  <c r="V31" i="7"/>
  <c r="V32" i="7"/>
  <c r="V33" i="7"/>
  <c r="V34" i="7"/>
  <c r="V35" i="7"/>
  <c r="V36" i="7"/>
  <c r="E3" i="12"/>
  <c r="O3" i="12"/>
  <c r="AY3" i="12"/>
  <c r="E4" i="12"/>
  <c r="AY4" i="12"/>
  <c r="E5" i="12"/>
  <c r="O5" i="12"/>
  <c r="AY5" i="12"/>
  <c r="E6" i="12"/>
  <c r="O6" i="12"/>
  <c r="AY6" i="12"/>
  <c r="E7" i="12"/>
  <c r="O7" i="12"/>
  <c r="AY7" i="12"/>
  <c r="O8" i="12"/>
  <c r="Q9" i="12"/>
  <c r="A37" i="12"/>
  <c r="BE37" i="12"/>
  <c r="Q67" i="12"/>
  <c r="A27" i="1"/>
  <c r="B39" i="9"/>
  <c r="T48" i="9" s="1"/>
  <c r="D27" i="1"/>
  <c r="D27" i="2"/>
  <c r="E13" i="9" s="1"/>
  <c r="Y29" i="9"/>
  <c r="Y30" i="9"/>
  <c r="Y31" i="9"/>
  <c r="Y32" i="9"/>
  <c r="Y33" i="9"/>
  <c r="Y34" i="9"/>
  <c r="Y35" i="9"/>
  <c r="Y36" i="9"/>
  <c r="V29" i="9"/>
  <c r="V30" i="9"/>
  <c r="V31" i="9"/>
  <c r="V32" i="9"/>
  <c r="V33" i="9"/>
  <c r="V34" i="9"/>
  <c r="V35" i="9"/>
  <c r="V36" i="9"/>
  <c r="X29" i="9"/>
  <c r="X30" i="9"/>
  <c r="X31" i="9"/>
  <c r="X32" i="9"/>
  <c r="X33" i="9"/>
  <c r="X34" i="9"/>
  <c r="X35" i="9"/>
  <c r="X36" i="9"/>
  <c r="W29" i="9"/>
  <c r="W30" i="9"/>
  <c r="W31" i="9"/>
  <c r="W32" i="9"/>
  <c r="W33" i="9"/>
  <c r="W34" i="9"/>
  <c r="W35" i="9"/>
  <c r="W36" i="9"/>
  <c r="R33" i="4"/>
  <c r="R36" i="4"/>
  <c r="R38" i="4"/>
  <c r="P40" i="4"/>
  <c r="M40" i="4"/>
  <c r="J40" i="4"/>
  <c r="G40" i="4"/>
  <c r="R15" i="4"/>
  <c r="R22" i="4" s="1"/>
  <c r="R16" i="4"/>
  <c r="R17" i="4"/>
  <c r="R18" i="4"/>
  <c r="P21" i="4"/>
  <c r="M21" i="4"/>
  <c r="J21" i="4"/>
  <c r="G21" i="4"/>
  <c r="P25" i="2"/>
  <c r="O25" i="2"/>
  <c r="K25" i="2"/>
  <c r="J25" i="2"/>
  <c r="H25" i="2"/>
  <c r="G25" i="2"/>
  <c r="F25" i="2"/>
  <c r="P11" i="2"/>
  <c r="O11" i="2"/>
  <c r="K11" i="2"/>
  <c r="J11" i="2"/>
  <c r="H11" i="2"/>
  <c r="G11" i="2"/>
  <c r="F11" i="2"/>
  <c r="P25" i="1"/>
  <c r="O25" i="1"/>
  <c r="K25" i="1"/>
  <c r="J25" i="1"/>
  <c r="H25" i="1"/>
  <c r="G25" i="1"/>
  <c r="F25" i="1"/>
  <c r="Q12" i="6"/>
  <c r="Q32" i="6"/>
  <c r="P12" i="6"/>
  <c r="P32" i="6"/>
  <c r="O12" i="6"/>
  <c r="O32" i="6"/>
  <c r="N12" i="6"/>
  <c r="N32" i="6"/>
  <c r="M12" i="6"/>
  <c r="M32" i="6"/>
  <c r="L12" i="6"/>
  <c r="L32" i="6"/>
  <c r="K12" i="6"/>
  <c r="K32" i="6"/>
  <c r="J12" i="6"/>
  <c r="J32" i="6"/>
  <c r="I12" i="6"/>
  <c r="I32" i="6"/>
  <c r="H12" i="6"/>
  <c r="H32" i="6"/>
  <c r="G12" i="6"/>
  <c r="G32" i="6"/>
  <c r="F12" i="6"/>
  <c r="F32" i="6"/>
  <c r="A37" i="5"/>
  <c r="BE37" i="5"/>
  <c r="Q9" i="5"/>
  <c r="Q67" i="5"/>
  <c r="AY7" i="5"/>
  <c r="AY6" i="5"/>
  <c r="AY5" i="5"/>
  <c r="AY4" i="5"/>
  <c r="AY3" i="5"/>
  <c r="E7" i="5"/>
  <c r="E6" i="5"/>
  <c r="E5" i="5"/>
  <c r="E4" i="5"/>
  <c r="E3" i="5"/>
  <c r="P7" i="4"/>
  <c r="P6" i="4"/>
  <c r="P5" i="4"/>
  <c r="P4" i="4"/>
  <c r="P3" i="4"/>
  <c r="J8" i="4"/>
  <c r="J7" i="4"/>
  <c r="J6" i="4"/>
  <c r="J5" i="4"/>
  <c r="J3" i="4"/>
  <c r="E7" i="4"/>
  <c r="E6" i="4"/>
  <c r="E5" i="4"/>
  <c r="E4" i="4"/>
  <c r="E3" i="4"/>
  <c r="B24" i="2"/>
  <c r="P7" i="2"/>
  <c r="P6" i="2"/>
  <c r="P5" i="2"/>
  <c r="P4" i="2"/>
  <c r="J8" i="2"/>
  <c r="J7" i="2"/>
  <c r="J6" i="2"/>
  <c r="J5" i="2"/>
  <c r="J3" i="2"/>
  <c r="E7" i="2"/>
  <c r="E6" i="2"/>
  <c r="E5" i="2"/>
  <c r="E4" i="2"/>
  <c r="E3" i="2"/>
  <c r="D7" i="6"/>
  <c r="D6" i="6"/>
  <c r="D5" i="6"/>
  <c r="D4" i="6"/>
  <c r="D3" i="6"/>
  <c r="U14" i="6"/>
  <c r="A12" i="6"/>
  <c r="Q8" i="6"/>
  <c r="A32" i="4"/>
  <c r="B29" i="9" s="1"/>
  <c r="A34" i="6"/>
  <c r="B21" i="9"/>
  <c r="A27" i="2"/>
  <c r="B13" i="9" s="1"/>
  <c r="B5" i="9"/>
  <c r="C40" i="1"/>
  <c r="D25" i="1"/>
  <c r="D32" i="6"/>
  <c r="B3" i="9"/>
  <c r="C2" i="9"/>
  <c r="A13" i="4"/>
  <c r="B29" i="7" s="1"/>
  <c r="B5" i="7"/>
  <c r="C2" i="7"/>
  <c r="B21" i="7"/>
  <c r="E13" i="7"/>
  <c r="B13" i="7"/>
  <c r="A30" i="4"/>
  <c r="A11" i="4"/>
  <c r="A32" i="6"/>
  <c r="A25" i="2"/>
  <c r="A11" i="2"/>
  <c r="H13" i="3"/>
  <c r="I13" i="3"/>
  <c r="E13" i="3"/>
  <c r="F13" i="3"/>
  <c r="K13" i="3"/>
  <c r="L13" i="3"/>
  <c r="L21" i="3" s="1"/>
  <c r="M13" i="3"/>
  <c r="P13" i="3"/>
  <c r="N13" i="3"/>
  <c r="O13" i="3"/>
  <c r="H14" i="3"/>
  <c r="I14" i="3"/>
  <c r="E14" i="3"/>
  <c r="F14" i="3"/>
  <c r="L14" i="3"/>
  <c r="M14" i="3"/>
  <c r="P14" i="3"/>
  <c r="O14" i="3"/>
  <c r="H15" i="3"/>
  <c r="I15" i="3"/>
  <c r="F15" i="3"/>
  <c r="K15" i="3"/>
  <c r="L15" i="3"/>
  <c r="M15" i="3"/>
  <c r="P15" i="3"/>
  <c r="N15" i="3"/>
  <c r="O15" i="3"/>
  <c r="I16" i="3"/>
  <c r="J16" i="3"/>
  <c r="F16" i="3"/>
  <c r="G16" i="3"/>
  <c r="K16" i="3"/>
  <c r="L16" i="3"/>
  <c r="N16" i="3"/>
  <c r="O16" i="3"/>
  <c r="H17" i="3"/>
  <c r="I17" i="3"/>
  <c r="F17" i="3"/>
  <c r="L17" i="3"/>
  <c r="M17" i="3"/>
  <c r="P17" i="3"/>
  <c r="N17" i="3"/>
  <c r="O17" i="3"/>
  <c r="H18" i="3"/>
  <c r="I18" i="3"/>
  <c r="J18" i="3"/>
  <c r="E18" i="3"/>
  <c r="F18" i="3"/>
  <c r="L18" i="3"/>
  <c r="M18" i="3"/>
  <c r="N18" i="3"/>
  <c r="O18" i="3"/>
  <c r="I19" i="3"/>
  <c r="J19" i="3"/>
  <c r="E19" i="3"/>
  <c r="F19" i="3"/>
  <c r="K19" i="3"/>
  <c r="L19" i="3"/>
  <c r="M19" i="3"/>
  <c r="P19" i="3"/>
  <c r="N19" i="3"/>
  <c r="O19" i="3"/>
  <c r="I20" i="3"/>
  <c r="J20" i="3"/>
  <c r="F20" i="3"/>
  <c r="G20" i="3"/>
  <c r="K20" i="3"/>
  <c r="L20" i="3"/>
  <c r="M20" i="3"/>
  <c r="P20" i="3"/>
  <c r="N20" i="3"/>
  <c r="O20" i="3"/>
  <c r="R13" i="1"/>
  <c r="R14" i="1"/>
  <c r="R15" i="1"/>
  <c r="R16" i="1"/>
  <c r="R17" i="1"/>
  <c r="R18" i="1"/>
  <c r="R19" i="1"/>
  <c r="R20" i="1"/>
  <c r="R14" i="2"/>
  <c r="R15" i="2"/>
  <c r="R16" i="2"/>
  <c r="R17" i="2"/>
  <c r="R18" i="2"/>
  <c r="R19" i="2"/>
  <c r="R20" i="2"/>
  <c r="R13" i="2"/>
  <c r="T15" i="6"/>
  <c r="T16" i="6"/>
  <c r="R16" i="6" s="1"/>
  <c r="V16" i="6"/>
  <c r="U16" i="6"/>
  <c r="V18" i="6"/>
  <c r="T19" i="6"/>
  <c r="T20" i="6"/>
  <c r="V20" i="6"/>
  <c r="S21" i="6"/>
  <c r="U21" i="6"/>
  <c r="P39" i="3"/>
  <c r="P42" i="3"/>
  <c r="P43" i="3"/>
  <c r="P44" i="3"/>
  <c r="O39" i="3"/>
  <c r="O40" i="3"/>
  <c r="O41" i="3"/>
  <c r="O42" i="3"/>
  <c r="O43" i="3"/>
  <c r="O44" i="3"/>
  <c r="O45" i="3"/>
  <c r="O38" i="3"/>
  <c r="N39" i="3"/>
  <c r="N42" i="3"/>
  <c r="N43" i="3"/>
  <c r="N44" i="3"/>
  <c r="N45" i="3"/>
  <c r="M39" i="3"/>
  <c r="M41" i="3"/>
  <c r="M42" i="3"/>
  <c r="M44" i="3"/>
  <c r="M46" i="3" s="1"/>
  <c r="M45" i="3"/>
  <c r="L39" i="3"/>
  <c r="L40" i="3"/>
  <c r="L41" i="3"/>
  <c r="L42" i="3"/>
  <c r="L43" i="3"/>
  <c r="L46" i="3" s="1"/>
  <c r="L44" i="3"/>
  <c r="L45" i="3"/>
  <c r="L38" i="3"/>
  <c r="M38" i="3"/>
  <c r="K39" i="3"/>
  <c r="K40" i="3"/>
  <c r="K46" i="3" s="1"/>
  <c r="L47" i="3" s="1"/>
  <c r="K41" i="3"/>
  <c r="K42" i="3"/>
  <c r="K43" i="3"/>
  <c r="K44" i="3"/>
  <c r="K45" i="3"/>
  <c r="K38" i="3"/>
  <c r="J41" i="3"/>
  <c r="J42" i="3"/>
  <c r="J43" i="3"/>
  <c r="J44" i="3"/>
  <c r="J45" i="3"/>
  <c r="I45" i="3"/>
  <c r="I39" i="3"/>
  <c r="I40" i="3"/>
  <c r="I41" i="3"/>
  <c r="I42" i="3"/>
  <c r="I43" i="3"/>
  <c r="I44" i="3"/>
  <c r="I38" i="3"/>
  <c r="H39" i="3"/>
  <c r="H42" i="3"/>
  <c r="H43" i="3"/>
  <c r="H45" i="3"/>
  <c r="H38" i="3"/>
  <c r="G43" i="3"/>
  <c r="G44" i="3"/>
  <c r="F39" i="3"/>
  <c r="F40" i="3"/>
  <c r="F41" i="3"/>
  <c r="F42" i="3"/>
  <c r="F43" i="3"/>
  <c r="F44" i="3"/>
  <c r="F45" i="3"/>
  <c r="F38" i="3"/>
  <c r="G38" i="3"/>
  <c r="E45" i="3"/>
  <c r="Q42" i="6"/>
  <c r="P42" i="6"/>
  <c r="N42" i="6"/>
  <c r="L42" i="6"/>
  <c r="L43" i="6"/>
  <c r="M42" i="6"/>
  <c r="J42" i="6"/>
  <c r="G42" i="6"/>
  <c r="P22" i="6"/>
  <c r="M22" i="6"/>
  <c r="L23" i="6"/>
  <c r="N22" i="6"/>
  <c r="J22" i="6"/>
  <c r="G22" i="6"/>
  <c r="B31" i="6"/>
  <c r="B11" i="6"/>
  <c r="O8" i="5"/>
  <c r="O7" i="5"/>
  <c r="O6" i="5"/>
  <c r="O5" i="5"/>
  <c r="O3" i="5"/>
  <c r="T39" i="6"/>
  <c r="R39" i="6" s="1"/>
  <c r="U39" i="6"/>
  <c r="T38" i="6"/>
  <c r="U38" i="6"/>
  <c r="V38" i="6"/>
  <c r="R38" i="6"/>
  <c r="U40" i="6"/>
  <c r="V40" i="6"/>
  <c r="T37" i="6"/>
  <c r="U37" i="6"/>
  <c r="T36" i="6"/>
  <c r="U34" i="6"/>
  <c r="U35" i="6"/>
  <c r="T35" i="6"/>
  <c r="R35" i="6" s="1"/>
  <c r="V35" i="6"/>
  <c r="T41" i="6"/>
  <c r="Q33" i="6"/>
  <c r="O33" i="6"/>
  <c r="N33" i="6"/>
  <c r="L33" i="6"/>
  <c r="K33" i="6"/>
  <c r="I33" i="6"/>
  <c r="H33" i="6"/>
  <c r="F33" i="6"/>
  <c r="Q13" i="6"/>
  <c r="O13" i="6"/>
  <c r="N13" i="6"/>
  <c r="L13" i="6"/>
  <c r="K13" i="6"/>
  <c r="I13" i="6"/>
  <c r="H13" i="6"/>
  <c r="F13" i="6"/>
  <c r="A14" i="6"/>
  <c r="Q6" i="6"/>
  <c r="Q5" i="6"/>
  <c r="Q4" i="6"/>
  <c r="Q3" i="6"/>
  <c r="I8" i="6"/>
  <c r="I7" i="6"/>
  <c r="I6" i="6"/>
  <c r="I5" i="6"/>
  <c r="I3" i="6"/>
  <c r="A36" i="3"/>
  <c r="A38" i="3"/>
  <c r="A11" i="3"/>
  <c r="A13" i="3"/>
  <c r="A13" i="2"/>
  <c r="B10" i="2"/>
  <c r="R28" i="2"/>
  <c r="R29" i="2"/>
  <c r="R30" i="2"/>
  <c r="R31" i="2"/>
  <c r="R32" i="2"/>
  <c r="R33" i="2"/>
  <c r="R34" i="2"/>
  <c r="R27" i="2"/>
  <c r="G35" i="2"/>
  <c r="H35" i="2"/>
  <c r="J35" i="2"/>
  <c r="J36" i="2" s="1"/>
  <c r="K35" i="2"/>
  <c r="M36" i="2"/>
  <c r="O35" i="2"/>
  <c r="P35" i="2"/>
  <c r="F35" i="2"/>
  <c r="G36" i="2" s="1"/>
  <c r="G21" i="2"/>
  <c r="H21" i="2"/>
  <c r="J22" i="2"/>
  <c r="J21" i="2"/>
  <c r="K21" i="2"/>
  <c r="M22" i="2"/>
  <c r="O21" i="2"/>
  <c r="P21" i="2"/>
  <c r="F21" i="2"/>
  <c r="G22" i="2" s="1"/>
  <c r="H21" i="1"/>
  <c r="G21" i="1"/>
  <c r="F21" i="1"/>
  <c r="B10" i="3"/>
  <c r="B35" i="3"/>
  <c r="I8" i="3"/>
  <c r="O7" i="3"/>
  <c r="I7" i="3"/>
  <c r="D7" i="3"/>
  <c r="O6" i="3"/>
  <c r="I6" i="3"/>
  <c r="D6" i="3"/>
  <c r="O5" i="3"/>
  <c r="I5" i="3"/>
  <c r="D5" i="3"/>
  <c r="O4" i="3"/>
  <c r="D4" i="3"/>
  <c r="O3" i="3"/>
  <c r="I3" i="3"/>
  <c r="D3" i="3"/>
  <c r="F35" i="1"/>
  <c r="G35" i="1"/>
  <c r="G36" i="1" s="1"/>
  <c r="H35" i="1"/>
  <c r="J35" i="1"/>
  <c r="J36" i="1"/>
  <c r="K35" i="1"/>
  <c r="M36" i="1"/>
  <c r="O35" i="1"/>
  <c r="P36" i="1"/>
  <c r="P35" i="1"/>
  <c r="R27" i="1"/>
  <c r="R28" i="1"/>
  <c r="R29" i="1"/>
  <c r="R30" i="1"/>
  <c r="R31" i="1"/>
  <c r="R32" i="1"/>
  <c r="R33" i="1"/>
  <c r="R34" i="1"/>
  <c r="J21" i="1"/>
  <c r="J22" i="1" s="1"/>
  <c r="K21" i="1"/>
  <c r="M22" i="1"/>
  <c r="O21" i="1"/>
  <c r="P21" i="1"/>
  <c r="D25" i="2"/>
  <c r="G41" i="3"/>
  <c r="I27" i="9"/>
  <c r="K21" i="9"/>
  <c r="J38" i="3"/>
  <c r="T34" i="6"/>
  <c r="D30" i="4"/>
  <c r="D3" i="9"/>
  <c r="S38" i="6"/>
  <c r="E16" i="3"/>
  <c r="S34" i="6"/>
  <c r="E42" i="3"/>
  <c r="G40" i="3"/>
  <c r="S17" i="6"/>
  <c r="E38" i="3"/>
  <c r="H42" i="6"/>
  <c r="E41" i="3"/>
  <c r="E20" i="3"/>
  <c r="S41" i="6"/>
  <c r="G39" i="3"/>
  <c r="G19" i="3"/>
  <c r="G18" i="3"/>
  <c r="G15" i="3"/>
  <c r="D38" i="3"/>
  <c r="E39" i="9"/>
  <c r="A28" i="1"/>
  <c r="A35" i="6"/>
  <c r="B22" i="9"/>
  <c r="D34" i="6"/>
  <c r="E21" i="9"/>
  <c r="D14" i="6"/>
  <c r="E5" i="7"/>
  <c r="A14" i="1"/>
  <c r="D13" i="4"/>
  <c r="E29" i="7"/>
  <c r="D13" i="2"/>
  <c r="D13" i="3"/>
  <c r="E39" i="7"/>
  <c r="D12" i="6"/>
  <c r="D3" i="7"/>
  <c r="D11" i="4"/>
  <c r="E21" i="7"/>
  <c r="B40" i="9"/>
  <c r="A28" i="2"/>
  <c r="B14" i="9" s="1"/>
  <c r="A39" i="3"/>
  <c r="B6" i="9"/>
  <c r="A33" i="4"/>
  <c r="B30" i="9" s="1"/>
  <c r="D32" i="4"/>
  <c r="E29" i="9"/>
  <c r="E5" i="9"/>
  <c r="D28" i="1"/>
  <c r="D39" i="3"/>
  <c r="D35" i="6"/>
  <c r="E22" i="9"/>
  <c r="E6" i="9"/>
  <c r="D33" i="4"/>
  <c r="E30" i="9"/>
  <c r="A29" i="1"/>
  <c r="E40" i="9"/>
  <c r="D14" i="1"/>
  <c r="A14" i="3"/>
  <c r="A14" i="2"/>
  <c r="B40" i="7"/>
  <c r="T49" i="7" s="1"/>
  <c r="A14" i="4"/>
  <c r="B30" i="7" s="1"/>
  <c r="A15" i="6"/>
  <c r="B14" i="7"/>
  <c r="B6" i="7"/>
  <c r="B22" i="7"/>
  <c r="D28" i="2"/>
  <c r="E14" i="9" s="1"/>
  <c r="A34" i="4"/>
  <c r="B31" i="9"/>
  <c r="A29" i="2"/>
  <c r="B15" i="9"/>
  <c r="D29" i="1"/>
  <c r="B41" i="9"/>
  <c r="A40" i="3"/>
  <c r="B7" i="9"/>
  <c r="A36" i="6"/>
  <c r="B23" i="9"/>
  <c r="E22" i="7"/>
  <c r="E14" i="7"/>
  <c r="D14" i="3"/>
  <c r="E40" i="7"/>
  <c r="D15" i="6"/>
  <c r="A15" i="1"/>
  <c r="D14" i="2"/>
  <c r="D14" i="4"/>
  <c r="E30" i="7"/>
  <c r="E6" i="7"/>
  <c r="A15" i="4"/>
  <c r="B31" i="7"/>
  <c r="B41" i="7"/>
  <c r="T50" i="7" s="1"/>
  <c r="B7" i="7"/>
  <c r="B15" i="7"/>
  <c r="B23" i="7"/>
  <c r="A16" i="6"/>
  <c r="A15" i="3"/>
  <c r="A15" i="2"/>
  <c r="D15" i="1"/>
  <c r="E7" i="9"/>
  <c r="D40" i="3"/>
  <c r="D34" i="4"/>
  <c r="E31" i="9"/>
  <c r="D29" i="2"/>
  <c r="E15" i="9" s="1"/>
  <c r="D36" i="6"/>
  <c r="E23" i="9" s="1"/>
  <c r="E41" i="9"/>
  <c r="A30" i="1"/>
  <c r="D15" i="2"/>
  <c r="E15" i="7"/>
  <c r="D16" i="6"/>
  <c r="E7" i="7"/>
  <c r="D15" i="4"/>
  <c r="E31" i="7"/>
  <c r="A16" i="1"/>
  <c r="E23" i="7"/>
  <c r="D15" i="3"/>
  <c r="E41" i="7"/>
  <c r="B42" i="9"/>
  <c r="B8" i="9"/>
  <c r="D30" i="1"/>
  <c r="A37" i="6"/>
  <c r="B24" i="9"/>
  <c r="A41" i="3"/>
  <c r="A30" i="2"/>
  <c r="B16" i="9"/>
  <c r="A35" i="4"/>
  <c r="B32" i="9" s="1"/>
  <c r="A16" i="4"/>
  <c r="B32" i="7" s="1"/>
  <c r="A16" i="2"/>
  <c r="D16" i="1"/>
  <c r="A17" i="6"/>
  <c r="B8" i="7"/>
  <c r="B24" i="7"/>
  <c r="B16" i="7"/>
  <c r="B42" i="7"/>
  <c r="A16" i="3"/>
  <c r="D41" i="3"/>
  <c r="D37" i="6"/>
  <c r="E24" i="9"/>
  <c r="A31" i="1"/>
  <c r="E8" i="9"/>
  <c r="D30" i="2"/>
  <c r="E16" i="9" s="1"/>
  <c r="D35" i="4"/>
  <c r="E32" i="9"/>
  <c r="E42" i="9"/>
  <c r="D16" i="4"/>
  <c r="E32" i="7"/>
  <c r="D17" i="6"/>
  <c r="E42" i="7"/>
  <c r="T48" i="7"/>
  <c r="D16" i="3"/>
  <c r="E8" i="7"/>
  <c r="D16" i="2"/>
  <c r="A17" i="1"/>
  <c r="E24" i="7"/>
  <c r="E16" i="7"/>
  <c r="A36" i="4"/>
  <c r="B33" i="9"/>
  <c r="A31" i="2"/>
  <c r="B17" i="9" s="1"/>
  <c r="B43" i="9"/>
  <c r="A38" i="6"/>
  <c r="B25" i="9"/>
  <c r="B9" i="9"/>
  <c r="D31" i="1"/>
  <c r="A42" i="3"/>
  <c r="E9" i="9"/>
  <c r="E43" i="9"/>
  <c r="T49" i="9"/>
  <c r="D38" i="6"/>
  <c r="E25" i="9" s="1"/>
  <c r="D42" i="3"/>
  <c r="D36" i="4"/>
  <c r="E33" i="9"/>
  <c r="D31" i="2"/>
  <c r="E17" i="9"/>
  <c r="A32" i="1"/>
  <c r="A17" i="4"/>
  <c r="B33" i="7"/>
  <c r="A17" i="2"/>
  <c r="B43" i="7"/>
  <c r="A17" i="3"/>
  <c r="D17" i="1"/>
  <c r="A18" i="6"/>
  <c r="B25" i="7"/>
  <c r="B9" i="7"/>
  <c r="B17" i="7"/>
  <c r="E43" i="7"/>
  <c r="D17" i="4"/>
  <c r="E33" i="7"/>
  <c r="E9" i="7"/>
  <c r="E25" i="7"/>
  <c r="D18" i="6"/>
  <c r="D17" i="3"/>
  <c r="E17" i="7"/>
  <c r="A18" i="1"/>
  <c r="D17" i="2"/>
  <c r="B44" i="9"/>
  <c r="A39" i="6"/>
  <c r="B26" i="9" s="1"/>
  <c r="A43" i="3"/>
  <c r="D32" i="1"/>
  <c r="B10" i="9"/>
  <c r="A32" i="2"/>
  <c r="B18" i="9"/>
  <c r="A37" i="4"/>
  <c r="B34" i="9" s="1"/>
  <c r="E44" i="9"/>
  <c r="T50" i="9" s="1"/>
  <c r="D39" i="6"/>
  <c r="E26" i="9"/>
  <c r="E10" i="9"/>
  <c r="A33" i="1"/>
  <c r="D37" i="4"/>
  <c r="E34" i="9" s="1"/>
  <c r="D32" i="2"/>
  <c r="E18" i="9"/>
  <c r="D43" i="3"/>
  <c r="A19" i="6"/>
  <c r="B26" i="7"/>
  <c r="B10" i="7"/>
  <c r="A18" i="3"/>
  <c r="D18" i="1"/>
  <c r="B18" i="7"/>
  <c r="B44" i="7"/>
  <c r="A18" i="4"/>
  <c r="B34" i="7" s="1"/>
  <c r="A18" i="2"/>
  <c r="D18" i="4"/>
  <c r="E34" i="7" s="1"/>
  <c r="E26" i="7"/>
  <c r="D19" i="6"/>
  <c r="E18" i="7"/>
  <c r="E10" i="7"/>
  <c r="D18" i="3"/>
  <c r="D18" i="2"/>
  <c r="A19" i="1"/>
  <c r="E44" i="7"/>
  <c r="B45" i="9"/>
  <c r="A40" i="6"/>
  <c r="B27" i="9" s="1"/>
  <c r="B11" i="9"/>
  <c r="A38" i="4"/>
  <c r="B35" i="9" s="1"/>
  <c r="A44" i="3"/>
  <c r="A33" i="2"/>
  <c r="B19" i="9" s="1"/>
  <c r="D33" i="1"/>
  <c r="E11" i="9"/>
  <c r="D38" i="4"/>
  <c r="E35" i="9"/>
  <c r="D33" i="2"/>
  <c r="E19" i="9" s="1"/>
  <c r="D44" i="3"/>
  <c r="E45" i="9"/>
  <c r="T51" i="9" s="1"/>
  <c r="D40" i="6"/>
  <c r="E27" i="9"/>
  <c r="A34" i="1"/>
  <c r="A19" i="3"/>
  <c r="B19" i="7"/>
  <c r="A19" i="2"/>
  <c r="B45" i="7"/>
  <c r="A20" i="6"/>
  <c r="B27" i="7"/>
  <c r="B11" i="7"/>
  <c r="A19" i="4"/>
  <c r="B35" i="7" s="1"/>
  <c r="D19" i="1"/>
  <c r="D19" i="4"/>
  <c r="E35" i="7" s="1"/>
  <c r="E27" i="7"/>
  <c r="D19" i="3"/>
  <c r="E11" i="7"/>
  <c r="D20" i="6"/>
  <c r="D19" i="2"/>
  <c r="E19" i="7"/>
  <c r="A20" i="1"/>
  <c r="E45" i="7"/>
  <c r="T51" i="7" s="1"/>
  <c r="A39" i="4"/>
  <c r="B36" i="9"/>
  <c r="D34" i="1"/>
  <c r="B46" i="9"/>
  <c r="A45" i="3"/>
  <c r="A41" i="6"/>
  <c r="B28" i="9"/>
  <c r="A34" i="2"/>
  <c r="B20" i="9" s="1"/>
  <c r="B12" i="9"/>
  <c r="B28" i="7"/>
  <c r="A21" i="6"/>
  <c r="B12" i="7"/>
  <c r="B20" i="7"/>
  <c r="A20" i="3"/>
  <c r="A20" i="4"/>
  <c r="B36" i="7"/>
  <c r="D20" i="1"/>
  <c r="A20" i="2"/>
  <c r="B46" i="7"/>
  <c r="E46" i="9"/>
  <c r="D39" i="4"/>
  <c r="E36" i="9"/>
  <c r="D34" i="2"/>
  <c r="E20" i="9"/>
  <c r="D45" i="3"/>
  <c r="D41" i="6"/>
  <c r="E28" i="9"/>
  <c r="E12" i="9"/>
  <c r="E24" i="1"/>
  <c r="E2" i="9"/>
  <c r="D35" i="3"/>
  <c r="E24" i="2"/>
  <c r="E31" i="6"/>
  <c r="E29" i="4"/>
  <c r="E46" i="7"/>
  <c r="T52" i="7"/>
  <c r="E28" i="7"/>
  <c r="E10" i="1"/>
  <c r="D21" i="6"/>
  <c r="E12" i="7"/>
  <c r="D20" i="2"/>
  <c r="D20" i="3"/>
  <c r="D20" i="4"/>
  <c r="E36" i="7" s="1"/>
  <c r="E20" i="7"/>
  <c r="D10" i="3"/>
  <c r="E10" i="2"/>
  <c r="E2" i="7"/>
  <c r="E10" i="4"/>
  <c r="E11" i="6"/>
  <c r="S20" i="6"/>
  <c r="S18" i="6"/>
  <c r="G14" i="3"/>
  <c r="S14" i="6"/>
  <c r="O23" i="6"/>
  <c r="V34" i="6"/>
  <c r="R34" i="6" s="1"/>
  <c r="O42" i="6"/>
  <c r="O43" i="6"/>
  <c r="N40" i="3"/>
  <c r="V14" i="6"/>
  <c r="R14" i="6" s="1"/>
  <c r="Q26" i="7"/>
  <c r="Q24" i="7"/>
  <c r="Q28" i="9"/>
  <c r="O24" i="9"/>
  <c r="O23" i="9"/>
  <c r="O41" i="9" s="1"/>
  <c r="Q21" i="9"/>
  <c r="O21" i="9"/>
  <c r="O39" i="9"/>
  <c r="P16" i="3"/>
  <c r="V41" i="6"/>
  <c r="R41" i="6" s="1"/>
  <c r="V37" i="6"/>
  <c r="R37" i="6" s="1"/>
  <c r="V19" i="6"/>
  <c r="V15" i="6"/>
  <c r="R15" i="6"/>
  <c r="U41" i="6"/>
  <c r="L22" i="6"/>
  <c r="M43" i="3"/>
  <c r="U18" i="6"/>
  <c r="U15" i="6"/>
  <c r="K18" i="3"/>
  <c r="K21" i="3" s="1"/>
  <c r="K14" i="3"/>
  <c r="L25" i="7"/>
  <c r="L43" i="7" s="1"/>
  <c r="N24" i="7"/>
  <c r="N23" i="9"/>
  <c r="N41" i="9"/>
  <c r="U36" i="6"/>
  <c r="U17" i="6"/>
  <c r="I42" i="6"/>
  <c r="I43" i="6"/>
  <c r="H40" i="3"/>
  <c r="J39" i="3"/>
  <c r="H20" i="3"/>
  <c r="H16" i="3"/>
  <c r="J14" i="3"/>
  <c r="K25" i="7"/>
  <c r="I24" i="7"/>
  <c r="I42" i="7"/>
  <c r="K21" i="7"/>
  <c r="I21" i="7"/>
  <c r="I39" i="7" s="1"/>
  <c r="K22" i="9"/>
  <c r="I22" i="6"/>
  <c r="K22" i="6"/>
  <c r="T18" i="6"/>
  <c r="R18" i="6"/>
  <c r="F42" i="6"/>
  <c r="F43" i="6"/>
  <c r="S35" i="6"/>
  <c r="E44" i="3"/>
  <c r="E40" i="3"/>
  <c r="S39" i="6"/>
  <c r="F27" i="9"/>
  <c r="S36" i="6"/>
  <c r="R36" i="6"/>
  <c r="E39" i="3"/>
  <c r="H22" i="6"/>
  <c r="H25" i="7"/>
  <c r="H25" i="9"/>
  <c r="H24" i="9"/>
  <c r="H42" i="9" s="1"/>
  <c r="S16" i="6"/>
  <c r="F22" i="6"/>
  <c r="F41" i="7"/>
  <c r="P36" i="2"/>
  <c r="P22" i="2"/>
  <c r="K42" i="7"/>
  <c r="K44" i="7"/>
  <c r="P22" i="1"/>
  <c r="Q46" i="7"/>
  <c r="G22" i="1"/>
  <c r="G39" i="9"/>
  <c r="O45" i="9"/>
  <c r="Q43" i="9"/>
  <c r="N45" i="7"/>
  <c r="F43" i="7"/>
  <c r="H45" i="7"/>
  <c r="G41" i="7"/>
  <c r="Q40" i="7"/>
  <c r="I23" i="6"/>
  <c r="F23" i="6"/>
  <c r="K42" i="9"/>
  <c r="H44" i="9"/>
  <c r="N40" i="7"/>
  <c r="L40" i="7"/>
  <c r="G45" i="9"/>
  <c r="Q41" i="9"/>
  <c r="N46" i="7"/>
  <c r="N42" i="7"/>
  <c r="R19" i="6"/>
  <c r="M46" i="9"/>
  <c r="M42" i="9"/>
  <c r="K39" i="9"/>
  <c r="H43" i="7"/>
  <c r="G46" i="9"/>
  <c r="L44" i="9"/>
  <c r="L39" i="7"/>
  <c r="L42" i="7"/>
  <c r="K44" i="9"/>
  <c r="K43" i="9"/>
  <c r="I40" i="7"/>
  <c r="H39" i="7"/>
  <c r="G40" i="7"/>
  <c r="G43" i="9"/>
  <c r="R21" i="6"/>
  <c r="R20" i="6"/>
  <c r="G45" i="7"/>
  <c r="G43" i="7"/>
  <c r="J45" i="9"/>
  <c r="N40" i="9"/>
  <c r="M45" i="9"/>
  <c r="P43" i="9"/>
  <c r="P40" i="9"/>
  <c r="J39" i="9"/>
  <c r="L46" i="9"/>
  <c r="M40" i="9"/>
  <c r="I39" i="9"/>
  <c r="N45" i="9"/>
  <c r="L45" i="9"/>
  <c r="N42" i="9"/>
  <c r="L42" i="9"/>
  <c r="O40" i="9"/>
  <c r="H42" i="7"/>
  <c r="G39" i="7"/>
  <c r="M21" i="3"/>
  <c r="K46" i="7"/>
  <c r="M46" i="7"/>
  <c r="I44" i="7"/>
  <c r="M41" i="7"/>
  <c r="L22" i="3"/>
  <c r="R40" i="4" l="1"/>
  <c r="G26" i="4"/>
  <c r="G22" i="4"/>
  <c r="R25" i="4"/>
  <c r="P23" i="4"/>
  <c r="M26" i="4"/>
  <c r="M23" i="4"/>
  <c r="J26" i="4"/>
  <c r="J23" i="4"/>
  <c r="M24" i="4"/>
  <c r="P26" i="4"/>
  <c r="M25" i="4"/>
  <c r="P22" i="4"/>
  <c r="R21" i="4"/>
  <c r="R24" i="4"/>
  <c r="G25" i="4"/>
  <c r="G24" i="4"/>
  <c r="R23" i="4"/>
  <c r="R27" i="4" s="1"/>
  <c r="J22" i="4"/>
  <c r="P24" i="4"/>
  <c r="G23" i="4"/>
  <c r="J25" i="4"/>
  <c r="J24" i="4"/>
  <c r="P25" i="4"/>
  <c r="M22" i="4"/>
  <c r="R42" i="6"/>
  <c r="R17" i="6"/>
  <c r="J39" i="7"/>
  <c r="R39" i="7" s="1"/>
  <c r="J43" i="7"/>
  <c r="G27" i="6"/>
  <c r="P26" i="6"/>
  <c r="M25" i="6"/>
  <c r="J26" i="6"/>
  <c r="G25" i="6"/>
  <c r="P27" i="6"/>
  <c r="J25" i="6"/>
  <c r="M26" i="6"/>
  <c r="M27" i="6"/>
  <c r="J27" i="6"/>
  <c r="P25" i="6"/>
  <c r="G26" i="6"/>
  <c r="G28" i="6"/>
  <c r="P24" i="6"/>
  <c r="G24" i="6"/>
  <c r="R22" i="6"/>
  <c r="P28" i="6"/>
  <c r="M24" i="6"/>
  <c r="J24" i="6"/>
  <c r="J28" i="6"/>
  <c r="M28" i="6"/>
  <c r="P46" i="7"/>
  <c r="O42" i="9"/>
  <c r="P41" i="9"/>
  <c r="P39" i="9"/>
  <c r="O44" i="9"/>
  <c r="P42" i="9"/>
  <c r="P44" i="9"/>
  <c r="O43" i="9"/>
  <c r="P45" i="7"/>
  <c r="O45" i="7"/>
  <c r="O44" i="7"/>
  <c r="O39" i="7"/>
  <c r="O42" i="7"/>
  <c r="I46" i="3"/>
  <c r="K41" i="9"/>
  <c r="J40" i="9"/>
  <c r="K40" i="7"/>
  <c r="J45" i="7"/>
  <c r="J44" i="7"/>
  <c r="J40" i="7"/>
  <c r="F41" i="9"/>
  <c r="E46" i="3"/>
  <c r="F46" i="9"/>
  <c r="G41" i="9"/>
  <c r="F44" i="9"/>
  <c r="H46" i="7"/>
  <c r="G42" i="7"/>
  <c r="G46" i="7"/>
  <c r="F44" i="7"/>
  <c r="F42" i="7"/>
  <c r="N46" i="3"/>
  <c r="O46" i="3"/>
  <c r="P45" i="9"/>
  <c r="R45" i="9" s="1"/>
  <c r="P42" i="7"/>
  <c r="P44" i="7"/>
  <c r="O43" i="7"/>
  <c r="R43" i="7" s="1"/>
  <c r="N21" i="3"/>
  <c r="J46" i="3"/>
  <c r="J46" i="9"/>
  <c r="K45" i="9"/>
  <c r="K40" i="9"/>
  <c r="K39" i="7"/>
  <c r="R21" i="1"/>
  <c r="J42" i="7"/>
  <c r="I21" i="3"/>
  <c r="H40" i="9"/>
  <c r="H43" i="9"/>
  <c r="R43" i="9" s="1"/>
  <c r="G42" i="9"/>
  <c r="Q14" i="3"/>
  <c r="F46" i="7"/>
  <c r="H40" i="7"/>
  <c r="P46" i="3"/>
  <c r="Q40" i="9"/>
  <c r="R35" i="2"/>
  <c r="Q19" i="3"/>
  <c r="Q44" i="7"/>
  <c r="P21" i="3"/>
  <c r="R21" i="2"/>
  <c r="Q39" i="7"/>
  <c r="Q42" i="3"/>
  <c r="I43" i="9"/>
  <c r="I41" i="9"/>
  <c r="I44" i="9"/>
  <c r="I40" i="9"/>
  <c r="I46" i="7"/>
  <c r="Q44" i="3"/>
  <c r="R35" i="1"/>
  <c r="Q42" i="9"/>
  <c r="Q39" i="9"/>
  <c r="R39" i="9" s="1"/>
  <c r="Q41" i="7"/>
  <c r="I46" i="9"/>
  <c r="R41" i="7"/>
  <c r="R46" i="7"/>
  <c r="Q20" i="3"/>
  <c r="G21" i="3"/>
  <c r="Q18" i="3"/>
  <c r="Q17" i="3"/>
  <c r="F21" i="3"/>
  <c r="Q16" i="3"/>
  <c r="Q38" i="3"/>
  <c r="G46" i="3"/>
  <c r="F46" i="3"/>
  <c r="F47" i="3" s="1"/>
  <c r="Q41" i="3"/>
  <c r="H46" i="3"/>
  <c r="Q45" i="3"/>
  <c r="Q43" i="3"/>
  <c r="Q15" i="3"/>
  <c r="E21" i="3"/>
  <c r="J21" i="3"/>
  <c r="H21" i="3"/>
  <c r="I22" i="3" s="1"/>
  <c r="Q13" i="3"/>
  <c r="Q46" i="9"/>
  <c r="Q40" i="3"/>
  <c r="Q45" i="7"/>
  <c r="L41" i="9"/>
  <c r="I42" i="9"/>
  <c r="Q39" i="3"/>
  <c r="T52" i="9"/>
  <c r="O21" i="3"/>
  <c r="M27" i="4" l="1"/>
  <c r="G27" i="4"/>
  <c r="P27" i="4"/>
  <c r="J27" i="4"/>
  <c r="R46" i="9"/>
  <c r="I47" i="3"/>
  <c r="R40" i="7"/>
  <c r="M29" i="6"/>
  <c r="G29" i="6"/>
  <c r="R45" i="7"/>
  <c r="R44" i="7"/>
  <c r="G52" i="7" s="1"/>
  <c r="P29" i="6"/>
  <c r="J29" i="6"/>
  <c r="O47" i="3"/>
  <c r="Q47" i="3" s="1"/>
  <c r="R40" i="9"/>
  <c r="R41" i="9"/>
  <c r="R42" i="7"/>
  <c r="F50" i="7" s="1"/>
  <c r="R44" i="9"/>
  <c r="R42" i="9"/>
  <c r="O22" i="3"/>
  <c r="J24" i="3"/>
  <c r="M24" i="3"/>
  <c r="N24" i="3"/>
  <c r="O24" i="3"/>
  <c r="Q24" i="3"/>
  <c r="F22" i="3"/>
  <c r="P24" i="3"/>
  <c r="Q46" i="3"/>
  <c r="M26" i="3"/>
  <c r="K26" i="3"/>
  <c r="J26" i="3"/>
  <c r="Q26" i="3"/>
  <c r="F26" i="3"/>
  <c r="H26" i="3"/>
  <c r="N26" i="3"/>
  <c r="G26" i="3"/>
  <c r="E26" i="3"/>
  <c r="P26" i="3"/>
  <c r="L26" i="3"/>
  <c r="I26" i="3"/>
  <c r="O26" i="3"/>
  <c r="R26" i="3"/>
  <c r="P49" i="7"/>
  <c r="O49" i="7"/>
  <c r="K24" i="3"/>
  <c r="L25" i="3"/>
  <c r="N25" i="3"/>
  <c r="H25" i="3"/>
  <c r="K25" i="3"/>
  <c r="E25" i="3"/>
  <c r="P25" i="3"/>
  <c r="O25" i="3"/>
  <c r="F25" i="3"/>
  <c r="Q25" i="3"/>
  <c r="R25" i="3"/>
  <c r="M25" i="3"/>
  <c r="G25" i="3"/>
  <c r="I25" i="3"/>
  <c r="L24" i="3"/>
  <c r="J25" i="3"/>
  <c r="E24" i="3"/>
  <c r="G24" i="3"/>
  <c r="P51" i="7"/>
  <c r="R24" i="3"/>
  <c r="F24" i="3"/>
  <c r="N52" i="7"/>
  <c r="S52" i="7"/>
  <c r="AA46" i="7" s="1"/>
  <c r="I52" i="7"/>
  <c r="R51" i="7"/>
  <c r="Q21" i="3"/>
  <c r="R23" i="3"/>
  <c r="G23" i="3"/>
  <c r="N23" i="3"/>
  <c r="K23" i="3"/>
  <c r="Q23" i="3"/>
  <c r="I23" i="3"/>
  <c r="F23" i="3"/>
  <c r="J23" i="3"/>
  <c r="M23" i="3"/>
  <c r="O23" i="3"/>
  <c r="P23" i="3"/>
  <c r="E23" i="3"/>
  <c r="H23" i="3"/>
  <c r="L23" i="3"/>
  <c r="H24" i="3"/>
  <c r="I24" i="3"/>
  <c r="Q27" i="3"/>
  <c r="R27" i="3"/>
  <c r="R20" i="3" s="1"/>
  <c r="E27" i="3"/>
  <c r="O27" i="3"/>
  <c r="G27" i="3"/>
  <c r="N27" i="3"/>
  <c r="L27" i="3"/>
  <c r="I27" i="3"/>
  <c r="F27" i="3"/>
  <c r="P27" i="3"/>
  <c r="J27" i="3"/>
  <c r="M27" i="3"/>
  <c r="H27" i="3"/>
  <c r="K27" i="3"/>
  <c r="I48" i="7"/>
  <c r="Q48" i="7"/>
  <c r="S48" i="7"/>
  <c r="P51" i="9" l="1"/>
  <c r="J48" i="7"/>
  <c r="L48" i="7"/>
  <c r="M50" i="7"/>
  <c r="K51" i="7"/>
  <c r="O48" i="7"/>
  <c r="H48" i="7"/>
  <c r="F51" i="7"/>
  <c r="K50" i="7"/>
  <c r="K53" i="7" s="1"/>
  <c r="F52" i="7"/>
  <c r="J52" i="7"/>
  <c r="Q51" i="7"/>
  <c r="S49" i="7"/>
  <c r="M49" i="7"/>
  <c r="R49" i="7"/>
  <c r="N50" i="7"/>
  <c r="O50" i="7"/>
  <c r="H52" i="7"/>
  <c r="K52" i="7"/>
  <c r="K49" i="7"/>
  <c r="J49" i="7"/>
  <c r="H51" i="7"/>
  <c r="F48" i="7"/>
  <c r="M48" i="7"/>
  <c r="M53" i="7" s="1"/>
  <c r="K48" i="7"/>
  <c r="P50" i="7"/>
  <c r="M52" i="7"/>
  <c r="Q52" i="7"/>
  <c r="L52" i="7"/>
  <c r="Q50" i="7"/>
  <c r="Q53" i="7" s="1"/>
  <c r="I49" i="7"/>
  <c r="Q49" i="7"/>
  <c r="P52" i="7"/>
  <c r="P53" i="7" s="1"/>
  <c r="R52" i="7"/>
  <c r="O51" i="7"/>
  <c r="N51" i="7"/>
  <c r="F49" i="7"/>
  <c r="N49" i="7"/>
  <c r="J50" i="7"/>
  <c r="R50" i="7"/>
  <c r="P48" i="7"/>
  <c r="N48" i="7"/>
  <c r="M51" i="7"/>
  <c r="S50" i="7"/>
  <c r="H49" i="7"/>
  <c r="G51" i="7"/>
  <c r="R48" i="7"/>
  <c r="G48" i="7"/>
  <c r="G53" i="7" s="1"/>
  <c r="S51" i="7"/>
  <c r="O52" i="7"/>
  <c r="L49" i="7"/>
  <c r="G49" i="7"/>
  <c r="G50" i="7"/>
  <c r="G49" i="9"/>
  <c r="H48" i="9"/>
  <c r="J49" i="9"/>
  <c r="I51" i="7"/>
  <c r="I53" i="7" s="1"/>
  <c r="I50" i="7"/>
  <c r="K52" i="9"/>
  <c r="J50" i="9"/>
  <c r="Q51" i="9"/>
  <c r="L49" i="9"/>
  <c r="H52" i="9"/>
  <c r="G48" i="9"/>
  <c r="O52" i="9"/>
  <c r="F48" i="9"/>
  <c r="Q50" i="9"/>
  <c r="J51" i="7"/>
  <c r="L50" i="7"/>
  <c r="Q22" i="3"/>
  <c r="L51" i="7"/>
  <c r="H50" i="7"/>
  <c r="N49" i="9"/>
  <c r="S48" i="9"/>
  <c r="AA40" i="9" s="1"/>
  <c r="J48" i="9"/>
  <c r="S52" i="9"/>
  <c r="AA46" i="9" s="1"/>
  <c r="AA36" i="9" s="1"/>
  <c r="R52" i="9"/>
  <c r="H50" i="9"/>
  <c r="I50" i="9"/>
  <c r="L51" i="9"/>
  <c r="M51" i="9"/>
  <c r="Q52" i="9"/>
  <c r="N52" i="9"/>
  <c r="G50" i="9"/>
  <c r="N50" i="9"/>
  <c r="S51" i="9"/>
  <c r="N51" i="9"/>
  <c r="N48" i="9"/>
  <c r="S49" i="9"/>
  <c r="P48" i="9"/>
  <c r="L52" i="9"/>
  <c r="F52" i="9"/>
  <c r="S50" i="9"/>
  <c r="P50" i="9"/>
  <c r="O51" i="9"/>
  <c r="O50" i="9"/>
  <c r="H49" i="9"/>
  <c r="Q49" i="9"/>
  <c r="M49" i="9"/>
  <c r="O49" i="9"/>
  <c r="F49" i="9"/>
  <c r="I48" i="9"/>
  <c r="Q48" i="9"/>
  <c r="J52" i="9"/>
  <c r="M52" i="9"/>
  <c r="M50" i="9"/>
  <c r="K50" i="9"/>
  <c r="I51" i="9"/>
  <c r="J51" i="9"/>
  <c r="F51" i="9"/>
  <c r="K49" i="9"/>
  <c r="K48" i="9"/>
  <c r="M48" i="9"/>
  <c r="I49" i="9"/>
  <c r="R48" i="9"/>
  <c r="P49" i="9"/>
  <c r="R49" i="9"/>
  <c r="O48" i="9"/>
  <c r="L48" i="9"/>
  <c r="I52" i="9"/>
  <c r="L50" i="9"/>
  <c r="H51" i="9"/>
  <c r="K51" i="9"/>
  <c r="P52" i="9"/>
  <c r="G52" i="9"/>
  <c r="R50" i="9"/>
  <c r="F50" i="9"/>
  <c r="R51" i="9"/>
  <c r="G51" i="9"/>
  <c r="E28" i="3"/>
  <c r="R53" i="7"/>
  <c r="O28" i="3"/>
  <c r="AA45" i="7"/>
  <c r="AA19" i="7" s="1"/>
  <c r="O53" i="7"/>
  <c r="L28" i="3"/>
  <c r="J28" i="3"/>
  <c r="G28" i="3"/>
  <c r="AA28" i="7"/>
  <c r="AA12" i="7"/>
  <c r="AA36" i="7"/>
  <c r="AA20" i="7"/>
  <c r="AA39" i="9"/>
  <c r="R19" i="3"/>
  <c r="AA28" i="9"/>
  <c r="I28" i="3"/>
  <c r="AA42" i="7"/>
  <c r="T53" i="7"/>
  <c r="AZ2" i="12" s="1"/>
  <c r="AA40" i="7"/>
  <c r="AA39" i="7"/>
  <c r="AA41" i="7"/>
  <c r="K28" i="3"/>
  <c r="R17" i="3"/>
  <c r="AA43" i="7"/>
  <c r="N53" i="7"/>
  <c r="H28" i="3"/>
  <c r="F28" i="3"/>
  <c r="R15" i="3"/>
  <c r="R16" i="3"/>
  <c r="R14" i="3"/>
  <c r="R13" i="3"/>
  <c r="F53" i="7"/>
  <c r="P28" i="3"/>
  <c r="Q28" i="3"/>
  <c r="AA44" i="7"/>
  <c r="R18" i="3"/>
  <c r="M28" i="3"/>
  <c r="N28" i="3"/>
  <c r="H53" i="7" l="1"/>
  <c r="L53" i="7"/>
  <c r="J53" i="7"/>
  <c r="Q53" i="9"/>
  <c r="M53" i="9"/>
  <c r="AA41" i="9"/>
  <c r="AA31" i="9" s="1"/>
  <c r="J53" i="9"/>
  <c r="AA20" i="9"/>
  <c r="K53" i="9"/>
  <c r="AA44" i="9"/>
  <c r="AA34" i="9" s="1"/>
  <c r="N53" i="9"/>
  <c r="AA45" i="9"/>
  <c r="AA27" i="9" s="1"/>
  <c r="R53" i="9"/>
  <c r="I53" i="9"/>
  <c r="O53" i="9"/>
  <c r="P53" i="9"/>
  <c r="G53" i="9"/>
  <c r="H53" i="9"/>
  <c r="AA12" i="9"/>
  <c r="AN12" i="9" s="1"/>
  <c r="L53" i="9"/>
  <c r="AA42" i="9"/>
  <c r="AA8" i="9" s="1"/>
  <c r="T53" i="9"/>
  <c r="AZ2" i="5" s="1"/>
  <c r="AA43" i="9"/>
  <c r="AA17" i="9" s="1"/>
  <c r="AN17" i="9" s="1"/>
  <c r="F53" i="9"/>
  <c r="AA27" i="7"/>
  <c r="AN27" i="7" s="1"/>
  <c r="F32" i="3"/>
  <c r="F33" i="3"/>
  <c r="O29" i="3"/>
  <c r="AA11" i="7"/>
  <c r="AK11" i="7" s="1"/>
  <c r="AA35" i="7"/>
  <c r="AW35" i="7" s="1"/>
  <c r="F29" i="3"/>
  <c r="AK28" i="9"/>
  <c r="AR28" i="9"/>
  <c r="AI28" i="9"/>
  <c r="AH28" i="9"/>
  <c r="AS28" i="9"/>
  <c r="AJ28" i="9"/>
  <c r="AP28" i="9"/>
  <c r="AN28" i="9"/>
  <c r="AO28" i="9"/>
  <c r="AG28" i="9"/>
  <c r="AL28" i="9"/>
  <c r="AE28" i="9"/>
  <c r="AW28" i="9"/>
  <c r="AD28" i="9"/>
  <c r="AF28" i="9"/>
  <c r="AV28" i="9"/>
  <c r="AM28" i="9"/>
  <c r="AQ28" i="9"/>
  <c r="AT28" i="9"/>
  <c r="AU28" i="9"/>
  <c r="AA15" i="9"/>
  <c r="AD28" i="7"/>
  <c r="AV28" i="7"/>
  <c r="AO28" i="7"/>
  <c r="AS28" i="7"/>
  <c r="AF28" i="7"/>
  <c r="AK28" i="7"/>
  <c r="AG28" i="7"/>
  <c r="AI28" i="7"/>
  <c r="AT28" i="7"/>
  <c r="AM28" i="7"/>
  <c r="AL28" i="7"/>
  <c r="AU28" i="7"/>
  <c r="AH28" i="7"/>
  <c r="AE28" i="7"/>
  <c r="AJ28" i="7"/>
  <c r="AW28" i="7"/>
  <c r="AQ28" i="7"/>
  <c r="AR28" i="7"/>
  <c r="AN28" i="7"/>
  <c r="AP28" i="7"/>
  <c r="AA23" i="7"/>
  <c r="AA15" i="7"/>
  <c r="AA31" i="7"/>
  <c r="AA7" i="7"/>
  <c r="AF20" i="7"/>
  <c r="AQ20" i="7"/>
  <c r="AH20" i="7"/>
  <c r="AM20" i="7"/>
  <c r="AI20" i="7"/>
  <c r="AW20" i="7"/>
  <c r="AG20" i="7"/>
  <c r="AE20" i="7"/>
  <c r="AV20" i="7"/>
  <c r="AN20" i="7"/>
  <c r="AT20" i="7"/>
  <c r="AO20" i="7"/>
  <c r="AD20" i="7"/>
  <c r="AS20" i="7"/>
  <c r="AU20" i="7"/>
  <c r="AL20" i="7"/>
  <c r="AR20" i="7"/>
  <c r="AP20" i="7"/>
  <c r="AK20" i="7"/>
  <c r="AJ20" i="7"/>
  <c r="AA34" i="7"/>
  <c r="AA26" i="7"/>
  <c r="AA10" i="7"/>
  <c r="AA18" i="7"/>
  <c r="F30" i="3"/>
  <c r="I29" i="3"/>
  <c r="AA32" i="7"/>
  <c r="AA8" i="7"/>
  <c r="AA24" i="7"/>
  <c r="AA16" i="7"/>
  <c r="AR20" i="9"/>
  <c r="AH20" i="9"/>
  <c r="AU20" i="9"/>
  <c r="AP20" i="9"/>
  <c r="AG20" i="9"/>
  <c r="AE20" i="9"/>
  <c r="AT20" i="9"/>
  <c r="AS20" i="9"/>
  <c r="AF20" i="9"/>
  <c r="AI20" i="9"/>
  <c r="AK20" i="9"/>
  <c r="AL20" i="9"/>
  <c r="AV20" i="9"/>
  <c r="AJ20" i="9"/>
  <c r="AN20" i="9"/>
  <c r="AQ20" i="9"/>
  <c r="AD20" i="9"/>
  <c r="AO20" i="9"/>
  <c r="AW20" i="9"/>
  <c r="AM20" i="9"/>
  <c r="AA13" i="9"/>
  <c r="AA21" i="9"/>
  <c r="AA5" i="9"/>
  <c r="AA29" i="9"/>
  <c r="F31" i="3"/>
  <c r="L29" i="3"/>
  <c r="AA26" i="9"/>
  <c r="AA18" i="9"/>
  <c r="AA10" i="9"/>
  <c r="AS19" i="7"/>
  <c r="AW19" i="7"/>
  <c r="AO19" i="7"/>
  <c r="AP19" i="7"/>
  <c r="AT19" i="7"/>
  <c r="AL19" i="7"/>
  <c r="AG19" i="7"/>
  <c r="AN19" i="7"/>
  <c r="AV19" i="7"/>
  <c r="AE19" i="7"/>
  <c r="AI19" i="7"/>
  <c r="AD19" i="7"/>
  <c r="AM19" i="7"/>
  <c r="AQ19" i="7"/>
  <c r="AK19" i="7"/>
  <c r="AJ19" i="7"/>
  <c r="AR19" i="7"/>
  <c r="AH19" i="7"/>
  <c r="AF19" i="7"/>
  <c r="AU19" i="7"/>
  <c r="AA21" i="7"/>
  <c r="AA5" i="7"/>
  <c r="AA13" i="7"/>
  <c r="AA29" i="7"/>
  <c r="AF12" i="9"/>
  <c r="AP12" i="9"/>
  <c r="AW12" i="9"/>
  <c r="AI36" i="7"/>
  <c r="AV36" i="7"/>
  <c r="AF36" i="7"/>
  <c r="AQ36" i="7"/>
  <c r="AE36" i="7"/>
  <c r="AT36" i="7"/>
  <c r="AJ36" i="7"/>
  <c r="AW36" i="7"/>
  <c r="AD36" i="7"/>
  <c r="AP36" i="7"/>
  <c r="AS36" i="7"/>
  <c r="AL36" i="7"/>
  <c r="AH36" i="7"/>
  <c r="AR36" i="7"/>
  <c r="AG36" i="7"/>
  <c r="AU36" i="7"/>
  <c r="AM36" i="7"/>
  <c r="AN36" i="7"/>
  <c r="AO36" i="7"/>
  <c r="AK36" i="7"/>
  <c r="AF17" i="9"/>
  <c r="AS17" i="9"/>
  <c r="AO17" i="9"/>
  <c r="AW17" i="9"/>
  <c r="AJ17" i="9"/>
  <c r="AG17" i="9"/>
  <c r="AR17" i="9"/>
  <c r="AA25" i="7"/>
  <c r="AA9" i="7"/>
  <c r="AA33" i="7"/>
  <c r="AA17" i="7"/>
  <c r="AA6" i="7"/>
  <c r="AA22" i="7"/>
  <c r="AA14" i="7"/>
  <c r="AA30" i="7"/>
  <c r="AF36" i="9"/>
  <c r="AL36" i="9"/>
  <c r="AV36" i="9"/>
  <c r="AJ36" i="9"/>
  <c r="AQ36" i="9"/>
  <c r="AD36" i="9"/>
  <c r="AW36" i="9"/>
  <c r="AI36" i="9"/>
  <c r="AP36" i="9"/>
  <c r="AN36" i="9"/>
  <c r="AH36" i="9"/>
  <c r="AR36" i="9"/>
  <c r="AM36" i="9"/>
  <c r="AG36" i="9"/>
  <c r="AT36" i="9"/>
  <c r="AO36" i="9"/>
  <c r="AK36" i="9"/>
  <c r="AE36" i="9"/>
  <c r="AS36" i="9"/>
  <c r="AU36" i="9"/>
  <c r="AA14" i="9"/>
  <c r="AA30" i="9"/>
  <c r="AA6" i="9"/>
  <c r="AA22" i="9"/>
  <c r="AS12" i="7"/>
  <c r="AE12" i="7"/>
  <c r="AU12" i="7"/>
  <c r="AN12" i="7"/>
  <c r="AD12" i="7"/>
  <c r="AO12" i="7"/>
  <c r="AQ12" i="7"/>
  <c r="AG12" i="7"/>
  <c r="AW12" i="7"/>
  <c r="AV12" i="7"/>
  <c r="AF12" i="7"/>
  <c r="AI12" i="7"/>
  <c r="AJ12" i="7"/>
  <c r="AR12" i="7"/>
  <c r="AT12" i="7"/>
  <c r="AK12" i="7"/>
  <c r="AL12" i="7"/>
  <c r="AH12" i="7"/>
  <c r="AP12" i="7"/>
  <c r="AM12" i="7"/>
  <c r="AA7" i="9" l="1"/>
  <c r="AQ17" i="9"/>
  <c r="AP17" i="9"/>
  <c r="AE17" i="9"/>
  <c r="AM17" i="9"/>
  <c r="AD17" i="9"/>
  <c r="AA23" i="9"/>
  <c r="AA35" i="9"/>
  <c r="AH17" i="9"/>
  <c r="AT17" i="9"/>
  <c r="AI17" i="9"/>
  <c r="AK17" i="9"/>
  <c r="AL17" i="9"/>
  <c r="AU17" i="9"/>
  <c r="AV17" i="9"/>
  <c r="AA25" i="9"/>
  <c r="AA32" i="9"/>
  <c r="AG32" i="9" s="1"/>
  <c r="AO12" i="9"/>
  <c r="AA16" i="9"/>
  <c r="AA24" i="9"/>
  <c r="AP25" i="9"/>
  <c r="AM12" i="9"/>
  <c r="AU25" i="9"/>
  <c r="AL12" i="9"/>
  <c r="AT12" i="9"/>
  <c r="AU12" i="9"/>
  <c r="AS25" i="9"/>
  <c r="AO25" i="9"/>
  <c r="AH12" i="9"/>
  <c r="AG12" i="9"/>
  <c r="AJ12" i="9"/>
  <c r="AL25" i="9"/>
  <c r="AR12" i="9"/>
  <c r="AI25" i="9"/>
  <c r="AF25" i="9"/>
  <c r="AA11" i="9"/>
  <c r="AI11" i="9" s="1"/>
  <c r="AK12" i="9"/>
  <c r="AS12" i="9"/>
  <c r="AI12" i="9"/>
  <c r="AM25" i="9"/>
  <c r="AR25" i="9"/>
  <c r="AV25" i="9"/>
  <c r="AA19" i="9"/>
  <c r="AD19" i="9" s="1"/>
  <c r="AA33" i="9"/>
  <c r="AF33" i="9" s="1"/>
  <c r="AQ12" i="9"/>
  <c r="AD12" i="9"/>
  <c r="AW25" i="9"/>
  <c r="AN25" i="9"/>
  <c r="AE12" i="9"/>
  <c r="AV12" i="9"/>
  <c r="AH25" i="9"/>
  <c r="AA9" i="9"/>
  <c r="AD9" i="9" s="1"/>
  <c r="AE33" i="9"/>
  <c r="AK33" i="9"/>
  <c r="AH27" i="7"/>
  <c r="AP27" i="7"/>
  <c r="AV27" i="7"/>
  <c r="AF27" i="7"/>
  <c r="AI27" i="7"/>
  <c r="AS27" i="7"/>
  <c r="AE27" i="7"/>
  <c r="AK27" i="7"/>
  <c r="AD27" i="7"/>
  <c r="AG27" i="7"/>
  <c r="AQ27" i="7"/>
  <c r="AW27" i="7"/>
  <c r="AM27" i="7"/>
  <c r="AO27" i="7"/>
  <c r="AU27" i="7"/>
  <c r="AR27" i="7"/>
  <c r="AL27" i="7"/>
  <c r="AT27" i="7"/>
  <c r="AJ27" i="7"/>
  <c r="AI11" i="7"/>
  <c r="AH35" i="7"/>
  <c r="AO11" i="7"/>
  <c r="AR11" i="7"/>
  <c r="AG11" i="7"/>
  <c r="AK35" i="7"/>
  <c r="AW11" i="7"/>
  <c r="AE35" i="7"/>
  <c r="AN11" i="7"/>
  <c r="AT35" i="7"/>
  <c r="AU35" i="7"/>
  <c r="AL35" i="7"/>
  <c r="AN35" i="7"/>
  <c r="AL11" i="7"/>
  <c r="AP11" i="7"/>
  <c r="AH11" i="7"/>
  <c r="AV11" i="7"/>
  <c r="AP35" i="7"/>
  <c r="AJ35" i="7"/>
  <c r="AQ35" i="7"/>
  <c r="AD35" i="7"/>
  <c r="AF11" i="7"/>
  <c r="AS11" i="7"/>
  <c r="AD11" i="7"/>
  <c r="AE11" i="7"/>
  <c r="AR35" i="7"/>
  <c r="AG35" i="7"/>
  <c r="AF35" i="7"/>
  <c r="AO35" i="7"/>
  <c r="AI35" i="7"/>
  <c r="AT11" i="7"/>
  <c r="AM11" i="7"/>
  <c r="AU11" i="7"/>
  <c r="AS35" i="7"/>
  <c r="AV35" i="7"/>
  <c r="AM35" i="7"/>
  <c r="AQ11" i="7"/>
  <c r="AJ11" i="7"/>
  <c r="Q29" i="3"/>
  <c r="AP5" i="7"/>
  <c r="AN5" i="7"/>
  <c r="AS5" i="7"/>
  <c r="AH5" i="7"/>
  <c r="AW5" i="7"/>
  <c r="AR5" i="7"/>
  <c r="AI5" i="7"/>
  <c r="AF5" i="7"/>
  <c r="AV5" i="7"/>
  <c r="AK5" i="7"/>
  <c r="AO5" i="7"/>
  <c r="AU5" i="7"/>
  <c r="AQ5" i="7"/>
  <c r="AG5" i="7"/>
  <c r="AL5" i="7"/>
  <c r="AT5" i="7"/>
  <c r="AE5" i="7"/>
  <c r="AD5" i="7"/>
  <c r="AM5" i="7"/>
  <c r="AJ5" i="7"/>
  <c r="AP11" i="9"/>
  <c r="AJ10" i="7"/>
  <c r="AR10" i="7"/>
  <c r="AW10" i="7"/>
  <c r="AG10" i="7"/>
  <c r="AD10" i="7"/>
  <c r="AI10" i="7"/>
  <c r="AK10" i="7"/>
  <c r="AV10" i="7"/>
  <c r="AH10" i="7"/>
  <c r="AQ10" i="7"/>
  <c r="AT10" i="7"/>
  <c r="AL10" i="7"/>
  <c r="AN10" i="7"/>
  <c r="AM10" i="7"/>
  <c r="AP10" i="7"/>
  <c r="AF10" i="7"/>
  <c r="AS10" i="7"/>
  <c r="AE10" i="7"/>
  <c r="AU10" i="7"/>
  <c r="AO10" i="7"/>
  <c r="AK15" i="7"/>
  <c r="AG15" i="7"/>
  <c r="AF15" i="7"/>
  <c r="AW15" i="7"/>
  <c r="AP15" i="7"/>
  <c r="AR15" i="7"/>
  <c r="AT15" i="7"/>
  <c r="AS15" i="7"/>
  <c r="AJ15" i="7"/>
  <c r="AE15" i="7"/>
  <c r="AM15" i="7"/>
  <c r="AI15" i="7"/>
  <c r="AL15" i="7"/>
  <c r="AO15" i="7"/>
  <c r="AH15" i="7"/>
  <c r="AD15" i="7"/>
  <c r="AN15" i="7"/>
  <c r="AV15" i="7"/>
  <c r="AU15" i="7"/>
  <c r="AQ15" i="7"/>
  <c r="AT23" i="9"/>
  <c r="AH23" i="9"/>
  <c r="AS23" i="9"/>
  <c r="AU23" i="9"/>
  <c r="AK23" i="9"/>
  <c r="AE23" i="9"/>
  <c r="AP23" i="9"/>
  <c r="AR23" i="9"/>
  <c r="AO23" i="9"/>
  <c r="AQ23" i="9"/>
  <c r="AD23" i="9"/>
  <c r="AV23" i="9"/>
  <c r="AJ23" i="9"/>
  <c r="AN23" i="9"/>
  <c r="AL23" i="9"/>
  <c r="AM23" i="9"/>
  <c r="AF23" i="9"/>
  <c r="AG23" i="9"/>
  <c r="AI23" i="9"/>
  <c r="AW23" i="9"/>
  <c r="AG22" i="9"/>
  <c r="AJ22" i="9"/>
  <c r="AS22" i="9"/>
  <c r="AQ22" i="9"/>
  <c r="AP22" i="9"/>
  <c r="AF22" i="9"/>
  <c r="AK22" i="9"/>
  <c r="AU22" i="9"/>
  <c r="AH22" i="9"/>
  <c r="AL22" i="9"/>
  <c r="AE22" i="9"/>
  <c r="AT22" i="9"/>
  <c r="AR22" i="9"/>
  <c r="AN22" i="9"/>
  <c r="AW22" i="9"/>
  <c r="AV22" i="9"/>
  <c r="AD22" i="9"/>
  <c r="AO22" i="9"/>
  <c r="AM22" i="9"/>
  <c r="AI22" i="9"/>
  <c r="AH30" i="7"/>
  <c r="AR30" i="7"/>
  <c r="AW30" i="7"/>
  <c r="AV30" i="7"/>
  <c r="AT30" i="7"/>
  <c r="AG30" i="7"/>
  <c r="AS30" i="7"/>
  <c r="AE30" i="7"/>
  <c r="AM30" i="7"/>
  <c r="AN30" i="7"/>
  <c r="AO30" i="7"/>
  <c r="AL30" i="7"/>
  <c r="AD30" i="7"/>
  <c r="AU30" i="7"/>
  <c r="AI30" i="7"/>
  <c r="AK30" i="7"/>
  <c r="AQ30" i="7"/>
  <c r="AJ30" i="7"/>
  <c r="AP30" i="7"/>
  <c r="AF30" i="7"/>
  <c r="AJ9" i="7"/>
  <c r="AH9" i="7"/>
  <c r="AO9" i="7"/>
  <c r="AD9" i="7"/>
  <c r="AL9" i="7"/>
  <c r="AU9" i="7"/>
  <c r="AP9" i="7"/>
  <c r="AW9" i="7"/>
  <c r="AR9" i="7"/>
  <c r="AS9" i="7"/>
  <c r="AI9" i="7"/>
  <c r="AV9" i="7"/>
  <c r="AQ9" i="7"/>
  <c r="AT9" i="7"/>
  <c r="AK9" i="7"/>
  <c r="AN9" i="7"/>
  <c r="AE9" i="7"/>
  <c r="AG9" i="7"/>
  <c r="AM9" i="7"/>
  <c r="AF9" i="7"/>
  <c r="AM32" i="9"/>
  <c r="AF32" i="9"/>
  <c r="AT32" i="9"/>
  <c r="AN32" i="9"/>
  <c r="AL32" i="9"/>
  <c r="AP32" i="9"/>
  <c r="AD29" i="7"/>
  <c r="AK29" i="7"/>
  <c r="AE29" i="7"/>
  <c r="AI29" i="7"/>
  <c r="AF29" i="7"/>
  <c r="AH29" i="7"/>
  <c r="AS29" i="7"/>
  <c r="AL29" i="7"/>
  <c r="AT29" i="7"/>
  <c r="AV29" i="7"/>
  <c r="AU29" i="7"/>
  <c r="AP29" i="7"/>
  <c r="AM29" i="7"/>
  <c r="AJ29" i="7"/>
  <c r="AN29" i="7"/>
  <c r="AG29" i="7"/>
  <c r="AQ29" i="7"/>
  <c r="AO29" i="7"/>
  <c r="AR29" i="7"/>
  <c r="AW29" i="7"/>
  <c r="AI21" i="9"/>
  <c r="AH21" i="9"/>
  <c r="AS21" i="9"/>
  <c r="AF21" i="9"/>
  <c r="AK21" i="9"/>
  <c r="AQ21" i="9"/>
  <c r="AR21" i="9"/>
  <c r="AM21" i="9"/>
  <c r="AT21" i="9"/>
  <c r="AP21" i="9"/>
  <c r="AL21" i="9"/>
  <c r="AN21" i="9"/>
  <c r="AW21" i="9"/>
  <c r="AO21" i="9"/>
  <c r="AG21" i="9"/>
  <c r="AE21" i="9"/>
  <c r="AJ21" i="9"/>
  <c r="AV21" i="9"/>
  <c r="AU21" i="9"/>
  <c r="AD21" i="9"/>
  <c r="AU8" i="7"/>
  <c r="AF8" i="7"/>
  <c r="AN8" i="7"/>
  <c r="AG8" i="7"/>
  <c r="AI8" i="7"/>
  <c r="AP8" i="7"/>
  <c r="AR8" i="7"/>
  <c r="AE8" i="7"/>
  <c r="AD8" i="7"/>
  <c r="AV8" i="7"/>
  <c r="AW8" i="7"/>
  <c r="AM8" i="7"/>
  <c r="AQ8" i="7"/>
  <c r="AO8" i="7"/>
  <c r="AL8" i="7"/>
  <c r="AS8" i="7"/>
  <c r="AK8" i="7"/>
  <c r="AJ8" i="7"/>
  <c r="AH8" i="7"/>
  <c r="AT8" i="7"/>
  <c r="AF26" i="7"/>
  <c r="AH26" i="7"/>
  <c r="AO26" i="7"/>
  <c r="AW26" i="7"/>
  <c r="AS26" i="7"/>
  <c r="AP26" i="7"/>
  <c r="AG26" i="7"/>
  <c r="AM26" i="7"/>
  <c r="AI26" i="7"/>
  <c r="AK26" i="7"/>
  <c r="AU26" i="7"/>
  <c r="AJ26" i="7"/>
  <c r="AT26" i="7"/>
  <c r="AQ26" i="7"/>
  <c r="AV26" i="7"/>
  <c r="AD26" i="7"/>
  <c r="AR26" i="7"/>
  <c r="AE26" i="7"/>
  <c r="AL26" i="7"/>
  <c r="AN26" i="7"/>
  <c r="AU23" i="7"/>
  <c r="AG23" i="7"/>
  <c r="AH23" i="7"/>
  <c r="AS23" i="7"/>
  <c r="AO23" i="7"/>
  <c r="AK23" i="7"/>
  <c r="AN23" i="7"/>
  <c r="AV23" i="7"/>
  <c r="AQ23" i="7"/>
  <c r="AE23" i="7"/>
  <c r="AW23" i="7"/>
  <c r="AJ23" i="7"/>
  <c r="AI23" i="7"/>
  <c r="AM23" i="7"/>
  <c r="AL23" i="7"/>
  <c r="AT23" i="7"/>
  <c r="AD23" i="7"/>
  <c r="AF23" i="7"/>
  <c r="AR23" i="7"/>
  <c r="AP23" i="7"/>
  <c r="AF31" i="9"/>
  <c r="AN31" i="9"/>
  <c r="AH31" i="9"/>
  <c r="AV31" i="9"/>
  <c r="AT31" i="9"/>
  <c r="AM31" i="9"/>
  <c r="AW31" i="9"/>
  <c r="AO31" i="9"/>
  <c r="AJ31" i="9"/>
  <c r="AI31" i="9"/>
  <c r="AP31" i="9"/>
  <c r="AK31" i="9"/>
  <c r="AQ31" i="9"/>
  <c r="AS31" i="9"/>
  <c r="AU31" i="9"/>
  <c r="AG31" i="9"/>
  <c r="AR31" i="9"/>
  <c r="AE31" i="9"/>
  <c r="AL31" i="9"/>
  <c r="AD31" i="9"/>
  <c r="AQ10" i="9"/>
  <c r="AT10" i="9"/>
  <c r="AV10" i="9"/>
  <c r="AU10" i="9"/>
  <c r="AD10" i="9"/>
  <c r="AI10" i="9"/>
  <c r="AH10" i="9"/>
  <c r="AW10" i="9"/>
  <c r="AL10" i="9"/>
  <c r="AJ10" i="9"/>
  <c r="AN10" i="9"/>
  <c r="AG10" i="9"/>
  <c r="AP10" i="9"/>
  <c r="AO10" i="9"/>
  <c r="AK10" i="9"/>
  <c r="AE10" i="9"/>
  <c r="AS10" i="9"/>
  <c r="AM10" i="9"/>
  <c r="AF10" i="9"/>
  <c r="AR10" i="9"/>
  <c r="AO33" i="7"/>
  <c r="AD33" i="7"/>
  <c r="AQ33" i="7"/>
  <c r="AH33" i="7"/>
  <c r="AI33" i="7"/>
  <c r="AR33" i="7"/>
  <c r="AN33" i="7"/>
  <c r="AF33" i="7"/>
  <c r="AP33" i="7"/>
  <c r="AM33" i="7"/>
  <c r="AT33" i="7"/>
  <c r="AE33" i="7"/>
  <c r="AK33" i="7"/>
  <c r="AG33" i="7"/>
  <c r="AW33" i="7"/>
  <c r="AS33" i="7"/>
  <c r="AL33" i="7"/>
  <c r="AU33" i="7"/>
  <c r="AV33" i="7"/>
  <c r="AJ33" i="7"/>
  <c r="AI34" i="9"/>
  <c r="AU34" i="9"/>
  <c r="AP34" i="9"/>
  <c r="AO34" i="9"/>
  <c r="AW34" i="9"/>
  <c r="AL34" i="9"/>
  <c r="AE34" i="9"/>
  <c r="AF34" i="9"/>
  <c r="AR34" i="9"/>
  <c r="AK34" i="9"/>
  <c r="AD34" i="9"/>
  <c r="AV34" i="9"/>
  <c r="AT34" i="9"/>
  <c r="AH34" i="9"/>
  <c r="AJ34" i="9"/>
  <c r="AN34" i="9"/>
  <c r="AM34" i="9"/>
  <c r="AG34" i="9"/>
  <c r="AS34" i="9"/>
  <c r="AQ34" i="9"/>
  <c r="AU5" i="9"/>
  <c r="AR5" i="9"/>
  <c r="AK5" i="9"/>
  <c r="AV5" i="9"/>
  <c r="AN5" i="9"/>
  <c r="AO5" i="9"/>
  <c r="AS5" i="9"/>
  <c r="AD5" i="9"/>
  <c r="AH5" i="9"/>
  <c r="AE5" i="9"/>
  <c r="AJ5" i="9"/>
  <c r="AF5" i="9"/>
  <c r="AQ5" i="9"/>
  <c r="AW5" i="9"/>
  <c r="AT5" i="9"/>
  <c r="AP5" i="9"/>
  <c r="AM5" i="9"/>
  <c r="AI5" i="9"/>
  <c r="AL5" i="9"/>
  <c r="AG5" i="9"/>
  <c r="AL24" i="7"/>
  <c r="AU24" i="7"/>
  <c r="AM24" i="7"/>
  <c r="AI24" i="7"/>
  <c r="AH24" i="7"/>
  <c r="AQ24" i="7"/>
  <c r="AV24" i="7"/>
  <c r="AG24" i="7"/>
  <c r="AN24" i="7"/>
  <c r="AW24" i="7"/>
  <c r="AR24" i="7"/>
  <c r="AE24" i="7"/>
  <c r="AS24" i="7"/>
  <c r="AK24" i="7"/>
  <c r="AP24" i="7"/>
  <c r="AF24" i="7"/>
  <c r="AJ24" i="7"/>
  <c r="AT24" i="7"/>
  <c r="AD24" i="7"/>
  <c r="AO24" i="7"/>
  <c r="AT35" i="9"/>
  <c r="AG35" i="9"/>
  <c r="AK35" i="9"/>
  <c r="AW35" i="9"/>
  <c r="AP35" i="9"/>
  <c r="AL35" i="9"/>
  <c r="AF35" i="9"/>
  <c r="AU35" i="9"/>
  <c r="AR35" i="9"/>
  <c r="AE35" i="9"/>
  <c r="AN35" i="9"/>
  <c r="AM35" i="9"/>
  <c r="AD35" i="9"/>
  <c r="AS35" i="9"/>
  <c r="AH35" i="9"/>
  <c r="AI35" i="9"/>
  <c r="AO35" i="9"/>
  <c r="AV35" i="9"/>
  <c r="AJ35" i="9"/>
  <c r="AQ35" i="9"/>
  <c r="AW6" i="9"/>
  <c r="AG6" i="9"/>
  <c r="AV6" i="9"/>
  <c r="AO6" i="9"/>
  <c r="AT6" i="9"/>
  <c r="AF6" i="9"/>
  <c r="AE6" i="9"/>
  <c r="AU6" i="9"/>
  <c r="AP6" i="9"/>
  <c r="AR6" i="9"/>
  <c r="AQ6" i="9"/>
  <c r="AI6" i="9"/>
  <c r="AK6" i="9"/>
  <c r="AJ6" i="9"/>
  <c r="AS6" i="9"/>
  <c r="AH6" i="9"/>
  <c r="AD6" i="9"/>
  <c r="AL6" i="9"/>
  <c r="AN6" i="9"/>
  <c r="AM6" i="9"/>
  <c r="AD14" i="7"/>
  <c r="AL14" i="7"/>
  <c r="AV14" i="7"/>
  <c r="AO14" i="7"/>
  <c r="AS14" i="7"/>
  <c r="AH14" i="7"/>
  <c r="AM14" i="7"/>
  <c r="AR14" i="7"/>
  <c r="AW14" i="7"/>
  <c r="AF14" i="7"/>
  <c r="AI14" i="7"/>
  <c r="AU14" i="7"/>
  <c r="AE14" i="7"/>
  <c r="AQ14" i="7"/>
  <c r="AG14" i="7"/>
  <c r="AT14" i="7"/>
  <c r="AP14" i="7"/>
  <c r="AN14" i="7"/>
  <c r="AJ14" i="7"/>
  <c r="AK14" i="7"/>
  <c r="AM25" i="7"/>
  <c r="AP25" i="7"/>
  <c r="AD25" i="7"/>
  <c r="AF25" i="7"/>
  <c r="AE25" i="7"/>
  <c r="AT25" i="7"/>
  <c r="AL25" i="7"/>
  <c r="AR25" i="7"/>
  <c r="AO25" i="7"/>
  <c r="AS25" i="7"/>
  <c r="AJ25" i="7"/>
  <c r="AV25" i="7"/>
  <c r="AK25" i="7"/>
  <c r="AU25" i="7"/>
  <c r="AG25" i="7"/>
  <c r="AH25" i="7"/>
  <c r="AQ25" i="7"/>
  <c r="AN25" i="7"/>
  <c r="AI25" i="7"/>
  <c r="AW25" i="7"/>
  <c r="AH16" i="9"/>
  <c r="AT16" i="9"/>
  <c r="AQ16" i="9"/>
  <c r="AG16" i="9"/>
  <c r="AP16" i="9"/>
  <c r="AO16" i="9"/>
  <c r="AU16" i="9"/>
  <c r="AM16" i="9"/>
  <c r="AJ16" i="9"/>
  <c r="AD16" i="9"/>
  <c r="AW16" i="9"/>
  <c r="AS16" i="9"/>
  <c r="AL16" i="9"/>
  <c r="AE16" i="9"/>
  <c r="AR16" i="9"/>
  <c r="AN16" i="9"/>
  <c r="AF16" i="9"/>
  <c r="AI16" i="9"/>
  <c r="AV16" i="9"/>
  <c r="AK16" i="9"/>
  <c r="AK13" i="7"/>
  <c r="AI13" i="7"/>
  <c r="AN13" i="7"/>
  <c r="AS13" i="7"/>
  <c r="AR13" i="7"/>
  <c r="AO13" i="7"/>
  <c r="AU13" i="7"/>
  <c r="AV13" i="7"/>
  <c r="AQ13" i="7"/>
  <c r="AW13" i="7"/>
  <c r="AF13" i="7"/>
  <c r="AH13" i="7"/>
  <c r="AM13" i="7"/>
  <c r="AP13" i="7"/>
  <c r="AG13" i="7"/>
  <c r="AD13" i="7"/>
  <c r="AT13" i="7"/>
  <c r="AL13" i="7"/>
  <c r="AE13" i="7"/>
  <c r="AJ13" i="7"/>
  <c r="AH13" i="9"/>
  <c r="AK13" i="9"/>
  <c r="AD13" i="9"/>
  <c r="AE13" i="9"/>
  <c r="AN13" i="9"/>
  <c r="AP13" i="9"/>
  <c r="AQ13" i="9"/>
  <c r="AW13" i="9"/>
  <c r="AU13" i="9"/>
  <c r="AJ13" i="9"/>
  <c r="AG13" i="9"/>
  <c r="AL13" i="9"/>
  <c r="AO13" i="9"/>
  <c r="AS13" i="9"/>
  <c r="AI13" i="9"/>
  <c r="AV13" i="9"/>
  <c r="AR13" i="9"/>
  <c r="AT13" i="9"/>
  <c r="AF13" i="9"/>
  <c r="AM13" i="9"/>
  <c r="AS32" i="7"/>
  <c r="AT32" i="7"/>
  <c r="AE32" i="7"/>
  <c r="AD32" i="7"/>
  <c r="AV32" i="7"/>
  <c r="AP32" i="7"/>
  <c r="AM32" i="7"/>
  <c r="AU32" i="7"/>
  <c r="AQ32" i="7"/>
  <c r="AR32" i="7"/>
  <c r="AW32" i="7"/>
  <c r="AL32" i="7"/>
  <c r="AI32" i="7"/>
  <c r="AK32" i="7"/>
  <c r="AO32" i="7"/>
  <c r="AH32" i="7"/>
  <c r="AG32" i="7"/>
  <c r="AF32" i="7"/>
  <c r="AN32" i="7"/>
  <c r="AJ32" i="7"/>
  <c r="AT34" i="7"/>
  <c r="AI34" i="7"/>
  <c r="AV34" i="7"/>
  <c r="AD34" i="7"/>
  <c r="AH34" i="7"/>
  <c r="AR34" i="7"/>
  <c r="AO34" i="7"/>
  <c r="AL34" i="7"/>
  <c r="AF34" i="7"/>
  <c r="AP34" i="7"/>
  <c r="AK34" i="7"/>
  <c r="AJ34" i="7"/>
  <c r="AN34" i="7"/>
  <c r="AW34" i="7"/>
  <c r="AQ34" i="7"/>
  <c r="AS34" i="7"/>
  <c r="AM34" i="7"/>
  <c r="AE34" i="7"/>
  <c r="AG34" i="7"/>
  <c r="AU34" i="7"/>
  <c r="AF15" i="9"/>
  <c r="AH15" i="9"/>
  <c r="AD15" i="9"/>
  <c r="AE15" i="9"/>
  <c r="AR15" i="9"/>
  <c r="AM15" i="9"/>
  <c r="AW15" i="9"/>
  <c r="AV15" i="9"/>
  <c r="AS15" i="9"/>
  <c r="AL15" i="9"/>
  <c r="AO15" i="9"/>
  <c r="AI15" i="9"/>
  <c r="AP15" i="9"/>
  <c r="AN15" i="9"/>
  <c r="AK15" i="9"/>
  <c r="AG15" i="9"/>
  <c r="AU15" i="9"/>
  <c r="AQ15" i="9"/>
  <c r="AT15" i="9"/>
  <c r="AJ15" i="9"/>
  <c r="AL30" i="9"/>
  <c r="AM30" i="9"/>
  <c r="AR30" i="9"/>
  <c r="AU30" i="9"/>
  <c r="AH30" i="9"/>
  <c r="AJ30" i="9"/>
  <c r="AK30" i="9"/>
  <c r="AQ30" i="9"/>
  <c r="AN30" i="9"/>
  <c r="AI30" i="9"/>
  <c r="AV30" i="9"/>
  <c r="AD30" i="9"/>
  <c r="AW30" i="9"/>
  <c r="AG30" i="9"/>
  <c r="AF30" i="9"/>
  <c r="AE30" i="9"/>
  <c r="AP30" i="9"/>
  <c r="AT30" i="9"/>
  <c r="AS30" i="9"/>
  <c r="AO30" i="9"/>
  <c r="AT22" i="7"/>
  <c r="AF22" i="7"/>
  <c r="AP22" i="7"/>
  <c r="AM22" i="7"/>
  <c r="AU22" i="7"/>
  <c r="AJ22" i="7"/>
  <c r="AL22" i="7"/>
  <c r="AH22" i="7"/>
  <c r="AS22" i="7"/>
  <c r="AI22" i="7"/>
  <c r="AQ22" i="7"/>
  <c r="AK22" i="7"/>
  <c r="AG22" i="7"/>
  <c r="AO22" i="7"/>
  <c r="AD22" i="7"/>
  <c r="AR22" i="7"/>
  <c r="AN22" i="7"/>
  <c r="AW22" i="7"/>
  <c r="AE22" i="7"/>
  <c r="AV22" i="7"/>
  <c r="AK24" i="9"/>
  <c r="AV24" i="9"/>
  <c r="AJ24" i="9"/>
  <c r="AH24" i="9"/>
  <c r="AQ24" i="9"/>
  <c r="AG24" i="9"/>
  <c r="AE24" i="9"/>
  <c r="AU24" i="9"/>
  <c r="AD24" i="9"/>
  <c r="AI24" i="9"/>
  <c r="AW24" i="9"/>
  <c r="AS24" i="9"/>
  <c r="AN24" i="9"/>
  <c r="AL24" i="9"/>
  <c r="AF24" i="9"/>
  <c r="AR24" i="9"/>
  <c r="AT24" i="9"/>
  <c r="AM24" i="9"/>
  <c r="AO24" i="9"/>
  <c r="AP24" i="9"/>
  <c r="AN7" i="9"/>
  <c r="AU7" i="9"/>
  <c r="AE7" i="9"/>
  <c r="AS7" i="9"/>
  <c r="AW7" i="9"/>
  <c r="AT7" i="9"/>
  <c r="AD7" i="9"/>
  <c r="AO7" i="9"/>
  <c r="AH7" i="9"/>
  <c r="AL7" i="9"/>
  <c r="AF7" i="9"/>
  <c r="AP7" i="9"/>
  <c r="AM7" i="9"/>
  <c r="AQ7" i="9"/>
  <c r="AV7" i="9"/>
  <c r="AI7" i="9"/>
  <c r="AG7" i="9"/>
  <c r="AR7" i="9"/>
  <c r="AK7" i="9"/>
  <c r="AJ7" i="9"/>
  <c r="AU14" i="9"/>
  <c r="AN14" i="9"/>
  <c r="AD14" i="9"/>
  <c r="AR14" i="9"/>
  <c r="AO14" i="9"/>
  <c r="AH14" i="9"/>
  <c r="AI14" i="9"/>
  <c r="AK14" i="9"/>
  <c r="AF14" i="9"/>
  <c r="AV14" i="9"/>
  <c r="AS14" i="9"/>
  <c r="AE14" i="9"/>
  <c r="AP14" i="9"/>
  <c r="AL14" i="9"/>
  <c r="AM14" i="9"/>
  <c r="AT14" i="9"/>
  <c r="AQ14" i="9"/>
  <c r="AG14" i="9"/>
  <c r="AW14" i="9"/>
  <c r="AJ14" i="9"/>
  <c r="AG6" i="7"/>
  <c r="AR6" i="7"/>
  <c r="AI6" i="7"/>
  <c r="AJ6" i="7"/>
  <c r="AH6" i="7"/>
  <c r="AW6" i="7"/>
  <c r="AO6" i="7"/>
  <c r="AK6" i="7"/>
  <c r="AN6" i="7"/>
  <c r="AM6" i="7"/>
  <c r="AT6" i="7"/>
  <c r="AU6" i="7"/>
  <c r="AV6" i="7"/>
  <c r="AQ6" i="7"/>
  <c r="AS6" i="7"/>
  <c r="AE6" i="7"/>
  <c r="AF6" i="7"/>
  <c r="AP6" i="7"/>
  <c r="AL6" i="7"/>
  <c r="AD6" i="7"/>
  <c r="AQ8" i="9"/>
  <c r="AU8" i="9"/>
  <c r="AW8" i="9"/>
  <c r="AI8" i="9"/>
  <c r="AG8" i="9"/>
  <c r="AE8" i="9"/>
  <c r="AM8" i="9"/>
  <c r="AP8" i="9"/>
  <c r="AJ8" i="9"/>
  <c r="AO8" i="9"/>
  <c r="AT8" i="9"/>
  <c r="AS8" i="9"/>
  <c r="AV8" i="9"/>
  <c r="AK8" i="9"/>
  <c r="AR8" i="9"/>
  <c r="AL8" i="9"/>
  <c r="AH8" i="9"/>
  <c r="AN8" i="9"/>
  <c r="AF8" i="9"/>
  <c r="AD8" i="9"/>
  <c r="AD21" i="7"/>
  <c r="AO21" i="7"/>
  <c r="AF21" i="7"/>
  <c r="AU21" i="7"/>
  <c r="AT21" i="7"/>
  <c r="AN21" i="7"/>
  <c r="AL21" i="7"/>
  <c r="AI21" i="7"/>
  <c r="AQ21" i="7"/>
  <c r="AP21" i="7"/>
  <c r="AW21" i="7"/>
  <c r="AJ21" i="7"/>
  <c r="AM21" i="7"/>
  <c r="AR21" i="7"/>
  <c r="AG21" i="7"/>
  <c r="AV21" i="7"/>
  <c r="AS21" i="7"/>
  <c r="AK21" i="7"/>
  <c r="AE21" i="7"/>
  <c r="AH21" i="7"/>
  <c r="AG18" i="9"/>
  <c r="AE18" i="9"/>
  <c r="AR18" i="9"/>
  <c r="AS18" i="9"/>
  <c r="AK18" i="9"/>
  <c r="AP18" i="9"/>
  <c r="AU18" i="9"/>
  <c r="AF18" i="9"/>
  <c r="AD18" i="9"/>
  <c r="AM18" i="9"/>
  <c r="AO18" i="9"/>
  <c r="AL18" i="9"/>
  <c r="AW18" i="9"/>
  <c r="AT18" i="9"/>
  <c r="AV18" i="9"/>
  <c r="AQ18" i="9"/>
  <c r="AI18" i="9"/>
  <c r="AH18" i="9"/>
  <c r="AN18" i="9"/>
  <c r="AJ18" i="9"/>
  <c r="AH19" i="9"/>
  <c r="AP19" i="9"/>
  <c r="AG19" i="9"/>
  <c r="AS19" i="9"/>
  <c r="AI19" i="9"/>
  <c r="AF19" i="9"/>
  <c r="AM19" i="9"/>
  <c r="AO19" i="9"/>
  <c r="AM7" i="7"/>
  <c r="AV7" i="7"/>
  <c r="AT7" i="7"/>
  <c r="AO7" i="7"/>
  <c r="AD7" i="7"/>
  <c r="AJ7" i="7"/>
  <c r="AN7" i="7"/>
  <c r="AE7" i="7"/>
  <c r="AK7" i="7"/>
  <c r="AG7" i="7"/>
  <c r="AQ7" i="7"/>
  <c r="AS7" i="7"/>
  <c r="AW7" i="7"/>
  <c r="AI7" i="7"/>
  <c r="AL7" i="7"/>
  <c r="AH7" i="7"/>
  <c r="AF7" i="7"/>
  <c r="AP7" i="7"/>
  <c r="AR7" i="7"/>
  <c r="AU7" i="7"/>
  <c r="AF17" i="7"/>
  <c r="AR17" i="7"/>
  <c r="AL17" i="7"/>
  <c r="AM17" i="7"/>
  <c r="AG17" i="7"/>
  <c r="AJ17" i="7"/>
  <c r="AU17" i="7"/>
  <c r="AQ17" i="7"/>
  <c r="AI17" i="7"/>
  <c r="AW17" i="7"/>
  <c r="AE17" i="7"/>
  <c r="AD17" i="7"/>
  <c r="AP17" i="7"/>
  <c r="AS17" i="7"/>
  <c r="AV17" i="7"/>
  <c r="AN17" i="7"/>
  <c r="AT17" i="7"/>
  <c r="AH17" i="7"/>
  <c r="AO17" i="7"/>
  <c r="AK17" i="7"/>
  <c r="AE26" i="9"/>
  <c r="AU26" i="9"/>
  <c r="AQ26" i="9"/>
  <c r="AD26" i="9"/>
  <c r="AM26" i="9"/>
  <c r="AF26" i="9"/>
  <c r="AK26" i="9"/>
  <c r="AT26" i="9"/>
  <c r="AP26" i="9"/>
  <c r="AO26" i="9"/>
  <c r="AR26" i="9"/>
  <c r="AG26" i="9"/>
  <c r="AL26" i="9"/>
  <c r="AN26" i="9"/>
  <c r="AS26" i="9"/>
  <c r="AW26" i="9"/>
  <c r="AH26" i="9"/>
  <c r="AI26" i="9"/>
  <c r="AJ26" i="9"/>
  <c r="AV26" i="9"/>
  <c r="AS29" i="9"/>
  <c r="AF29" i="9"/>
  <c r="AI29" i="9"/>
  <c r="AU29" i="9"/>
  <c r="AO29" i="9"/>
  <c r="AR29" i="9"/>
  <c r="AT29" i="9"/>
  <c r="AN29" i="9"/>
  <c r="AQ29" i="9"/>
  <c r="AV29" i="9"/>
  <c r="AJ29" i="9"/>
  <c r="AE29" i="9"/>
  <c r="AH29" i="9"/>
  <c r="AL29" i="9"/>
  <c r="AP29" i="9"/>
  <c r="AD29" i="9"/>
  <c r="AG29" i="9"/>
  <c r="AK29" i="9"/>
  <c r="AM29" i="9"/>
  <c r="AW29" i="9"/>
  <c r="AN16" i="7"/>
  <c r="AQ16" i="7"/>
  <c r="AH16" i="7"/>
  <c r="AF16" i="7"/>
  <c r="AK16" i="7"/>
  <c r="AM16" i="7"/>
  <c r="AV16" i="7"/>
  <c r="AD16" i="7"/>
  <c r="AU16" i="7"/>
  <c r="AO16" i="7"/>
  <c r="AI16" i="7"/>
  <c r="AL16" i="7"/>
  <c r="AE16" i="7"/>
  <c r="AJ16" i="7"/>
  <c r="AT16" i="7"/>
  <c r="AS16" i="7"/>
  <c r="AW16" i="7"/>
  <c r="AG16" i="7"/>
  <c r="AP16" i="7"/>
  <c r="AR16" i="7"/>
  <c r="AS18" i="7"/>
  <c r="AO18" i="7"/>
  <c r="AI18" i="7"/>
  <c r="AE18" i="7"/>
  <c r="AT18" i="7"/>
  <c r="AV18" i="7"/>
  <c r="AR18" i="7"/>
  <c r="AF18" i="7"/>
  <c r="AJ18" i="7"/>
  <c r="AD18" i="7"/>
  <c r="AQ18" i="7"/>
  <c r="AL18" i="7"/>
  <c r="AP18" i="7"/>
  <c r="AM18" i="7"/>
  <c r="AN18" i="7"/>
  <c r="AG18" i="7"/>
  <c r="AK18" i="7"/>
  <c r="AU18" i="7"/>
  <c r="AH18" i="7"/>
  <c r="AW18" i="7"/>
  <c r="AR27" i="9"/>
  <c r="AK27" i="9"/>
  <c r="AW27" i="9"/>
  <c r="AN27" i="9"/>
  <c r="AF27" i="9"/>
  <c r="AI27" i="9"/>
  <c r="AP27" i="9"/>
  <c r="AD27" i="9"/>
  <c r="AU27" i="9"/>
  <c r="AH27" i="9"/>
  <c r="AE27" i="9"/>
  <c r="AM27" i="9"/>
  <c r="AV27" i="9"/>
  <c r="AJ27" i="9"/>
  <c r="AT27" i="9"/>
  <c r="AS27" i="9"/>
  <c r="AG27" i="9"/>
  <c r="AO27" i="9"/>
  <c r="AQ27" i="9"/>
  <c r="AL27" i="9"/>
  <c r="AE31" i="7"/>
  <c r="AR31" i="7"/>
  <c r="AV31" i="7"/>
  <c r="AQ31" i="7"/>
  <c r="AL31" i="7"/>
  <c r="AW31" i="7"/>
  <c r="AF31" i="7"/>
  <c r="AM31" i="7"/>
  <c r="AN31" i="7"/>
  <c r="AH31" i="7"/>
  <c r="AK31" i="7"/>
  <c r="AG31" i="7"/>
  <c r="AS31" i="7"/>
  <c r="AD31" i="7"/>
  <c r="AP31" i="7"/>
  <c r="AJ31" i="7"/>
  <c r="AU31" i="7"/>
  <c r="AO31" i="7"/>
  <c r="AI31" i="7"/>
  <c r="AT31" i="7"/>
  <c r="AR33" i="9" l="1"/>
  <c r="AN33" i="9"/>
  <c r="AJ19" i="9"/>
  <c r="AT19" i="9"/>
  <c r="AD32" i="9"/>
  <c r="AJ32" i="9"/>
  <c r="AH32" i="9"/>
  <c r="AE32" i="9"/>
  <c r="AL33" i="9"/>
  <c r="AQ33" i="9"/>
  <c r="AD25" i="9"/>
  <c r="AJ25" i="9"/>
  <c r="AV19" i="9"/>
  <c r="AL19" i="9"/>
  <c r="AR19" i="9"/>
  <c r="AE19" i="9"/>
  <c r="AO32" i="9"/>
  <c r="AQ32" i="9"/>
  <c r="AK32" i="9"/>
  <c r="AS32" i="9"/>
  <c r="AM33" i="9"/>
  <c r="AQ25" i="9"/>
  <c r="AW19" i="9"/>
  <c r="AU19" i="9"/>
  <c r="AN19" i="9"/>
  <c r="AI32" i="9"/>
  <c r="AV32" i="9"/>
  <c r="AR32" i="9"/>
  <c r="AJ33" i="9"/>
  <c r="AE25" i="9"/>
  <c r="AQ19" i="9"/>
  <c r="AK19" i="9"/>
  <c r="AW32" i="9"/>
  <c r="AU32" i="9"/>
  <c r="AO33" i="9"/>
  <c r="AU33" i="9"/>
  <c r="AK25" i="9"/>
  <c r="AT25" i="9"/>
  <c r="AG25" i="9"/>
  <c r="AF9" i="9"/>
  <c r="AE11" i="9"/>
  <c r="AQ9" i="9"/>
  <c r="AQ37" i="9" s="1"/>
  <c r="AV34" i="5" s="1"/>
  <c r="AU9" i="9"/>
  <c r="AL9" i="9"/>
  <c r="AJ11" i="9"/>
  <c r="AS33" i="9"/>
  <c r="AQ11" i="9"/>
  <c r="AE9" i="9"/>
  <c r="AE37" i="9" s="1"/>
  <c r="H43" i="5" s="1"/>
  <c r="AS9" i="9"/>
  <c r="AO9" i="9"/>
  <c r="AP9" i="9"/>
  <c r="AP37" i="9" s="1"/>
  <c r="AD50" i="5" s="1"/>
  <c r="AG9" i="9"/>
  <c r="AO11" i="9"/>
  <c r="AM11" i="9"/>
  <c r="AS11" i="9"/>
  <c r="AI9" i="9"/>
  <c r="AJ9" i="9"/>
  <c r="AW9" i="9"/>
  <c r="AR9" i="9"/>
  <c r="AM9" i="9"/>
  <c r="AW11" i="9"/>
  <c r="AN11" i="9"/>
  <c r="AR11" i="9"/>
  <c r="AD11" i="9"/>
  <c r="AD37" i="9" s="1"/>
  <c r="H40" i="5" s="1"/>
  <c r="AN9" i="9"/>
  <c r="AN37" i="9" s="1"/>
  <c r="S18" i="5" s="1"/>
  <c r="AV9" i="9"/>
  <c r="AV37" i="9" s="1"/>
  <c r="AW34" i="5" s="1"/>
  <c r="AF11" i="9"/>
  <c r="AL11" i="9"/>
  <c r="AU11" i="9"/>
  <c r="AG11" i="9"/>
  <c r="AT9" i="9"/>
  <c r="AK9" i="9"/>
  <c r="AP33" i="9"/>
  <c r="AG33" i="9"/>
  <c r="AD33" i="9"/>
  <c r="AH33" i="9"/>
  <c r="AT11" i="9"/>
  <c r="AH11" i="9"/>
  <c r="AV11" i="9"/>
  <c r="AK11" i="9"/>
  <c r="AH9" i="9"/>
  <c r="AT33" i="9"/>
  <c r="AW33" i="9"/>
  <c r="AI33" i="9"/>
  <c r="AI37" i="9" s="1"/>
  <c r="AQ58" i="5" s="1"/>
  <c r="AV33" i="9"/>
  <c r="AL37" i="7"/>
  <c r="AZ28" i="12" s="1"/>
  <c r="AD37" i="7"/>
  <c r="H40" i="12" s="1"/>
  <c r="AR37" i="7"/>
  <c r="AD26" i="12" s="1"/>
  <c r="AM37" i="9"/>
  <c r="Y18" i="5" s="1"/>
  <c r="AE37" i="7"/>
  <c r="H43" i="12" s="1"/>
  <c r="AO37" i="7"/>
  <c r="N18" i="12" s="1"/>
  <c r="AW37" i="7"/>
  <c r="AD25" i="12" s="1"/>
  <c r="AS37" i="7"/>
  <c r="L34" i="12" s="1"/>
  <c r="AF37" i="9"/>
  <c r="H46" i="5" s="1"/>
  <c r="AU37" i="7"/>
  <c r="AD51" i="12" s="1"/>
  <c r="AT37" i="7"/>
  <c r="K34" i="12" s="1"/>
  <c r="AK37" i="7"/>
  <c r="AZ31" i="12" s="1"/>
  <c r="AH37" i="7"/>
  <c r="AK58" i="12" s="1"/>
  <c r="AV37" i="7"/>
  <c r="AJ37" i="7"/>
  <c r="AZ35" i="12" s="1"/>
  <c r="AG37" i="7"/>
  <c r="AE58" i="12" s="1"/>
  <c r="AF37" i="7"/>
  <c r="H46" i="12" s="1"/>
  <c r="AN37" i="7"/>
  <c r="S18" i="12" s="1"/>
  <c r="AL37" i="9"/>
  <c r="AZ28" i="5" s="1"/>
  <c r="AM37" i="7"/>
  <c r="Y18" i="12" s="1"/>
  <c r="AQ37" i="7"/>
  <c r="AV34" i="12" s="1"/>
  <c r="AI37" i="7"/>
  <c r="AQ58" i="12" s="1"/>
  <c r="AP37" i="7"/>
  <c r="AD50" i="12" s="1"/>
  <c r="AH37" i="9" l="1"/>
  <c r="AK58" i="5" s="1"/>
  <c r="AU37" i="9"/>
  <c r="AD51" i="5" s="1"/>
  <c r="AR37" i="9"/>
  <c r="AD26" i="5" s="1"/>
  <c r="AJ37" i="9"/>
  <c r="AZ35" i="5" s="1"/>
  <c r="R61" i="5" s="1"/>
  <c r="AO37" i="9"/>
  <c r="N18" i="5" s="1"/>
  <c r="Q14" i="5" s="1"/>
  <c r="AK37" i="9"/>
  <c r="AZ31" i="5" s="1"/>
  <c r="AS37" i="9"/>
  <c r="L34" i="5" s="1"/>
  <c r="AT37" i="9"/>
  <c r="K34" i="5" s="1"/>
  <c r="AW37" i="9"/>
  <c r="AD25" i="5" s="1"/>
  <c r="AG37" i="9"/>
  <c r="AE58" i="5" s="1"/>
  <c r="AI61" i="5" s="1"/>
  <c r="BA42" i="5"/>
  <c r="BA31" i="12"/>
  <c r="AW33" i="5"/>
  <c r="AW33" i="12"/>
  <c r="AW34" i="12"/>
  <c r="Q14" i="12"/>
  <c r="AH14" i="12"/>
  <c r="E42" i="12"/>
  <c r="BA42" i="12"/>
  <c r="E31" i="12"/>
  <c r="AI61" i="12"/>
  <c r="BA31" i="5"/>
  <c r="AH14" i="5"/>
  <c r="E42" i="5"/>
  <c r="R61" i="12"/>
  <c r="E31" i="5"/>
  <c r="W33" i="12" l="1"/>
  <c r="W33" i="5"/>
</calcChain>
</file>

<file path=xl/sharedStrings.xml><?xml version="1.0" encoding="utf-8"?>
<sst xmlns="http://schemas.openxmlformats.org/spreadsheetml/2006/main" count="663" uniqueCount="92">
  <si>
    <t>Dossier:</t>
  </si>
  <si>
    <t>V-plan:</t>
  </si>
  <si>
    <t>MANUELE KRUISPUNTTELLINGEN</t>
  </si>
  <si>
    <t>Gemeente:</t>
  </si>
  <si>
    <t>Deelgemeente:</t>
  </si>
  <si>
    <t>Kruispunt:</t>
  </si>
  <si>
    <t>Provincie:</t>
  </si>
  <si>
    <t>Tak 1:</t>
  </si>
  <si>
    <t>Tak 2:</t>
  </si>
  <si>
    <t>Tak 3:</t>
  </si>
  <si>
    <t>Tak 4:</t>
  </si>
  <si>
    <t>Geteld door:</t>
  </si>
  <si>
    <t>Opmerkingen:</t>
  </si>
  <si>
    <t>Datum telling:</t>
  </si>
  <si>
    <t>TAK 1</t>
  </si>
  <si>
    <t>TAK 2</t>
  </si>
  <si>
    <t>TAK 3</t>
  </si>
  <si>
    <t>TAK 4</t>
  </si>
  <si>
    <t>linksaf</t>
  </si>
  <si>
    <t>rechtdoor</t>
  </si>
  <si>
    <t>rechtsaf</t>
  </si>
  <si>
    <t>TOTAAL</t>
  </si>
  <si>
    <t>Doel telling:</t>
  </si>
  <si>
    <t>-</t>
  </si>
  <si>
    <t>Weersomstandigheden:</t>
  </si>
  <si>
    <t>Van</t>
  </si>
  <si>
    <t>tot</t>
  </si>
  <si>
    <t xml:space="preserve"> VERZAMELSTAAT TELGEGEVENS LICHT VERVOER (in aantallen)</t>
  </si>
  <si>
    <t>N</t>
  </si>
  <si>
    <t>Z</t>
  </si>
  <si>
    <t>Totaal tak</t>
  </si>
  <si>
    <t>Toekomend tak 1</t>
  </si>
  <si>
    <t>Toekomend tak 2</t>
  </si>
  <si>
    <t>Toekomend tak 3</t>
  </si>
  <si>
    <t>Toekomend tak 4</t>
  </si>
  <si>
    <t xml:space="preserve">           VERZAMELSTAAT TELGEGEVENS LICHT EN ZWAAR VERVOER (in pwe/h)</t>
  </si>
  <si>
    <t>Totaal</t>
  </si>
  <si>
    <t>Oversteek</t>
  </si>
  <si>
    <t>Periode 1:</t>
  </si>
  <si>
    <t>Periode 2:</t>
  </si>
  <si>
    <t>tak 1</t>
  </si>
  <si>
    <t>Fietsers</t>
  </si>
  <si>
    <t>tak 2</t>
  </si>
  <si>
    <t>tak 3</t>
  </si>
  <si>
    <t>tak 4</t>
  </si>
  <si>
    <t>V</t>
  </si>
  <si>
    <t>VOETGANGERS</t>
  </si>
  <si>
    <t>FIETSERS</t>
  </si>
  <si>
    <t>ZWAAR VERVOER</t>
  </si>
  <si>
    <t>LICHT VERVOER</t>
  </si>
  <si>
    <t>tot spits-</t>
  </si>
  <si>
    <t>Behoort</t>
  </si>
  <si>
    <t>uur?</t>
  </si>
  <si>
    <t>Aangevinkt</t>
  </si>
  <si>
    <t>in diagramma?</t>
  </si>
  <si>
    <t>KRUISPUNTTELLINGEN</t>
  </si>
  <si>
    <t>Weer:</t>
  </si>
  <si>
    <t>Teller:</t>
  </si>
  <si>
    <t xml:space="preserve"> W</t>
  </si>
  <si>
    <t xml:space="preserve"> O</t>
  </si>
  <si>
    <t>F(in aantallen):</t>
  </si>
  <si>
    <t>V(in aantallen):</t>
  </si>
  <si>
    <t>=</t>
  </si>
  <si>
    <t>#</t>
  </si>
  <si>
    <t>?</t>
  </si>
  <si>
    <t>"</t>
  </si>
  <si>
    <t>:</t>
  </si>
  <si>
    <t>;</t>
  </si>
  <si>
    <t>&gt;</t>
  </si>
  <si>
    <t>!</t>
  </si>
  <si>
    <t>&lt;</t>
  </si>
  <si>
    <t>$</t>
  </si>
  <si>
    <t xml:space="preserve">  Fietsers volgen het verkeer</t>
  </si>
  <si>
    <t xml:space="preserve">  Licht vervoer</t>
  </si>
  <si>
    <t xml:space="preserve">  Zwaar vervoer</t>
  </si>
  <si>
    <t xml:space="preserve">  Fietsers</t>
  </si>
  <si>
    <t xml:space="preserve">  Voetgangers</t>
  </si>
  <si>
    <t>STROMENDIAGRAM DRUKSTE SPITSUUR (in pwe/h):</t>
  </si>
  <si>
    <t xml:space="preserve"> VERZAMELSTAAT TELGEGEVENS ZWAAR VERVOER (in aantallen)</t>
  </si>
  <si>
    <t xml:space="preserve"> VERZAMELSTAAT TELGEGEVENS VOETGANGERS (in aantallen)</t>
  </si>
  <si>
    <t xml:space="preserve"> VERZAMELSTAAT TELGEGEVENS FIETSERS (in aantallen)</t>
  </si>
  <si>
    <t>Opmerkingen</t>
  </si>
  <si>
    <t>Dufec</t>
  </si>
  <si>
    <t>Op het kruispunt zijn ook wachtrijmetingen uitgevoerd.</t>
  </si>
  <si>
    <t>Limburg</t>
  </si>
  <si>
    <t>Leuven</t>
  </si>
  <si>
    <t>N26 / E314 Zuid</t>
  </si>
  <si>
    <t>Afrit E314 Zuid (West)</t>
  </si>
  <si>
    <t>Toerit E314 Zuid (Oost)</t>
  </si>
  <si>
    <t>N26 komende van E314 Noord</t>
  </si>
  <si>
    <t>N26 komende van N26a</t>
  </si>
  <si>
    <t>Half bewolkt, geen neerslag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</si>
</sst>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\hmm"/>
  </numFmts>
  <fonts count="1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omic Sans MS"/>
      <family val="4"/>
    </font>
    <font>
      <sz val="24"/>
      <name val="Arial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sz val="10"/>
      <name val="Arial"/>
      <family val="2"/>
    </font>
    <font>
      <b/>
      <sz val="20"/>
      <name val="Comic Sans MS"/>
      <family val="4"/>
    </font>
    <font>
      <sz val="10"/>
      <color indexed="10"/>
      <name val="Comic Sans MS"/>
      <family val="4"/>
    </font>
    <font>
      <b/>
      <sz val="11"/>
      <color indexed="57"/>
      <name val="Comic Sans MS"/>
      <family val="4"/>
    </font>
    <font>
      <b/>
      <sz val="10"/>
      <color indexed="57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52"/>
      <name val="Comic Sans MS"/>
      <family val="4"/>
    </font>
    <font>
      <b/>
      <sz val="10"/>
      <color indexed="12"/>
      <name val="Comic Sans MS"/>
      <family val="4"/>
    </font>
    <font>
      <b/>
      <sz val="11"/>
      <color indexed="12"/>
      <name val="Comic Sans MS"/>
      <family val="4"/>
    </font>
    <font>
      <sz val="10"/>
      <color indexed="12"/>
      <name val="Arial"/>
      <family val="2"/>
    </font>
    <font>
      <b/>
      <sz val="11"/>
      <color indexed="14"/>
      <name val="Comic Sans MS"/>
      <family val="4"/>
    </font>
    <font>
      <b/>
      <sz val="11"/>
      <color indexed="50"/>
      <name val="Comic Sans MS"/>
      <family val="4"/>
    </font>
    <font>
      <sz val="10"/>
      <color indexed="50"/>
      <name val="Arial"/>
      <family val="2"/>
    </font>
    <font>
      <b/>
      <sz val="10"/>
      <color indexed="23"/>
      <name val="Comic Sans MS"/>
      <family val="4"/>
    </font>
    <font>
      <sz val="10"/>
      <color indexed="23"/>
      <name val="Arial"/>
      <family val="2"/>
    </font>
    <font>
      <b/>
      <sz val="11"/>
      <color indexed="23"/>
      <name val="Comic Sans MS"/>
      <family val="4"/>
    </font>
    <font>
      <b/>
      <sz val="12"/>
      <color indexed="50"/>
      <name val="Comic Sans MS"/>
      <family val="4"/>
    </font>
    <font>
      <sz val="12"/>
      <color indexed="50"/>
      <name val="Arial"/>
      <family val="2"/>
    </font>
    <font>
      <b/>
      <sz val="12"/>
      <color indexed="14"/>
      <name val="Comic Sans MS"/>
      <family val="4"/>
    </font>
    <font>
      <b/>
      <sz val="13"/>
      <name val="Comic Sans MS"/>
      <family val="4"/>
    </font>
    <font>
      <b/>
      <sz val="12"/>
      <color indexed="33"/>
      <name val="Comic Sans MS"/>
      <family val="4"/>
    </font>
    <font>
      <b/>
      <sz val="34"/>
      <color indexed="60"/>
      <name val="Comic Sans MS"/>
      <family val="4"/>
    </font>
    <font>
      <sz val="34"/>
      <name val="Arial"/>
      <family val="2"/>
    </font>
    <font>
      <b/>
      <sz val="14"/>
      <color indexed="60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7"/>
      <name val="Comic Sans MS"/>
      <family val="4"/>
    </font>
    <font>
      <b/>
      <sz val="11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14"/>
      <color indexed="57"/>
      <name val="Comic Sans MS"/>
      <family val="4"/>
    </font>
    <font>
      <b/>
      <sz val="14"/>
      <color indexed="10"/>
      <name val="Comic Sans MS"/>
      <family val="4"/>
    </font>
    <font>
      <b/>
      <sz val="36"/>
      <color indexed="46"/>
      <name val="Comic Sans MS"/>
      <family val="4"/>
    </font>
    <font>
      <b/>
      <sz val="20"/>
      <color indexed="48"/>
      <name val="Comic Sans MS"/>
      <family val="4"/>
    </font>
    <font>
      <b/>
      <sz val="10"/>
      <color indexed="46"/>
      <name val="Comic Sans MS"/>
      <family val="4"/>
    </font>
    <font>
      <b/>
      <sz val="12"/>
      <color indexed="55"/>
      <name val="Comic Sans MS"/>
      <family val="4"/>
    </font>
    <font>
      <b/>
      <sz val="11"/>
      <color indexed="10"/>
      <name val="Comic Sans MS"/>
      <family val="4"/>
    </font>
    <font>
      <b/>
      <sz val="11"/>
      <color indexed="52"/>
      <name val="Comic Sans MS"/>
      <family val="4"/>
    </font>
    <font>
      <b/>
      <sz val="13"/>
      <color indexed="46"/>
      <name val="Comic Sans MS"/>
      <family val="4"/>
    </font>
    <font>
      <b/>
      <sz val="12"/>
      <color indexed="48"/>
      <name val="Comic Sans MS"/>
      <family val="4"/>
    </font>
    <font>
      <b/>
      <sz val="12"/>
      <color indexed="50"/>
      <name val="Arial"/>
      <family val="2"/>
    </font>
    <font>
      <b/>
      <sz val="18"/>
      <color indexed="55"/>
      <name val="Comic Sans MS"/>
      <family val="4"/>
    </font>
    <font>
      <sz val="18"/>
      <color indexed="55"/>
      <name val="Arial"/>
      <family val="2"/>
    </font>
    <font>
      <sz val="18"/>
      <name val="Arial"/>
      <family val="2"/>
    </font>
    <font>
      <b/>
      <sz val="18"/>
      <name val="Comic Sans MS"/>
      <family val="4"/>
    </font>
    <font>
      <b/>
      <sz val="18"/>
      <color indexed="50"/>
      <name val="Comic Sans MS"/>
      <family val="4"/>
    </font>
    <font>
      <b/>
      <sz val="11"/>
      <name val="Comic Sans MS"/>
      <family val="4"/>
    </font>
    <font>
      <b/>
      <sz val="10"/>
      <color indexed="55"/>
      <name val="Comic Sans MS"/>
      <family val="4"/>
    </font>
    <font>
      <b/>
      <sz val="12"/>
      <color indexed="46"/>
      <name val="Comic Sans MS"/>
      <family val="4"/>
    </font>
    <font>
      <sz val="12"/>
      <name val="Times New Roman"/>
      <family val="1"/>
    </font>
    <font>
      <b/>
      <sz val="10"/>
      <name val="Arial"/>
      <family val="2"/>
    </font>
    <font>
      <sz val="12"/>
      <color indexed="10"/>
      <name val="Comic Sans MS"/>
      <family val="4"/>
    </font>
    <font>
      <b/>
      <sz val="12"/>
      <color indexed="23"/>
      <name val="Comic Sans MS"/>
      <family val="4"/>
    </font>
    <font>
      <sz val="12"/>
      <color indexed="23"/>
      <name val="Arial"/>
      <family val="2"/>
    </font>
    <font>
      <sz val="12"/>
      <color indexed="44"/>
      <name val="Comic Sans MS"/>
      <family val="4"/>
    </font>
    <font>
      <b/>
      <sz val="12"/>
      <color indexed="44"/>
      <name val="Comic Sans MS"/>
      <family val="4"/>
    </font>
    <font>
      <b/>
      <sz val="12"/>
      <color indexed="52"/>
      <name val="Comic Sans MS"/>
      <family val="4"/>
    </font>
    <font>
      <b/>
      <sz val="13"/>
      <color indexed="44"/>
      <name val="Comic Sans MS"/>
      <family val="4"/>
    </font>
    <font>
      <b/>
      <sz val="13"/>
      <color indexed="24"/>
      <name val="Comic Sans MS"/>
      <family val="4"/>
    </font>
    <font>
      <sz val="13"/>
      <color indexed="24"/>
      <name val="Arial"/>
      <family val="2"/>
    </font>
    <font>
      <b/>
      <sz val="12"/>
      <color indexed="32"/>
      <name val="Comic Sans MS"/>
      <family val="4"/>
    </font>
    <font>
      <b/>
      <sz val="16"/>
      <color indexed="33"/>
      <name val="Comic Sans MS"/>
      <family val="4"/>
    </font>
    <font>
      <b/>
      <sz val="14"/>
      <color indexed="46"/>
      <name val="Comic Sans MS"/>
      <family val="4"/>
    </font>
    <font>
      <b/>
      <sz val="13"/>
      <color indexed="10"/>
      <name val="Comic Sans MS"/>
      <family val="4"/>
    </font>
    <font>
      <b/>
      <sz val="13"/>
      <color indexed="52"/>
      <name val="Comic Sans MS"/>
      <family val="4"/>
    </font>
    <font>
      <b/>
      <sz val="13"/>
      <color indexed="57"/>
      <name val="Comic Sans MS"/>
      <family val="4"/>
    </font>
    <font>
      <sz val="13"/>
      <name val="Comic Sans MS"/>
      <family val="4"/>
    </font>
    <font>
      <b/>
      <sz val="14"/>
      <color indexed="52"/>
      <name val="Comic Sans MS"/>
      <family val="4"/>
    </font>
    <font>
      <b/>
      <sz val="10"/>
      <color indexed="8"/>
      <name val="Comic Sans MS"/>
      <family val="4"/>
    </font>
    <font>
      <b/>
      <sz val="20"/>
      <color indexed="55"/>
      <name val="Comic Sans MS"/>
      <family val="4"/>
    </font>
    <font>
      <b/>
      <sz val="42"/>
      <color indexed="60"/>
      <name val="Comic Sans MS"/>
      <family val="4"/>
    </font>
    <font>
      <sz val="42"/>
      <name val="Arial"/>
      <family val="2"/>
    </font>
    <font>
      <sz val="14"/>
      <color indexed="60"/>
      <name val="Arial"/>
      <family val="2"/>
    </font>
    <font>
      <b/>
      <sz val="14"/>
      <name val="Comic Sans MS"/>
      <family val="4"/>
    </font>
    <font>
      <b/>
      <sz val="14"/>
      <name val="Arial"/>
      <family val="2"/>
    </font>
    <font>
      <sz val="14"/>
      <color indexed="60"/>
      <name val="Comic Sans MS"/>
      <family val="4"/>
    </font>
    <font>
      <sz val="12"/>
      <name val="Arial"/>
      <family val="2"/>
    </font>
    <font>
      <sz val="12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Arial"/>
      <family val="2"/>
    </font>
    <font>
      <b/>
      <sz val="26"/>
      <name val="Comic Sans MS"/>
      <family val="4"/>
    </font>
    <font>
      <sz val="14"/>
      <name val="Arial"/>
      <family val="2"/>
    </font>
    <font>
      <sz val="14"/>
      <name val="Arial"/>
      <family val="2"/>
    </font>
    <font>
      <b/>
      <sz val="12"/>
      <color indexed="24"/>
      <name val="Comic Sans MS"/>
      <family val="4"/>
    </font>
    <font>
      <b/>
      <sz val="10"/>
      <color indexed="44"/>
      <name val="Comic Sans MS"/>
      <family val="4"/>
    </font>
    <font>
      <sz val="10"/>
      <name val="Arial"/>
      <family val="2"/>
    </font>
    <font>
      <sz val="10"/>
      <color indexed="44"/>
      <name val="Arial"/>
      <family val="2"/>
    </font>
    <font>
      <b/>
      <sz val="14"/>
      <color indexed="61"/>
      <name val="Comic Sans MS"/>
      <family val="4"/>
    </font>
    <font>
      <b/>
      <sz val="72"/>
      <color indexed="46"/>
      <name val="Comic Sans MS"/>
      <family val="4"/>
    </font>
    <font>
      <sz val="10"/>
      <name val="Wingdings 3"/>
      <family val="1"/>
      <charset val="2"/>
    </font>
    <font>
      <b/>
      <sz val="14"/>
      <name val="Wingdings 3"/>
      <family val="1"/>
      <charset val="2"/>
    </font>
    <font>
      <b/>
      <sz val="30"/>
      <color indexed="52"/>
      <name val="Wingdings 3"/>
      <family val="1"/>
      <charset val="2"/>
    </font>
    <font>
      <b/>
      <sz val="30"/>
      <color indexed="10"/>
      <name val="Wingdings 3"/>
      <family val="1"/>
      <charset val="2"/>
    </font>
    <font>
      <b/>
      <sz val="30"/>
      <color indexed="57"/>
      <name val="Wingdings 3"/>
      <family val="1"/>
      <charset val="2"/>
    </font>
    <font>
      <b/>
      <sz val="30"/>
      <color indexed="10"/>
      <name val="Arial"/>
      <family val="2"/>
    </font>
    <font>
      <b/>
      <sz val="30"/>
      <color indexed="52"/>
      <name val="Arial"/>
      <family val="2"/>
    </font>
    <font>
      <b/>
      <sz val="30"/>
      <color indexed="57"/>
      <name val="Arial"/>
      <family val="2"/>
    </font>
    <font>
      <b/>
      <sz val="20"/>
      <color indexed="50"/>
      <name val="Comic Sans MS"/>
      <family val="4"/>
    </font>
    <font>
      <b/>
      <sz val="16"/>
      <color indexed="46"/>
      <name val="Comic Sans MS"/>
      <family val="4"/>
    </font>
    <font>
      <b/>
      <sz val="16"/>
      <color indexed="44"/>
      <name val="Comic Sans MS"/>
      <family val="4"/>
    </font>
    <font>
      <b/>
      <sz val="14"/>
      <color indexed="50"/>
      <name val="Comic Sans MS"/>
      <family val="4"/>
    </font>
    <font>
      <sz val="14"/>
      <color indexed="50"/>
      <name val="Arial"/>
      <family val="2"/>
    </font>
    <font>
      <b/>
      <sz val="18"/>
      <color indexed="57"/>
      <name val="Comic Sans MS"/>
      <family val="4"/>
    </font>
    <font>
      <b/>
      <sz val="18"/>
      <color indexed="52"/>
      <name val="Comic Sans MS"/>
      <family val="4"/>
    </font>
    <font>
      <b/>
      <sz val="18"/>
      <color indexed="10"/>
      <name val="Comic Sans MS"/>
      <family val="4"/>
    </font>
    <font>
      <b/>
      <sz val="14"/>
      <color indexed="44"/>
      <name val="Comic Sans MS"/>
      <family val="4"/>
    </font>
    <font>
      <b/>
      <sz val="22"/>
      <color indexed="12"/>
      <name val="Comic Sans MS"/>
      <family val="4"/>
    </font>
    <font>
      <b/>
      <sz val="12"/>
      <color indexed="22"/>
      <name val="Comic Sans MS"/>
      <family val="4"/>
    </font>
    <font>
      <sz val="12"/>
      <color indexed="22"/>
      <name val="Arial"/>
      <family val="2"/>
    </font>
    <font>
      <b/>
      <sz val="36"/>
      <color indexed="14"/>
      <name val="Comic Sans MS"/>
      <family val="4"/>
    </font>
    <font>
      <b/>
      <sz val="22"/>
      <color indexed="23"/>
      <name val="Comic Sans MS"/>
      <family val="4"/>
    </font>
    <font>
      <b/>
      <sz val="20"/>
      <color indexed="23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28"/>
      <name val="Comic Sans MS"/>
      <family val="4"/>
    </font>
    <font>
      <b/>
      <sz val="12"/>
      <color rgb="FFCC99FF"/>
      <name val="Comic Sans MS"/>
      <family val="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9"/>
      </patternFill>
    </fill>
  </fills>
  <borders count="126">
    <border>
      <left/>
      <right/>
      <top/>
      <bottom/>
      <diagonal/>
    </border>
    <border>
      <left style="medium">
        <color indexed="60"/>
      </left>
      <right/>
      <top/>
      <bottom style="medium">
        <color indexed="60"/>
      </bottom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/>
      <bottom style="medium">
        <color indexed="60"/>
      </bottom>
      <diagonal/>
    </border>
    <border>
      <left/>
      <right style="medium">
        <color indexed="60"/>
      </right>
      <top/>
      <bottom/>
      <diagonal/>
    </border>
    <border>
      <left style="dashDot">
        <color indexed="60"/>
      </left>
      <right/>
      <top/>
      <bottom style="medium">
        <color indexed="60"/>
      </bottom>
      <diagonal/>
    </border>
    <border>
      <left style="dashDot">
        <color indexed="60"/>
      </left>
      <right/>
      <top/>
      <bottom/>
      <diagonal/>
    </border>
    <border>
      <left style="medium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medium">
        <color indexed="60"/>
      </left>
      <right/>
      <top/>
      <bottom/>
      <diagonal/>
    </border>
    <border>
      <left style="medium">
        <color indexed="60"/>
      </left>
      <right/>
      <top style="medium">
        <color indexed="60"/>
      </top>
      <bottom style="dashed">
        <color indexed="60"/>
      </bottom>
      <diagonal/>
    </border>
    <border>
      <left style="medium">
        <color indexed="60"/>
      </left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/>
      <top style="dashed">
        <color indexed="60"/>
      </top>
      <bottom style="medium">
        <color indexed="60"/>
      </bottom>
      <diagonal/>
    </border>
    <border>
      <left/>
      <right/>
      <top/>
      <bottom style="dashed">
        <color indexed="60"/>
      </bottom>
      <diagonal/>
    </border>
    <border>
      <left/>
      <right style="medium">
        <color indexed="60"/>
      </right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dashed">
        <color indexed="60"/>
      </bottom>
      <diagonal/>
    </border>
    <border>
      <left style="medium">
        <color indexed="60"/>
      </left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medium">
        <color indexed="60"/>
      </right>
      <top style="dashed">
        <color indexed="60"/>
      </top>
      <bottom style="medium">
        <color indexed="60"/>
      </bottom>
      <diagonal/>
    </border>
    <border>
      <left/>
      <right style="thick">
        <color indexed="64"/>
      </right>
      <top/>
      <bottom/>
      <diagonal/>
    </border>
    <border>
      <left style="mediumDashed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dashed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dashed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dashed">
        <color indexed="60"/>
      </bottom>
      <diagonal/>
    </border>
    <border>
      <left/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medium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dashed">
        <color indexed="60"/>
      </top>
      <bottom style="dashed">
        <color indexed="60"/>
      </bottom>
      <diagonal/>
    </border>
    <border>
      <left style="dashed">
        <color indexed="60"/>
      </left>
      <right style="medium">
        <color indexed="60"/>
      </right>
      <top style="dashed">
        <color indexed="60"/>
      </top>
      <bottom style="medium">
        <color indexed="60"/>
      </bottom>
      <diagonal/>
    </border>
    <border>
      <left style="dashed">
        <color indexed="60"/>
      </left>
      <right style="dashed">
        <color indexed="60"/>
      </right>
      <top style="dashed">
        <color indexed="60"/>
      </top>
      <bottom/>
      <diagonal/>
    </border>
    <border>
      <left/>
      <right style="dashed">
        <color indexed="60"/>
      </right>
      <top style="dashed">
        <color indexed="60"/>
      </top>
      <bottom style="dashed">
        <color indexed="60"/>
      </bottom>
      <diagonal/>
    </border>
    <border>
      <left/>
      <right/>
      <top style="thick">
        <color indexed="64"/>
      </top>
      <bottom/>
      <diagonal/>
    </border>
    <border>
      <left style="dashed">
        <color indexed="60"/>
      </left>
      <right style="dashed">
        <color indexed="60"/>
      </right>
      <top/>
      <bottom style="medium">
        <color indexed="60"/>
      </bottom>
      <diagonal/>
    </border>
    <border>
      <left/>
      <right/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dashed">
        <color indexed="60"/>
      </right>
      <top style="dashed">
        <color indexed="60"/>
      </top>
      <bottom/>
      <diagonal/>
    </border>
    <border>
      <left style="dashed">
        <color indexed="60"/>
      </left>
      <right style="medium">
        <color indexed="60"/>
      </right>
      <top style="dashed">
        <color indexed="60"/>
      </top>
      <bottom/>
      <diagonal/>
    </border>
    <border>
      <left style="medium">
        <color indexed="60"/>
      </left>
      <right style="dashed">
        <color indexed="60"/>
      </right>
      <top/>
      <bottom style="medium">
        <color indexed="60"/>
      </bottom>
      <diagonal/>
    </border>
    <border>
      <left style="dashed">
        <color indexed="60"/>
      </left>
      <right style="medium">
        <color indexed="60"/>
      </right>
      <top/>
      <bottom style="medium">
        <color indexed="60"/>
      </bottom>
      <diagonal/>
    </border>
    <border>
      <left/>
      <right style="dashed">
        <color indexed="60"/>
      </right>
      <top/>
      <bottom style="medium">
        <color indexed="60"/>
      </bottom>
      <diagonal/>
    </border>
    <border>
      <left style="medium">
        <color indexed="60"/>
      </left>
      <right style="dashed">
        <color indexed="60"/>
      </right>
      <top style="medium">
        <color indexed="60"/>
      </top>
      <bottom/>
      <diagonal/>
    </border>
    <border>
      <left style="dashed">
        <color indexed="60"/>
      </left>
      <right style="dashed">
        <color indexed="60"/>
      </right>
      <top style="medium">
        <color indexed="60"/>
      </top>
      <bottom/>
      <diagonal/>
    </border>
    <border>
      <left style="dashed">
        <color indexed="60"/>
      </left>
      <right style="medium">
        <color indexed="60"/>
      </right>
      <top style="medium">
        <color indexed="60"/>
      </top>
      <bottom/>
      <diagonal/>
    </border>
    <border>
      <left/>
      <right style="dashed">
        <color indexed="60"/>
      </right>
      <top style="medium">
        <color indexed="60"/>
      </top>
      <bottom/>
      <diagonal/>
    </border>
    <border>
      <left/>
      <right style="dashed">
        <color indexed="60"/>
      </right>
      <top style="dashed">
        <color indexed="60"/>
      </top>
      <bottom/>
      <diagonal/>
    </border>
    <border>
      <left style="medium">
        <color indexed="60"/>
      </left>
      <right style="dashed">
        <color indexed="60"/>
      </right>
      <top/>
      <bottom style="dashed">
        <color indexed="60"/>
      </bottom>
      <diagonal/>
    </border>
    <border>
      <left style="dashed">
        <color indexed="60"/>
      </left>
      <right style="dashed">
        <color indexed="60"/>
      </right>
      <top/>
      <bottom style="dashed">
        <color indexed="60"/>
      </bottom>
      <diagonal/>
    </border>
    <border>
      <left style="dashed">
        <color indexed="60"/>
      </left>
      <right style="medium">
        <color indexed="60"/>
      </right>
      <top/>
      <bottom style="dashed">
        <color indexed="60"/>
      </bottom>
      <diagonal/>
    </border>
    <border>
      <left/>
      <right style="dashed">
        <color indexed="60"/>
      </right>
      <top/>
      <bottom style="dashed">
        <color indexed="60"/>
      </bottom>
      <diagonal/>
    </border>
    <border>
      <left style="medium">
        <color indexed="60"/>
      </left>
      <right style="dashed">
        <color indexed="60"/>
      </right>
      <top/>
      <bottom/>
      <diagonal/>
    </border>
    <border>
      <left style="dashed">
        <color indexed="60"/>
      </left>
      <right style="dashed">
        <color indexed="60"/>
      </right>
      <top/>
      <bottom/>
      <diagonal/>
    </border>
    <border>
      <left style="dashed">
        <color indexed="60"/>
      </left>
      <right style="medium">
        <color indexed="60"/>
      </right>
      <top/>
      <bottom/>
      <diagonal/>
    </border>
    <border>
      <left/>
      <right style="dashed">
        <color indexed="60"/>
      </right>
      <top/>
      <bottom/>
      <diagonal/>
    </border>
    <border>
      <left/>
      <right/>
      <top style="medium">
        <color indexed="60"/>
      </top>
      <bottom style="dashed">
        <color indexed="60"/>
      </bottom>
      <diagonal/>
    </border>
    <border>
      <left/>
      <right/>
      <top style="dashed">
        <color indexed="60"/>
      </top>
      <bottom style="dashed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medium">
        <color indexed="60"/>
      </left>
      <right style="medium">
        <color indexed="60"/>
      </right>
      <top/>
      <bottom style="dashed">
        <color indexed="60"/>
      </bottom>
      <diagonal/>
    </border>
    <border>
      <left/>
      <right style="dashed">
        <color indexed="60"/>
      </right>
      <top style="medium">
        <color indexed="60"/>
      </top>
      <bottom style="dashed">
        <color indexed="60"/>
      </bottom>
      <diagonal/>
    </border>
    <border>
      <left/>
      <right style="dashed">
        <color indexed="60"/>
      </right>
      <top style="dashed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dashed">
        <color indexed="60"/>
      </top>
      <bottom/>
      <diagonal/>
    </border>
    <border>
      <left style="medium">
        <color indexed="55"/>
      </left>
      <right style="dashed">
        <color indexed="60"/>
      </right>
      <top style="medium">
        <color indexed="55"/>
      </top>
      <bottom style="medium">
        <color indexed="55"/>
      </bottom>
      <diagonal/>
    </border>
    <border>
      <left style="dashed">
        <color indexed="60"/>
      </left>
      <right style="dashed">
        <color indexed="60"/>
      </right>
      <top style="medium">
        <color indexed="55"/>
      </top>
      <bottom style="medium">
        <color indexed="55"/>
      </bottom>
      <diagonal/>
    </border>
    <border>
      <left style="dashed">
        <color indexed="60"/>
      </left>
      <right style="medium">
        <color indexed="60"/>
      </right>
      <top style="medium">
        <color indexed="55"/>
      </top>
      <bottom style="medium">
        <color indexed="55"/>
      </bottom>
      <diagonal/>
    </border>
    <border>
      <left/>
      <right style="dashed">
        <color indexed="60"/>
      </right>
      <top style="medium">
        <color indexed="55"/>
      </top>
      <bottom style="medium">
        <color indexed="55"/>
      </bottom>
      <diagonal/>
    </border>
    <border>
      <left style="medium">
        <color indexed="60"/>
      </left>
      <right style="medium">
        <color indexed="60"/>
      </right>
      <top style="medium">
        <color indexed="55"/>
      </top>
      <bottom style="medium">
        <color indexed="55"/>
      </bottom>
      <diagonal/>
    </border>
    <border>
      <left style="medium">
        <color indexed="60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ck">
        <color indexed="8"/>
      </left>
      <right/>
      <top/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mediumDashDot">
        <color indexed="46"/>
      </top>
      <bottom style="mediumDashDot">
        <color indexed="46"/>
      </bottom>
      <diagonal/>
    </border>
    <border>
      <left/>
      <right/>
      <top style="mediumDashDot">
        <color indexed="46"/>
      </top>
      <bottom style="mediumDashDot">
        <color indexed="46"/>
      </bottom>
      <diagonal/>
    </border>
    <border>
      <left/>
      <right style="thick">
        <color indexed="8"/>
      </right>
      <top style="mediumDashDot">
        <color indexed="46"/>
      </top>
      <bottom style="mediumDashDot">
        <color indexed="46"/>
      </bottom>
      <diagonal/>
    </border>
    <border>
      <left/>
      <right/>
      <top/>
      <bottom style="thick">
        <color indexed="8"/>
      </bottom>
      <diagonal/>
    </border>
    <border>
      <left style="mediumDashDot">
        <color indexed="46"/>
      </left>
      <right style="mediumDashDot">
        <color indexed="46"/>
      </right>
      <top style="thick">
        <color indexed="64"/>
      </top>
      <bottom/>
      <diagonal/>
    </border>
    <border>
      <left style="mediumDashDot">
        <color indexed="46"/>
      </left>
      <right style="mediumDashDot">
        <color indexed="46"/>
      </right>
      <top/>
      <bottom/>
      <diagonal/>
    </border>
    <border>
      <left style="mediumDashDot">
        <color indexed="46"/>
      </left>
      <right style="mediumDashDot">
        <color indexed="46"/>
      </right>
      <top/>
      <bottom style="thick">
        <color indexed="8"/>
      </bottom>
      <diagonal/>
    </border>
    <border>
      <left style="thick">
        <color indexed="64"/>
      </left>
      <right/>
      <top style="mediumDashDot">
        <color indexed="46"/>
      </top>
      <bottom style="mediumDashDot">
        <color indexed="46"/>
      </bottom>
      <diagonal/>
    </border>
    <border>
      <left/>
      <right style="thick">
        <color indexed="64"/>
      </right>
      <top style="mediumDashDot">
        <color indexed="46"/>
      </top>
      <bottom style="mediumDashDot">
        <color indexed="46"/>
      </bottom>
      <diagonal/>
    </border>
    <border>
      <left style="mediumDashDot">
        <color indexed="46"/>
      </left>
      <right/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/>
      <bottom style="dashed">
        <color indexed="60"/>
      </bottom>
      <diagonal/>
    </border>
    <border>
      <left style="dashDot">
        <color indexed="60"/>
      </left>
      <right/>
      <top style="medium">
        <color indexed="60"/>
      </top>
      <bottom/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dashDot">
        <color indexed="60"/>
      </right>
      <top style="medium">
        <color indexed="60"/>
      </top>
      <bottom/>
      <diagonal/>
    </border>
    <border>
      <left/>
      <right style="dashDot">
        <color indexed="60"/>
      </right>
      <top/>
      <bottom/>
      <diagonal/>
    </border>
    <border>
      <left/>
      <right style="dashDot">
        <color indexed="60"/>
      </right>
      <top/>
      <bottom style="medium">
        <color indexed="60"/>
      </bottom>
      <diagonal/>
    </border>
    <border>
      <left style="mediumDashDot">
        <color indexed="46"/>
      </left>
      <right style="mediumDashDot">
        <color indexed="46"/>
      </right>
      <top/>
      <bottom style="mediumDashed">
        <color indexed="64"/>
      </bottom>
      <diagonal/>
    </border>
    <border>
      <left style="mediumDashed">
        <color indexed="64"/>
      </left>
      <right/>
      <top style="mediumDashDot">
        <color indexed="46"/>
      </top>
      <bottom style="mediumDashDot">
        <color indexed="46"/>
      </bottom>
      <diagonal/>
    </border>
    <border>
      <left/>
      <right/>
      <top style="mediumDashDot">
        <color indexed="46"/>
      </top>
      <bottom/>
      <diagonal/>
    </border>
    <border>
      <left/>
      <right style="mediumDashed">
        <color indexed="64"/>
      </right>
      <top style="mediumDashDot">
        <color indexed="46"/>
      </top>
      <bottom/>
      <diagonal/>
    </border>
    <border>
      <left style="mediumDashed">
        <color indexed="64"/>
      </left>
      <right/>
      <top style="mediumDashDot">
        <color indexed="46"/>
      </top>
      <bottom/>
      <diagonal/>
    </border>
    <border>
      <left/>
      <right style="mediumDashed">
        <color indexed="64"/>
      </right>
      <top style="mediumDashDot">
        <color indexed="46"/>
      </top>
      <bottom style="mediumDashDot">
        <color indexed="46"/>
      </bottom>
      <diagonal/>
    </border>
    <border>
      <left/>
      <right style="mediumDashDot">
        <color indexed="46"/>
      </right>
      <top style="mediumDashed">
        <color indexed="64"/>
      </top>
      <bottom/>
      <diagonal/>
    </border>
    <border>
      <left/>
      <right style="mediumDashDot">
        <color indexed="46"/>
      </right>
      <top/>
      <bottom/>
      <diagonal/>
    </border>
    <border>
      <left style="mediumDashDot">
        <color indexed="46"/>
      </left>
      <right style="mediumDashDot">
        <color indexed="46"/>
      </right>
      <top style="mediumDashed">
        <color indexed="64"/>
      </top>
      <bottom/>
      <diagonal/>
    </border>
    <border>
      <left style="mediumDashDot">
        <color indexed="46"/>
      </left>
      <right/>
      <top style="mediumDashed">
        <color indexed="64"/>
      </top>
      <bottom/>
      <diagonal/>
    </border>
    <border>
      <left style="mediumDashDot">
        <color indexed="46"/>
      </left>
      <right/>
      <top/>
      <bottom style="mediumDashed">
        <color indexed="64"/>
      </bottom>
      <diagonal/>
    </border>
    <border>
      <left style="thick">
        <color indexed="33"/>
      </left>
      <right/>
      <top style="thick">
        <color indexed="33"/>
      </top>
      <bottom/>
      <diagonal/>
    </border>
    <border>
      <left/>
      <right/>
      <top style="thick">
        <color indexed="33"/>
      </top>
      <bottom/>
      <diagonal/>
    </border>
    <border>
      <left/>
      <right style="thick">
        <color indexed="33"/>
      </right>
      <top style="thick">
        <color indexed="33"/>
      </top>
      <bottom/>
      <diagonal/>
    </border>
    <border>
      <left style="thick">
        <color indexed="33"/>
      </left>
      <right/>
      <top/>
      <bottom/>
      <diagonal/>
    </border>
    <border>
      <left/>
      <right style="thick">
        <color indexed="33"/>
      </right>
      <top/>
      <bottom/>
      <diagonal/>
    </border>
    <border>
      <left style="thick">
        <color indexed="33"/>
      </left>
      <right/>
      <top/>
      <bottom style="thick">
        <color indexed="33"/>
      </bottom>
      <diagonal/>
    </border>
    <border>
      <left/>
      <right/>
      <top/>
      <bottom style="thick">
        <color indexed="33"/>
      </bottom>
      <diagonal/>
    </border>
    <border>
      <left/>
      <right style="thick">
        <color indexed="33"/>
      </right>
      <top/>
      <bottom style="thick">
        <color indexed="33"/>
      </bottom>
      <diagonal/>
    </border>
    <border>
      <left style="mediumDashed">
        <color indexed="64"/>
      </left>
      <right/>
      <top/>
      <bottom style="mediumDashDot">
        <color indexed="46"/>
      </bottom>
      <diagonal/>
    </border>
    <border>
      <left/>
      <right/>
      <top/>
      <bottom style="mediumDashDot">
        <color indexed="46"/>
      </bottom>
      <diagonal/>
    </border>
    <border>
      <left/>
      <right style="mediumDashed">
        <color indexed="64"/>
      </right>
      <top/>
      <bottom style="mediumDashDot">
        <color indexed="46"/>
      </bottom>
      <diagonal/>
    </border>
  </borders>
  <cellStyleXfs count="1">
    <xf numFmtId="0" fontId="0" fillId="0" borderId="0"/>
  </cellStyleXfs>
  <cellXfs count="1042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1" xfId="0" applyFont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distributed"/>
    </xf>
    <xf numFmtId="0" fontId="0" fillId="0" borderId="3" xfId="0" applyFill="1" applyBorder="1" applyAlignment="1">
      <alignment horizontal="left" vertical="distributed"/>
    </xf>
    <xf numFmtId="0" fontId="0" fillId="0" borderId="0" xfId="0" applyFill="1"/>
    <xf numFmtId="0" fontId="7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1" fillId="0" borderId="4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5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3" xfId="0" applyFont="1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2" fillId="0" borderId="0" xfId="0" applyFont="1"/>
    <xf numFmtId="0" fontId="14" fillId="0" borderId="0" xfId="0" applyFont="1"/>
    <xf numFmtId="0" fontId="5" fillId="0" borderId="3" xfId="0" applyFont="1" applyBorder="1"/>
    <xf numFmtId="0" fontId="0" fillId="0" borderId="0" xfId="0" applyBorder="1" applyAlignment="1">
      <alignment horizontal="left" vertical="top"/>
    </xf>
    <xf numFmtId="0" fontId="12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4" fillId="0" borderId="8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right" vertical="center"/>
    </xf>
    <xf numFmtId="164" fontId="14" fillId="0" borderId="11" xfId="0" applyNumberFormat="1" applyFont="1" applyBorder="1" applyAlignment="1">
      <alignment horizontal="right" vertical="center"/>
    </xf>
    <xf numFmtId="164" fontId="14" fillId="0" borderId="12" xfId="0" applyNumberFormat="1" applyFont="1" applyBorder="1" applyAlignment="1">
      <alignment horizontal="right" vertical="center"/>
    </xf>
    <xf numFmtId="164" fontId="14" fillId="0" borderId="13" xfId="0" applyNumberFormat="1" applyFon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20" fillId="0" borderId="10" xfId="0" applyNumberFormat="1" applyFont="1" applyBorder="1" applyAlignment="1">
      <alignment horizontal="right" vertical="center"/>
    </xf>
    <xf numFmtId="164" fontId="20" fillId="0" borderId="13" xfId="0" applyNumberFormat="1" applyFont="1" applyBorder="1" applyAlignment="1">
      <alignment horizontal="left" vertical="center"/>
    </xf>
    <xf numFmtId="164" fontId="20" fillId="0" borderId="11" xfId="0" applyNumberFormat="1" applyFont="1" applyBorder="1" applyAlignment="1">
      <alignment horizontal="right" vertical="center"/>
    </xf>
    <xf numFmtId="164" fontId="20" fillId="0" borderId="12" xfId="0" applyNumberFormat="1" applyFont="1" applyBorder="1" applyAlignment="1">
      <alignment horizontal="right" vertical="center"/>
    </xf>
    <xf numFmtId="164" fontId="20" fillId="0" borderId="14" xfId="0" applyNumberFormat="1" applyFont="1" applyBorder="1" applyAlignment="1">
      <alignment horizontal="left" vertical="center"/>
    </xf>
    <xf numFmtId="164" fontId="20" fillId="0" borderId="8" xfId="0" applyNumberFormat="1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2" xfId="0" applyFont="1" applyBorder="1"/>
    <xf numFmtId="0" fontId="24" fillId="0" borderId="3" xfId="0" applyFont="1" applyBorder="1"/>
    <xf numFmtId="0" fontId="25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/>
    <xf numFmtId="0" fontId="2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41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23" fillId="0" borderId="0" xfId="0" applyFont="1" applyBorder="1"/>
    <xf numFmtId="0" fontId="45" fillId="0" borderId="0" xfId="0" applyFont="1" applyBorder="1"/>
    <xf numFmtId="164" fontId="14" fillId="0" borderId="7" xfId="0" applyNumberFormat="1" applyFont="1" applyBorder="1" applyAlignment="1">
      <alignment horizontal="right" vertical="center"/>
    </xf>
    <xf numFmtId="164" fontId="14" fillId="0" borderId="9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horizontal="right" vertical="center"/>
    </xf>
    <xf numFmtId="0" fontId="25" fillId="0" borderId="36" xfId="0" applyFont="1" applyBorder="1" applyAlignment="1">
      <alignment horizontal="center"/>
    </xf>
    <xf numFmtId="0" fontId="52" fillId="0" borderId="0" xfId="0" applyFont="1"/>
    <xf numFmtId="0" fontId="5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64" fontId="20" fillId="0" borderId="8" xfId="0" applyNumberFormat="1" applyFont="1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4" fillId="0" borderId="0" xfId="0" applyFont="1"/>
    <xf numFmtId="0" fontId="53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/>
    </xf>
    <xf numFmtId="0" fontId="0" fillId="0" borderId="44" xfId="0" applyBorder="1"/>
    <xf numFmtId="0" fontId="37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6" fillId="0" borderId="0" xfId="0" applyFont="1" applyBorder="1"/>
    <xf numFmtId="0" fontId="57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2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64" fontId="20" fillId="0" borderId="0" xfId="0" applyNumberFormat="1" applyFont="1" applyBorder="1" applyAlignment="1">
      <alignment horizontal="right" vertical="center"/>
    </xf>
    <xf numFmtId="164" fontId="20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Border="1" applyAlignment="1"/>
    <xf numFmtId="0" fontId="18" fillId="0" borderId="0" xfId="0" applyFont="1" applyBorder="1" applyAlignment="1">
      <alignment vertical="center"/>
    </xf>
    <xf numFmtId="0" fontId="21" fillId="0" borderId="0" xfId="0" applyFont="1" applyBorder="1" applyAlignment="1"/>
    <xf numFmtId="0" fontId="5" fillId="0" borderId="22" xfId="0" applyFont="1" applyBorder="1" applyAlignment="1">
      <alignment horizontal="center"/>
    </xf>
    <xf numFmtId="164" fontId="20" fillId="0" borderId="46" xfId="0" applyNumberFormat="1" applyFont="1" applyBorder="1" applyAlignment="1">
      <alignment horizontal="left" vertical="center"/>
    </xf>
    <xf numFmtId="0" fontId="5" fillId="0" borderId="4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0" fillId="0" borderId="67" xfId="0" applyBorder="1"/>
    <xf numFmtId="0" fontId="0" fillId="0" borderId="68" xfId="0" applyBorder="1"/>
    <xf numFmtId="0" fontId="0" fillId="0" borderId="21" xfId="0" applyBorder="1"/>
    <xf numFmtId="0" fontId="51" fillId="0" borderId="67" xfId="0" applyFont="1" applyBorder="1"/>
    <xf numFmtId="0" fontId="51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 vertical="center"/>
    </xf>
    <xf numFmtId="164" fontId="20" fillId="0" borderId="15" xfId="0" applyNumberFormat="1" applyFont="1" applyBorder="1" applyAlignment="1">
      <alignment horizontal="right" vertical="center"/>
    </xf>
    <xf numFmtId="164" fontId="20" fillId="0" borderId="16" xfId="0" applyNumberFormat="1" applyFont="1" applyBorder="1" applyAlignment="1">
      <alignment horizontal="right" vertical="center"/>
    </xf>
    <xf numFmtId="164" fontId="20" fillId="0" borderId="17" xfId="0" applyNumberFormat="1" applyFont="1" applyBorder="1" applyAlignment="1">
      <alignment horizontal="right" vertical="center"/>
    </xf>
    <xf numFmtId="164" fontId="20" fillId="0" borderId="39" xfId="0" applyNumberFormat="1" applyFont="1" applyBorder="1" applyAlignment="1">
      <alignment horizontal="left" vertical="center"/>
    </xf>
    <xf numFmtId="164" fontId="20" fillId="0" borderId="40" xfId="0" applyNumberFormat="1" applyFont="1" applyBorder="1" applyAlignment="1">
      <alignment horizontal="left" vertical="center"/>
    </xf>
    <xf numFmtId="164" fontId="20" fillId="0" borderId="41" xfId="0" applyNumberFormat="1" applyFont="1" applyBorder="1" applyAlignment="1">
      <alignment horizontal="left" vertical="center"/>
    </xf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49" xfId="0" applyBorder="1"/>
    <xf numFmtId="0" fontId="0" fillId="0" borderId="45" xfId="0" applyBorder="1"/>
    <xf numFmtId="0" fontId="0" fillId="0" borderId="50" xfId="0" applyBorder="1"/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69" xfId="0" applyBorder="1"/>
    <xf numFmtId="0" fontId="3" fillId="0" borderId="57" xfId="0" applyFont="1" applyBorder="1"/>
    <xf numFmtId="164" fontId="20" fillId="0" borderId="52" xfId="0" applyNumberFormat="1" applyFont="1" applyBorder="1" applyAlignment="1">
      <alignment horizontal="right" vertical="center"/>
    </xf>
    <xf numFmtId="164" fontId="20" fillId="0" borderId="61" xfId="0" applyNumberFormat="1" applyFont="1" applyBorder="1" applyAlignment="1">
      <alignment horizontal="right" vertical="center"/>
    </xf>
    <xf numFmtId="164" fontId="20" fillId="0" borderId="49" xfId="0" applyNumberFormat="1" applyFont="1" applyBorder="1" applyAlignment="1">
      <alignment horizontal="right" vertical="center"/>
    </xf>
    <xf numFmtId="0" fontId="51" fillId="0" borderId="15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7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71" xfId="0" applyFont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67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0" fillId="0" borderId="72" xfId="0" applyBorder="1"/>
    <xf numFmtId="0" fontId="3" fillId="0" borderId="15" xfId="0" applyFont="1" applyBorder="1"/>
    <xf numFmtId="0" fontId="3" fillId="0" borderId="19" xfId="0" applyFont="1" applyBorder="1"/>
    <xf numFmtId="0" fontId="3" fillId="0" borderId="39" xfId="0" applyFont="1" applyBorder="1"/>
    <xf numFmtId="0" fontId="3" fillId="0" borderId="70" xfId="0" applyFont="1" applyBorder="1"/>
    <xf numFmtId="0" fontId="3" fillId="0" borderId="22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40" xfId="0" applyFont="1" applyBorder="1"/>
    <xf numFmtId="0" fontId="3" fillId="0" borderId="43" xfId="0" applyFont="1" applyBorder="1"/>
    <xf numFmtId="0" fontId="3" fillId="0" borderId="23" xfId="0" applyFont="1" applyBorder="1"/>
    <xf numFmtId="0" fontId="3" fillId="0" borderId="17" xfId="0" applyFont="1" applyBorder="1"/>
    <xf numFmtId="0" fontId="3" fillId="0" borderId="20" xfId="0" applyFont="1" applyBorder="1"/>
    <xf numFmtId="0" fontId="3" fillId="0" borderId="41" xfId="0" applyFont="1" applyBorder="1"/>
    <xf numFmtId="0" fontId="3" fillId="0" borderId="71" xfId="0" applyFont="1" applyBorder="1"/>
    <xf numFmtId="0" fontId="3" fillId="0" borderId="24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3" fillId="0" borderId="69" xfId="0" applyFont="1" applyBorder="1"/>
    <xf numFmtId="0" fontId="3" fillId="0" borderId="47" xfId="0" applyFont="1" applyBorder="1"/>
    <xf numFmtId="0" fontId="3" fillId="0" borderId="42" xfId="0" applyFont="1" applyBorder="1"/>
    <xf numFmtId="0" fontId="3" fillId="0" borderId="48" xfId="0" applyFont="1" applyBorder="1"/>
    <xf numFmtId="0" fontId="3" fillId="0" borderId="56" xfId="0" applyFont="1" applyBorder="1"/>
    <xf numFmtId="0" fontId="3" fillId="0" borderId="72" xfId="0" applyFont="1" applyBorder="1"/>
    <xf numFmtId="0" fontId="71" fillId="0" borderId="73" xfId="0" applyFont="1" applyBorder="1" applyAlignment="1">
      <alignment horizontal="center"/>
    </xf>
    <xf numFmtId="0" fontId="71" fillId="0" borderId="74" xfId="0" applyFont="1" applyBorder="1" applyAlignment="1">
      <alignment horizontal="center"/>
    </xf>
    <xf numFmtId="0" fontId="71" fillId="0" borderId="75" xfId="0" applyFont="1" applyBorder="1" applyAlignment="1">
      <alignment horizontal="center"/>
    </xf>
    <xf numFmtId="0" fontId="71" fillId="0" borderId="76" xfId="0" applyFont="1" applyBorder="1" applyAlignment="1">
      <alignment horizontal="center"/>
    </xf>
    <xf numFmtId="0" fontId="71" fillId="0" borderId="77" xfId="0" applyFont="1" applyBorder="1" applyAlignment="1">
      <alignment horizontal="center"/>
    </xf>
    <xf numFmtId="0" fontId="71" fillId="0" borderId="78" xfId="0" applyFont="1" applyBorder="1" applyAlignment="1">
      <alignment horizontal="center"/>
    </xf>
    <xf numFmtId="0" fontId="51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1" fillId="0" borderId="68" xfId="0" applyFont="1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73" fillId="0" borderId="68" xfId="0" applyFont="1" applyBorder="1"/>
    <xf numFmtId="164" fontId="0" fillId="0" borderId="0" xfId="0" applyNumberFormat="1"/>
    <xf numFmtId="164" fontId="14" fillId="0" borderId="15" xfId="0" applyNumberFormat="1" applyFont="1" applyBorder="1" applyAlignment="1">
      <alignment horizontal="right" vertical="center"/>
    </xf>
    <xf numFmtId="164" fontId="14" fillId="0" borderId="16" xfId="0" applyNumberFormat="1" applyFont="1" applyBorder="1" applyAlignment="1">
      <alignment horizontal="right" vertical="center"/>
    </xf>
    <xf numFmtId="164" fontId="14" fillId="0" borderId="17" xfId="0" applyNumberFormat="1" applyFont="1" applyBorder="1" applyAlignment="1">
      <alignment horizontal="right" vertical="center"/>
    </xf>
    <xf numFmtId="164" fontId="14" fillId="0" borderId="39" xfId="0" applyNumberFormat="1" applyFont="1" applyBorder="1" applyAlignment="1">
      <alignment horizontal="left" vertical="center"/>
    </xf>
    <xf numFmtId="164" fontId="14" fillId="0" borderId="40" xfId="0" applyNumberFormat="1" applyFont="1" applyBorder="1" applyAlignment="1">
      <alignment horizontal="left" vertical="center"/>
    </xf>
    <xf numFmtId="164" fontId="14" fillId="0" borderId="41" xfId="0" applyNumberFormat="1" applyFont="1" applyBorder="1" applyAlignment="1">
      <alignment horizontal="left" vertic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7" fillId="2" borderId="0" xfId="0" applyFont="1" applyFill="1" applyBorder="1" applyAlignment="1">
      <alignment horizontal="left" vertical="center"/>
    </xf>
    <xf numFmtId="0" fontId="30" fillId="2" borderId="0" xfId="0" applyFont="1" applyFill="1"/>
    <xf numFmtId="0" fontId="77" fillId="2" borderId="0" xfId="0" applyFont="1" applyFill="1"/>
    <xf numFmtId="0" fontId="80" fillId="2" borderId="0" xfId="0" applyFont="1" applyFill="1"/>
    <xf numFmtId="0" fontId="77" fillId="2" borderId="0" xfId="0" applyFont="1" applyFill="1" applyBorder="1" applyAlignment="1">
      <alignment horizontal="left" vertical="distributed"/>
    </xf>
    <xf numFmtId="0" fontId="78" fillId="0" borderId="0" xfId="0" applyFont="1" applyFill="1" applyBorder="1" applyAlignment="1">
      <alignment horizontal="left" vertical="top"/>
    </xf>
    <xf numFmtId="0" fontId="30" fillId="2" borderId="0" xfId="0" applyFont="1" applyFill="1" applyBorder="1"/>
    <xf numFmtId="0" fontId="30" fillId="2" borderId="6" xfId="0" applyFont="1" applyFill="1" applyBorder="1"/>
    <xf numFmtId="0" fontId="80" fillId="2" borderId="1" xfId="0" applyFont="1" applyFill="1" applyBorder="1"/>
    <xf numFmtId="0" fontId="80" fillId="2" borderId="3" xfId="0" applyFont="1" applyFill="1" applyBorder="1"/>
    <xf numFmtId="0" fontId="30" fillId="2" borderId="3" xfId="0" applyFont="1" applyFill="1" applyBorder="1"/>
    <xf numFmtId="0" fontId="30" fillId="2" borderId="5" xfId="0" applyFont="1" applyFill="1" applyBorder="1"/>
    <xf numFmtId="0" fontId="77" fillId="2" borderId="3" xfId="0" applyFont="1" applyFill="1" applyBorder="1" applyAlignment="1">
      <alignment horizontal="left" vertical="distributed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57" fillId="0" borderId="8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61" fillId="0" borderId="3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81" fillId="0" borderId="1" xfId="0" applyFont="1" applyBorder="1"/>
    <xf numFmtId="0" fontId="81" fillId="0" borderId="2" xfId="0" applyFont="1" applyBorder="1"/>
    <xf numFmtId="0" fontId="82" fillId="0" borderId="0" xfId="0" applyFont="1" applyBorder="1" applyAlignment="1">
      <alignment horizontal="center"/>
    </xf>
    <xf numFmtId="164" fontId="83" fillId="0" borderId="8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83" fillId="0" borderId="45" xfId="0" applyFont="1" applyBorder="1" applyAlignment="1">
      <alignment horizontal="center"/>
    </xf>
    <xf numFmtId="0" fontId="78" fillId="0" borderId="0" xfId="0" applyFont="1" applyFill="1" applyBorder="1" applyAlignment="1">
      <alignment vertical="distributed"/>
    </xf>
    <xf numFmtId="0" fontId="25" fillId="0" borderId="24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83" fillId="0" borderId="1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8" fillId="0" borderId="0" xfId="0" applyFont="1" applyBorder="1"/>
    <xf numFmtId="0" fontId="88" fillId="0" borderId="0" xfId="0" applyFont="1" applyFill="1" applyBorder="1" applyAlignment="1">
      <alignment horizontal="center"/>
    </xf>
    <xf numFmtId="0" fontId="81" fillId="0" borderId="0" xfId="0" applyFont="1"/>
    <xf numFmtId="0" fontId="6" fillId="0" borderId="7" xfId="0" applyFont="1" applyFill="1" applyBorder="1" applyAlignment="1">
      <alignment horizontal="center"/>
    </xf>
    <xf numFmtId="0" fontId="80" fillId="0" borderId="0" xfId="0" applyFont="1" applyFill="1" applyBorder="1"/>
    <xf numFmtId="0" fontId="30" fillId="0" borderId="0" xfId="0" applyFont="1" applyFill="1" applyBorder="1"/>
    <xf numFmtId="0" fontId="86" fillId="0" borderId="0" xfId="0" applyFont="1" applyFill="1" applyBorder="1" applyAlignment="1"/>
    <xf numFmtId="0" fontId="87" fillId="0" borderId="0" xfId="0" applyFont="1" applyFill="1" applyBorder="1" applyAlignment="1"/>
    <xf numFmtId="0" fontId="78" fillId="0" borderId="0" xfId="0" applyFont="1" applyFill="1" applyBorder="1"/>
    <xf numFmtId="0" fontId="30" fillId="0" borderId="0" xfId="0" applyFont="1" applyFill="1" applyBorder="1" applyAlignment="1">
      <alignment vertical="distributed"/>
    </xf>
    <xf numFmtId="0" fontId="57" fillId="0" borderId="0" xfId="0" applyFont="1" applyBorder="1" applyAlignment="1">
      <alignment horizontal="center" vertical="center"/>
    </xf>
    <xf numFmtId="0" fontId="83" fillId="0" borderId="66" xfId="0" applyFont="1" applyBorder="1" applyAlignment="1">
      <alignment horizontal="center" vertical="center"/>
    </xf>
    <xf numFmtId="0" fontId="83" fillId="0" borderId="65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/>
    <xf numFmtId="0" fontId="86" fillId="0" borderId="8" xfId="0" applyFont="1" applyFill="1" applyBorder="1" applyAlignment="1">
      <alignment vertical="top"/>
    </xf>
    <xf numFmtId="0" fontId="86" fillId="0" borderId="0" xfId="0" applyFont="1" applyFill="1" applyAlignment="1">
      <alignment vertical="top"/>
    </xf>
    <xf numFmtId="0" fontId="50" fillId="0" borderId="0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63" fillId="0" borderId="0" xfId="0" applyFont="1" applyBorder="1" applyAlignment="1">
      <alignment vertical="distributed"/>
    </xf>
    <xf numFmtId="0" fontId="64" fillId="0" borderId="0" xfId="0" applyFont="1" applyBorder="1" applyAlignment="1">
      <alignment vertical="distributed"/>
    </xf>
    <xf numFmtId="0" fontId="62" fillId="0" borderId="0" xfId="0" applyFont="1" applyBorder="1" applyAlignment="1">
      <alignment vertical="distributed"/>
    </xf>
    <xf numFmtId="0" fontId="3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0" fillId="3" borderId="0" xfId="0" applyFill="1" applyBorder="1"/>
    <xf numFmtId="0" fontId="0" fillId="3" borderId="0" xfId="0" applyFill="1"/>
    <xf numFmtId="0" fontId="0" fillId="3" borderId="31" xfId="0" applyFill="1" applyBorder="1"/>
    <xf numFmtId="0" fontId="0" fillId="3" borderId="28" xfId="0" applyFill="1" applyBorder="1"/>
    <xf numFmtId="0" fontId="89" fillId="0" borderId="0" xfId="0" applyFont="1" applyAlignment="1">
      <alignment vertical="distributed"/>
    </xf>
    <xf numFmtId="0" fontId="90" fillId="0" borderId="0" xfId="0" applyFont="1" applyAlignment="1">
      <alignment vertical="distributed"/>
    </xf>
    <xf numFmtId="0" fontId="0" fillId="0" borderId="0" xfId="0" applyFill="1" applyBorder="1" applyAlignment="1"/>
    <xf numFmtId="0" fontId="0" fillId="3" borderId="0" xfId="0" applyFill="1" applyBorder="1" applyAlignment="1"/>
    <xf numFmtId="0" fontId="0" fillId="3" borderId="31" xfId="0" applyFill="1" applyBorder="1" applyAlignment="1"/>
    <xf numFmtId="0" fontId="50" fillId="0" borderId="27" xfId="0" applyFont="1" applyBorder="1" applyAlignment="1">
      <alignment horizontal="center" vertical="center"/>
    </xf>
    <xf numFmtId="0" fontId="0" fillId="0" borderId="0" xfId="0" applyFill="1" applyBorder="1"/>
    <xf numFmtId="0" fontId="91" fillId="3" borderId="0" xfId="0" applyFont="1" applyFill="1" applyBorder="1"/>
    <xf numFmtId="0" fontId="37" fillId="0" borderId="31" xfId="0" applyFont="1" applyBorder="1" applyAlignment="1">
      <alignment horizontal="center" vertical="center"/>
    </xf>
    <xf numFmtId="0" fontId="91" fillId="0" borderId="0" xfId="0" applyFont="1" applyFill="1" applyBorder="1"/>
    <xf numFmtId="0" fontId="0" fillId="3" borderId="0" xfId="0" applyFill="1" applyBorder="1" applyAlignment="1">
      <alignment horizontal="center"/>
    </xf>
    <xf numFmtId="0" fontId="35" fillId="3" borderId="0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/>
    <xf numFmtId="0" fontId="0" fillId="0" borderId="31" xfId="0" applyFill="1" applyBorder="1" applyAlignment="1"/>
    <xf numFmtId="0" fontId="30" fillId="2" borderId="6" xfId="0" applyFont="1" applyFill="1" applyBorder="1" applyAlignment="1">
      <alignment vertical="top"/>
    </xf>
    <xf numFmtId="0" fontId="30" fillId="2" borderId="0" xfId="0" applyFont="1" applyFill="1" applyBorder="1" applyAlignment="1">
      <alignment horizontal="center" vertical="top"/>
    </xf>
    <xf numFmtId="0" fontId="30" fillId="2" borderId="6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86" fillId="2" borderId="5" xfId="0" applyFont="1" applyFill="1" applyBorder="1" applyAlignment="1">
      <alignment horizontal="left"/>
    </xf>
    <xf numFmtId="0" fontId="86" fillId="2" borderId="3" xfId="0" applyFont="1" applyFill="1" applyBorder="1" applyAlignment="1">
      <alignment horizontal="left"/>
    </xf>
    <xf numFmtId="0" fontId="5" fillId="0" borderId="28" xfId="0" applyFont="1" applyBorder="1" applyAlignment="1">
      <alignment vertical="distributed"/>
    </xf>
    <xf numFmtId="0" fontId="0" fillId="0" borderId="28" xfId="0" applyBorder="1" applyAlignment="1"/>
    <xf numFmtId="0" fontId="72" fillId="0" borderId="0" xfId="0" applyFont="1" applyFill="1" applyBorder="1" applyAlignment="1">
      <alignment vertical="center"/>
    </xf>
    <xf numFmtId="0" fontId="92" fillId="0" borderId="0" xfId="0" applyFont="1" applyBorder="1" applyAlignment="1">
      <alignment horizontal="center"/>
    </xf>
    <xf numFmtId="0" fontId="0" fillId="0" borderId="27" xfId="0" applyFill="1" applyBorder="1"/>
    <xf numFmtId="0" fontId="38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44" xfId="0" applyFill="1" applyBorder="1"/>
    <xf numFmtId="0" fontId="0" fillId="0" borderId="79" xfId="0" applyFill="1" applyBorder="1"/>
    <xf numFmtId="0" fontId="0" fillId="0" borderId="79" xfId="0" applyBorder="1"/>
    <xf numFmtId="0" fontId="35" fillId="0" borderId="79" xfId="0" applyFont="1" applyBorder="1" applyAlignment="1">
      <alignment horizontal="center" vertical="center"/>
    </xf>
    <xf numFmtId="0" fontId="38" fillId="0" borderId="79" xfId="0" applyFont="1" applyBorder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distributed"/>
    </xf>
    <xf numFmtId="0" fontId="6" fillId="3" borderId="0" xfId="0" applyFont="1" applyFill="1" applyBorder="1"/>
    <xf numFmtId="0" fontId="6" fillId="0" borderId="0" xfId="0" applyFont="1" applyFill="1" applyBorder="1" applyAlignment="1"/>
    <xf numFmtId="0" fontId="60" fillId="3" borderId="0" xfId="0" applyFont="1" applyFill="1" applyBorder="1"/>
    <xf numFmtId="0" fontId="6" fillId="0" borderId="0" xfId="0" applyFont="1" applyFill="1" applyBorder="1"/>
    <xf numFmtId="0" fontId="36" fillId="0" borderId="26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" fillId="0" borderId="80" xfId="0" applyFont="1" applyFill="1" applyBorder="1" applyAlignment="1">
      <alignment textRotation="90"/>
    </xf>
    <xf numFmtId="0" fontId="47" fillId="0" borderId="25" xfId="0" applyFont="1" applyBorder="1" applyAlignment="1">
      <alignment horizontal="center" vertical="center"/>
    </xf>
    <xf numFmtId="0" fontId="0" fillId="0" borderId="27" xfId="0" applyBorder="1" applyAlignment="1"/>
    <xf numFmtId="0" fontId="93" fillId="0" borderId="0" xfId="0" applyFont="1" applyBorder="1" applyAlignment="1">
      <alignment vertical="center"/>
    </xf>
    <xf numFmtId="0" fontId="93" fillId="0" borderId="81" xfId="0" applyFont="1" applyBorder="1" applyAlignment="1">
      <alignment vertical="center"/>
    </xf>
    <xf numFmtId="0" fontId="0" fillId="0" borderId="82" xfId="0" applyBorder="1"/>
    <xf numFmtId="0" fontId="0" fillId="0" borderId="83" xfId="0" applyFill="1" applyBorder="1"/>
    <xf numFmtId="0" fontId="0" fillId="0" borderId="84" xfId="0" applyBorder="1"/>
    <xf numFmtId="0" fontId="5" fillId="0" borderId="84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0" fillId="0" borderId="85" xfId="0" applyFill="1" applyBorder="1"/>
    <xf numFmtId="0" fontId="0" fillId="0" borderId="86" xfId="0" applyBorder="1"/>
    <xf numFmtId="0" fontId="6" fillId="0" borderId="86" xfId="0" applyFont="1" applyFill="1" applyBorder="1" applyAlignment="1">
      <alignment vertical="center"/>
    </xf>
    <xf numFmtId="0" fontId="0" fillId="0" borderId="87" xfId="0" applyBorder="1"/>
    <xf numFmtId="0" fontId="0" fillId="3" borderId="88" xfId="0" applyFill="1" applyBorder="1"/>
    <xf numFmtId="0" fontId="0" fillId="0" borderId="89" xfId="0" applyFill="1" applyBorder="1"/>
    <xf numFmtId="0" fontId="0" fillId="0" borderId="90" xfId="0" applyFill="1" applyBorder="1"/>
    <xf numFmtId="0" fontId="0" fillId="0" borderId="90" xfId="0" applyFill="1" applyBorder="1" applyAlignment="1">
      <alignment textRotation="90"/>
    </xf>
    <xf numFmtId="0" fontId="0" fillId="0" borderId="90" xfId="0" applyBorder="1" applyAlignment="1"/>
    <xf numFmtId="0" fontId="0" fillId="0" borderId="91" xfId="0" applyFill="1" applyBorder="1"/>
    <xf numFmtId="0" fontId="0" fillId="0" borderId="92" xfId="0" applyBorder="1"/>
    <xf numFmtId="0" fontId="26" fillId="0" borderId="86" xfId="0" applyFont="1" applyBorder="1" applyAlignment="1">
      <alignment vertical="center"/>
    </xf>
    <xf numFmtId="0" fontId="0" fillId="0" borderId="93" xfId="0" applyBorder="1"/>
    <xf numFmtId="0" fontId="0" fillId="0" borderId="89" xfId="0" applyBorder="1"/>
    <xf numFmtId="0" fontId="0" fillId="0" borderId="90" xfId="0" applyBorder="1"/>
    <xf numFmtId="0" fontId="0" fillId="0" borderId="90" xfId="0" applyBorder="1" applyAlignment="1">
      <alignment textRotation="90"/>
    </xf>
    <xf numFmtId="0" fontId="0" fillId="0" borderId="91" xfId="0" applyBorder="1"/>
    <xf numFmtId="0" fontId="95" fillId="0" borderId="0" xfId="0" applyFont="1" applyFill="1" applyBorder="1" applyAlignment="1">
      <alignment horizontal="left" vertical="top"/>
    </xf>
    <xf numFmtId="0" fontId="97" fillId="0" borderId="9" xfId="0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98" fillId="0" borderId="4" xfId="0" applyFont="1" applyBorder="1" applyAlignment="1">
      <alignment horizontal="center"/>
    </xf>
    <xf numFmtId="0" fontId="97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7" fillId="0" borderId="9" xfId="0" applyFont="1" applyBorder="1" applyAlignment="1">
      <alignment horizontal="center" vertical="center"/>
    </xf>
    <xf numFmtId="0" fontId="104" fillId="3" borderId="94" xfId="0" applyFont="1" applyFill="1" applyBorder="1" applyAlignment="1">
      <alignment vertical="center" textRotation="90"/>
    </xf>
    <xf numFmtId="0" fontId="57" fillId="0" borderId="95" xfId="0" applyFont="1" applyBorder="1" applyAlignment="1">
      <alignment horizontal="center"/>
    </xf>
    <xf numFmtId="0" fontId="83" fillId="0" borderId="95" xfId="0" applyFont="1" applyBorder="1" applyAlignment="1">
      <alignment horizontal="center"/>
    </xf>
    <xf numFmtId="0" fontId="1" fillId="0" borderId="0" xfId="0" applyFont="1" applyAlignment="1">
      <alignment vertical="distributed"/>
    </xf>
    <xf numFmtId="0" fontId="105" fillId="4" borderId="9" xfId="0" applyFont="1" applyFill="1" applyBorder="1" applyAlignment="1">
      <alignment vertical="center"/>
    </xf>
    <xf numFmtId="0" fontId="105" fillId="4" borderId="1" xfId="0" applyFont="1" applyFill="1" applyBorder="1" applyAlignment="1">
      <alignment vertical="center"/>
    </xf>
    <xf numFmtId="0" fontId="105" fillId="4" borderId="4" xfId="0" applyFont="1" applyFill="1" applyBorder="1" applyAlignment="1">
      <alignment vertical="center"/>
    </xf>
    <xf numFmtId="0" fontId="105" fillId="4" borderId="2" xfId="0" applyFont="1" applyFill="1" applyBorder="1" applyAlignment="1">
      <alignment vertical="center"/>
    </xf>
    <xf numFmtId="0" fontId="57" fillId="4" borderId="96" xfId="0" applyFont="1" applyFill="1" applyBorder="1" applyAlignment="1"/>
    <xf numFmtId="0" fontId="57" fillId="4" borderId="97" xfId="0" applyFont="1" applyFill="1" applyBorder="1" applyAlignment="1"/>
    <xf numFmtId="0" fontId="81" fillId="5" borderId="9" xfId="0" applyFont="1" applyFill="1" applyBorder="1" applyAlignment="1">
      <alignment vertical="distributed"/>
    </xf>
    <xf numFmtId="0" fontId="81" fillId="5" borderId="1" xfId="0" applyFont="1" applyFill="1" applyBorder="1" applyAlignment="1">
      <alignment vertical="distributed"/>
    </xf>
    <xf numFmtId="0" fontId="81" fillId="5" borderId="4" xfId="0" applyFont="1" applyFill="1" applyBorder="1" applyAlignment="1">
      <alignment vertical="distributed"/>
    </xf>
    <xf numFmtId="0" fontId="81" fillId="5" borderId="2" xfId="0" applyFont="1" applyFill="1" applyBorder="1" applyAlignment="1">
      <alignment vertical="distributed"/>
    </xf>
    <xf numFmtId="0" fontId="83" fillId="5" borderId="97" xfId="0" applyFont="1" applyFill="1" applyBorder="1" applyAlignment="1"/>
    <xf numFmtId="0" fontId="83" fillId="5" borderId="96" xfId="0" applyFont="1" applyFill="1" applyBorder="1" applyAlignment="1"/>
    <xf numFmtId="0" fontId="107" fillId="0" borderId="0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109" fillId="0" borderId="0" xfId="0" applyFont="1" applyBorder="1" applyAlignment="1">
      <alignment vertical="center"/>
    </xf>
    <xf numFmtId="0" fontId="96" fillId="0" borderId="0" xfId="0" applyFont="1" applyAlignment="1"/>
    <xf numFmtId="0" fontId="25" fillId="0" borderId="72" xfId="0" applyFont="1" applyBorder="1" applyAlignment="1">
      <alignment horizontal="center"/>
    </xf>
    <xf numFmtId="0" fontId="4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7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71" xfId="0" applyFont="1" applyFill="1" applyBorder="1" applyAlignment="1" applyProtection="1">
      <alignment horizontal="center"/>
      <protection locked="0"/>
    </xf>
    <xf numFmtId="0" fontId="5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77" fillId="2" borderId="0" xfId="0" applyFont="1" applyFill="1" applyBorder="1" applyAlignment="1" applyProtection="1">
      <alignment horizontal="left" vertical="center"/>
    </xf>
    <xf numFmtId="0" fontId="80" fillId="2" borderId="1" xfId="0" applyFont="1" applyFill="1" applyBorder="1" applyProtection="1"/>
    <xf numFmtId="0" fontId="80" fillId="2" borderId="3" xfId="0" applyFont="1" applyFill="1" applyBorder="1" applyProtection="1"/>
    <xf numFmtId="0" fontId="94" fillId="0" borderId="0" xfId="0" applyFont="1" applyBorder="1" applyAlignment="1" applyProtection="1"/>
    <xf numFmtId="0" fontId="30" fillId="2" borderId="0" xfId="0" applyFont="1" applyFill="1" applyProtection="1"/>
    <xf numFmtId="0" fontId="80" fillId="2" borderId="0" xfId="0" applyFont="1" applyFill="1" applyProtection="1"/>
    <xf numFmtId="0" fontId="30" fillId="2" borderId="0" xfId="0" applyFont="1" applyFill="1" applyBorder="1" applyProtection="1"/>
    <xf numFmtId="0" fontId="30" fillId="2" borderId="3" xfId="0" applyFont="1" applyFill="1" applyBorder="1" applyProtection="1"/>
    <xf numFmtId="0" fontId="77" fillId="2" borderId="0" xfId="0" applyFont="1" applyFill="1" applyProtection="1"/>
    <xf numFmtId="0" fontId="77" fillId="2" borderId="0" xfId="0" applyFont="1" applyFill="1" applyBorder="1" applyAlignment="1" applyProtection="1">
      <alignment horizontal="left" vertical="distributed"/>
    </xf>
    <xf numFmtId="0" fontId="30" fillId="2" borderId="6" xfId="0" applyFont="1" applyFill="1" applyBorder="1" applyProtection="1"/>
    <xf numFmtId="0" fontId="30" fillId="2" borderId="5" xfId="0" applyFont="1" applyFill="1" applyBorder="1" applyProtection="1"/>
    <xf numFmtId="0" fontId="77" fillId="2" borderId="3" xfId="0" applyFont="1" applyFill="1" applyBorder="1" applyAlignment="1" applyProtection="1">
      <alignment horizontal="left" vertical="distributed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64" fontId="57" fillId="0" borderId="8" xfId="0" applyNumberFormat="1" applyFont="1" applyBorder="1" applyAlignment="1" applyProtection="1">
      <alignment horizontal="center"/>
    </xf>
    <xf numFmtId="0" fontId="57" fillId="0" borderId="65" xfId="0" applyFont="1" applyFill="1" applyBorder="1" applyAlignment="1" applyProtection="1">
      <alignment horizontal="center" vertical="center"/>
    </xf>
    <xf numFmtId="0" fontId="57" fillId="0" borderId="66" xfId="0" applyFont="1" applyFill="1" applyBorder="1" applyAlignment="1" applyProtection="1">
      <alignment horizontal="center" vertical="center"/>
    </xf>
    <xf numFmtId="0" fontId="57" fillId="0" borderId="46" xfId="0" applyFont="1" applyFill="1" applyBorder="1" applyAlignment="1" applyProtection="1">
      <alignment horizontal="center" vertical="center"/>
    </xf>
    <xf numFmtId="0" fontId="57" fillId="0" borderId="49" xfId="0" applyFont="1" applyBorder="1" applyAlignment="1" applyProtection="1">
      <alignment horizontal="center"/>
    </xf>
    <xf numFmtId="0" fontId="57" fillId="0" borderId="45" xfId="0" applyFont="1" applyBorder="1" applyAlignment="1" applyProtection="1">
      <alignment horizontal="center"/>
    </xf>
    <xf numFmtId="0" fontId="57" fillId="0" borderId="2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  <xf numFmtId="0" fontId="81" fillId="0" borderId="1" xfId="0" applyFont="1" applyBorder="1" applyProtection="1"/>
    <xf numFmtId="0" fontId="23" fillId="0" borderId="3" xfId="0" applyFont="1" applyBorder="1" applyAlignment="1" applyProtection="1">
      <alignment horizontal="center"/>
    </xf>
    <xf numFmtId="0" fontId="24" fillId="0" borderId="2" xfId="0" applyFont="1" applyBorder="1" applyProtection="1"/>
    <xf numFmtId="0" fontId="24" fillId="0" borderId="3" xfId="0" applyFont="1" applyBorder="1" applyProtection="1"/>
    <xf numFmtId="0" fontId="81" fillId="0" borderId="96" xfId="0" applyFont="1" applyBorder="1" applyProtection="1"/>
    <xf numFmtId="0" fontId="27" fillId="0" borderId="37" xfId="0" applyFont="1" applyBorder="1" applyAlignment="1" applyProtection="1">
      <alignment horizontal="center"/>
    </xf>
    <xf numFmtId="0" fontId="27" fillId="0" borderId="38" xfId="0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center"/>
    </xf>
    <xf numFmtId="0" fontId="27" fillId="0" borderId="98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97" fillId="0" borderId="9" xfId="0" applyFont="1" applyBorder="1" applyAlignment="1" applyProtection="1">
      <alignment horizontal="center"/>
    </xf>
    <xf numFmtId="0" fontId="96" fillId="0" borderId="0" xfId="0" applyFont="1" applyBorder="1" applyAlignment="1" applyProtection="1">
      <alignment horizontal="center"/>
    </xf>
    <xf numFmtId="0" fontId="98" fillId="0" borderId="4" xfId="0" applyFont="1" applyBorder="1" applyAlignment="1" applyProtection="1">
      <alignment horizontal="center"/>
    </xf>
    <xf numFmtId="0" fontId="97" fillId="0" borderId="0" xfId="0" applyFont="1" applyBorder="1" applyAlignment="1" applyProtection="1">
      <alignment horizontal="center"/>
    </xf>
    <xf numFmtId="0" fontId="98" fillId="0" borderId="0" xfId="0" applyFont="1" applyBorder="1" applyAlignment="1" applyProtection="1">
      <alignment horizontal="center"/>
    </xf>
    <xf numFmtId="0" fontId="31" fillId="0" borderId="1" xfId="0" applyFont="1" applyBorder="1" applyAlignment="1" applyProtection="1">
      <alignment horizontal="center"/>
    </xf>
    <xf numFmtId="0" fontId="61" fillId="0" borderId="3" xfId="0" applyFont="1" applyBorder="1" applyAlignment="1" applyProtection="1">
      <alignment horizontal="center"/>
    </xf>
    <xf numFmtId="0" fontId="32" fillId="0" borderId="2" xfId="0" applyFont="1" applyBorder="1" applyAlignment="1" applyProtection="1">
      <alignment horizontal="center"/>
    </xf>
    <xf numFmtId="0" fontId="31" fillId="0" borderId="1" xfId="0" applyFont="1" applyFill="1" applyBorder="1" applyAlignment="1" applyProtection="1">
      <alignment horizontal="center"/>
    </xf>
    <xf numFmtId="0" fontId="31" fillId="0" borderId="3" xfId="0" applyFont="1" applyBorder="1" applyAlignment="1" applyProtection="1">
      <alignment horizontal="center"/>
    </xf>
    <xf numFmtId="0" fontId="32" fillId="0" borderId="3" xfId="0" applyFont="1" applyBorder="1" applyAlignment="1" applyProtection="1">
      <alignment horizontal="center"/>
    </xf>
    <xf numFmtId="164" fontId="83" fillId="0" borderId="8" xfId="0" applyNumberFormat="1" applyFont="1" applyBorder="1" applyAlignment="1" applyProtection="1">
      <alignment horizontal="center"/>
    </xf>
    <xf numFmtId="0" fontId="83" fillId="0" borderId="65" xfId="0" applyFont="1" applyBorder="1" applyAlignment="1" applyProtection="1">
      <alignment horizontal="center" vertical="center"/>
    </xf>
    <xf numFmtId="0" fontId="83" fillId="0" borderId="66" xfId="0" applyFont="1" applyBorder="1" applyAlignment="1" applyProtection="1">
      <alignment horizontal="center" vertical="center"/>
    </xf>
    <xf numFmtId="0" fontId="83" fillId="0" borderId="46" xfId="0" applyFont="1" applyBorder="1" applyAlignment="1" applyProtection="1">
      <alignment horizontal="center" vertical="center"/>
    </xf>
    <xf numFmtId="0" fontId="83" fillId="0" borderId="49" xfId="0" applyFont="1" applyBorder="1" applyAlignment="1" applyProtection="1">
      <alignment horizontal="center"/>
    </xf>
    <xf numFmtId="0" fontId="83" fillId="0" borderId="45" xfId="0" applyFont="1" applyBorder="1" applyAlignment="1" applyProtection="1">
      <alignment horizontal="center"/>
    </xf>
    <xf numFmtId="0" fontId="83" fillId="0" borderId="2" xfId="0" applyFont="1" applyBorder="1" applyAlignment="1" applyProtection="1">
      <alignment horizontal="center"/>
    </xf>
    <xf numFmtId="0" fontId="25" fillId="0" borderId="21" xfId="0" applyFont="1" applyBorder="1" applyAlignment="1" applyProtection="1">
      <alignment horizontal="center"/>
    </xf>
    <xf numFmtId="0" fontId="25" fillId="0" borderId="37" xfId="0" applyFont="1" applyBorder="1" applyAlignment="1" applyProtection="1">
      <alignment horizontal="center"/>
    </xf>
    <xf numFmtId="0" fontId="25" fillId="0" borderId="38" xfId="0" applyFont="1" applyBorder="1" applyAlignment="1" applyProtection="1">
      <alignment horizontal="center"/>
    </xf>
    <xf numFmtId="0" fontId="25" fillId="0" borderId="4" xfId="0" applyFont="1" applyBorder="1" applyAlignment="1" applyProtection="1">
      <alignment horizontal="center"/>
    </xf>
    <xf numFmtId="0" fontId="25" fillId="0" borderId="98" xfId="0" applyFont="1" applyBorder="1" applyAlignment="1" applyProtection="1">
      <alignment horizontal="center"/>
    </xf>
    <xf numFmtId="0" fontId="25" fillId="0" borderId="2" xfId="0" applyFont="1" applyBorder="1" applyAlignment="1" applyProtection="1">
      <alignment horizontal="center"/>
    </xf>
    <xf numFmtId="0" fontId="97" fillId="0" borderId="9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86" fillId="0" borderId="3" xfId="0" applyFont="1" applyFill="1" applyBorder="1" applyAlignment="1" applyProtection="1">
      <protection locked="0"/>
    </xf>
    <xf numFmtId="0" fontId="87" fillId="0" borderId="3" xfId="0" applyFont="1" applyFill="1" applyBorder="1" applyAlignment="1" applyProtection="1">
      <protection locked="0"/>
    </xf>
    <xf numFmtId="0" fontId="78" fillId="0" borderId="3" xfId="0" applyFont="1" applyFill="1" applyBorder="1" applyProtection="1">
      <protection locked="0"/>
    </xf>
    <xf numFmtId="0" fontId="30" fillId="2" borderId="99" xfId="0" applyFont="1" applyFill="1" applyBorder="1" applyProtection="1"/>
    <xf numFmtId="0" fontId="80" fillId="2" borderId="6" xfId="0" applyFont="1" applyFill="1" applyBorder="1" applyProtection="1"/>
    <xf numFmtId="0" fontId="80" fillId="2" borderId="9" xfId="0" applyFont="1" applyFill="1" applyBorder="1" applyProtection="1"/>
    <xf numFmtId="0" fontId="80" fillId="2" borderId="0" xfId="0" applyFont="1" applyFill="1" applyBorder="1" applyProtection="1"/>
    <xf numFmtId="0" fontId="80" fillId="0" borderId="0" xfId="0" applyFont="1" applyFill="1" applyBorder="1" applyProtection="1"/>
    <xf numFmtId="0" fontId="78" fillId="0" borderId="0" xfId="0" applyFont="1" applyFill="1" applyBorder="1" applyAlignment="1" applyProtection="1">
      <alignment vertical="top"/>
    </xf>
    <xf numFmtId="0" fontId="80" fillId="0" borderId="3" xfId="0" applyFont="1" applyFill="1" applyBorder="1" applyProtection="1"/>
    <xf numFmtId="0" fontId="78" fillId="0" borderId="3" xfId="0" applyFont="1" applyFill="1" applyBorder="1" applyAlignment="1" applyProtection="1">
      <alignment vertical="top"/>
    </xf>
    <xf numFmtId="0" fontId="78" fillId="0" borderId="3" xfId="0" applyFont="1" applyFill="1" applyBorder="1" applyAlignment="1" applyProtection="1">
      <alignment horizontal="left" vertical="top"/>
    </xf>
    <xf numFmtId="0" fontId="30" fillId="2" borderId="3" xfId="0" applyFont="1" applyFill="1" applyBorder="1" applyAlignment="1" applyProtection="1">
      <alignment vertical="distributed"/>
    </xf>
    <xf numFmtId="0" fontId="97" fillId="0" borderId="9" xfId="0" applyFont="1" applyFill="1" applyBorder="1" applyAlignment="1" applyProtection="1">
      <alignment horizontal="center"/>
    </xf>
    <xf numFmtId="0" fontId="96" fillId="0" borderId="0" xfId="0" applyFont="1" applyFill="1" applyBorder="1" applyAlignment="1" applyProtection="1">
      <alignment horizontal="center"/>
    </xf>
    <xf numFmtId="0" fontId="98" fillId="0" borderId="4" xfId="0" applyFont="1" applyFill="1" applyBorder="1" applyAlignment="1" applyProtection="1">
      <alignment horizontal="center"/>
    </xf>
    <xf numFmtId="0" fontId="96" fillId="0" borderId="0" xfId="0" applyFont="1" applyFill="1" applyBorder="1" applyAlignment="1" applyProtection="1">
      <alignment horizontal="center" vertical="center"/>
    </xf>
    <xf numFmtId="0" fontId="31" fillId="0" borderId="32" xfId="0" applyFont="1" applyFill="1" applyBorder="1" applyAlignment="1" applyProtection="1">
      <alignment horizontal="center"/>
    </xf>
    <xf numFmtId="0" fontId="53" fillId="0" borderId="95" xfId="0" applyFont="1" applyFill="1" applyBorder="1" applyAlignment="1" applyProtection="1">
      <alignment horizontal="center"/>
    </xf>
    <xf numFmtId="0" fontId="32" fillId="0" borderId="34" xfId="0" applyFont="1" applyFill="1" applyBorder="1" applyAlignment="1" applyProtection="1">
      <alignment horizontal="center"/>
    </xf>
    <xf numFmtId="0" fontId="31" fillId="0" borderId="35" xfId="0" applyFont="1" applyFill="1" applyBorder="1" applyAlignment="1" applyProtection="1">
      <alignment horizontal="center"/>
    </xf>
    <xf numFmtId="0" fontId="61" fillId="0" borderId="35" xfId="0" applyFont="1" applyFill="1" applyBorder="1" applyAlignment="1" applyProtection="1">
      <alignment horizontal="center"/>
    </xf>
    <xf numFmtId="0" fontId="32" fillId="0" borderId="35" xfId="0" applyFont="1" applyFill="1" applyBorder="1" applyAlignment="1" applyProtection="1">
      <alignment horizontal="center"/>
    </xf>
    <xf numFmtId="0" fontId="31" fillId="0" borderId="97" xfId="0" applyFont="1" applyFill="1" applyBorder="1" applyAlignment="1" applyProtection="1">
      <alignment horizontal="center"/>
    </xf>
    <xf numFmtId="0" fontId="61" fillId="0" borderId="33" xfId="0" applyFont="1" applyFill="1" applyBorder="1" applyAlignment="1" applyProtection="1">
      <alignment horizontal="center"/>
    </xf>
    <xf numFmtId="0" fontId="6" fillId="0" borderId="65" xfId="0" applyFont="1" applyBorder="1" applyAlignment="1" applyProtection="1">
      <alignment horizontal="center"/>
      <protection locked="0"/>
    </xf>
    <xf numFmtId="0" fontId="6" fillId="0" borderId="66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44" fillId="5" borderId="10" xfId="0" applyFont="1" applyFill="1" applyBorder="1" applyAlignment="1" applyProtection="1"/>
    <xf numFmtId="0" fontId="44" fillId="5" borderId="11" xfId="0" applyFont="1" applyFill="1" applyBorder="1" applyAlignment="1" applyProtection="1"/>
    <xf numFmtId="0" fontId="44" fillId="5" borderId="12" xfId="0" applyFont="1" applyFill="1" applyBorder="1" applyAlignment="1" applyProtection="1"/>
    <xf numFmtId="0" fontId="6" fillId="5" borderId="37" xfId="0" applyFont="1" applyFill="1" applyBorder="1" applyAlignment="1" applyProtection="1"/>
    <xf numFmtId="0" fontId="6" fillId="5" borderId="38" xfId="0" applyFont="1" applyFill="1" applyBorder="1" applyAlignment="1" applyProtection="1"/>
    <xf numFmtId="0" fontId="6" fillId="5" borderId="14" xfId="0" applyFont="1" applyFill="1" applyBorder="1" applyAlignment="1" applyProtection="1"/>
    <xf numFmtId="0" fontId="6" fillId="5" borderId="10" xfId="0" applyFont="1" applyFill="1" applyBorder="1" applyAlignment="1" applyProtection="1"/>
    <xf numFmtId="0" fontId="6" fillId="5" borderId="11" xfId="0" applyFont="1" applyFill="1" applyBorder="1" applyAlignment="1" applyProtection="1"/>
    <xf numFmtId="0" fontId="6" fillId="5" borderId="12" xfId="0" applyFont="1" applyFill="1" applyBorder="1" applyAlignment="1" applyProtection="1"/>
    <xf numFmtId="0" fontId="112" fillId="4" borderId="10" xfId="0" applyFont="1" applyFill="1" applyBorder="1" applyAlignment="1" applyProtection="1"/>
    <xf numFmtId="0" fontId="112" fillId="4" borderId="11" xfId="0" applyFont="1" applyFill="1" applyBorder="1" applyAlignment="1" applyProtection="1"/>
    <xf numFmtId="0" fontId="112" fillId="4" borderId="12" xfId="0" applyFont="1" applyFill="1" applyBorder="1" applyAlignment="1" applyProtection="1"/>
    <xf numFmtId="0" fontId="113" fillId="4" borderId="37" xfId="0" applyFont="1" applyFill="1" applyBorder="1" applyAlignment="1" applyProtection="1"/>
    <xf numFmtId="0" fontId="113" fillId="4" borderId="38" xfId="0" applyFont="1" applyFill="1" applyBorder="1" applyAlignment="1" applyProtection="1"/>
    <xf numFmtId="0" fontId="112" fillId="4" borderId="38" xfId="0" applyFont="1" applyFill="1" applyBorder="1" applyAlignment="1" applyProtection="1"/>
    <xf numFmtId="0" fontId="112" fillId="4" borderId="14" xfId="0" applyFont="1" applyFill="1" applyBorder="1" applyAlignment="1" applyProtection="1"/>
    <xf numFmtId="0" fontId="6" fillId="4" borderId="10" xfId="0" applyFont="1" applyFill="1" applyBorder="1" applyAlignment="1" applyProtection="1"/>
    <xf numFmtId="0" fontId="6" fillId="4" borderId="11" xfId="0" applyFont="1" applyFill="1" applyBorder="1" applyAlignment="1" applyProtection="1"/>
    <xf numFmtId="0" fontId="6" fillId="4" borderId="12" xfId="0" applyFont="1" applyFill="1" applyBorder="1" applyAlignment="1" applyProtection="1"/>
    <xf numFmtId="0" fontId="81" fillId="4" borderId="37" xfId="0" applyFont="1" applyFill="1" applyBorder="1" applyAlignment="1" applyProtection="1"/>
    <xf numFmtId="0" fontId="81" fillId="4" borderId="38" xfId="0" applyFont="1" applyFill="1" applyBorder="1" applyAlignment="1" applyProtection="1"/>
    <xf numFmtId="0" fontId="6" fillId="4" borderId="38" xfId="0" applyFont="1" applyFill="1" applyBorder="1" applyAlignment="1" applyProtection="1"/>
    <xf numFmtId="0" fontId="6" fillId="4" borderId="14" xfId="0" applyFont="1" applyFill="1" applyBorder="1" applyAlignment="1" applyProtection="1"/>
    <xf numFmtId="0" fontId="86" fillId="6" borderId="0" xfId="0" applyFont="1" applyFill="1" applyAlignment="1" applyProtection="1">
      <protection locked="0"/>
    </xf>
    <xf numFmtId="0" fontId="86" fillId="6" borderId="0" xfId="0" applyFont="1" applyFill="1" applyBorder="1" applyAlignment="1" applyProtection="1">
      <protection locked="0"/>
    </xf>
    <xf numFmtId="0" fontId="86" fillId="6" borderId="3" xfId="0" applyFont="1" applyFill="1" applyBorder="1" applyAlignment="1" applyProtection="1">
      <protection locked="0"/>
    </xf>
    <xf numFmtId="0" fontId="3" fillId="0" borderId="0" xfId="0" applyFont="1" applyBorder="1" applyProtection="1"/>
    <xf numFmtId="0" fontId="0" fillId="0" borderId="0" xfId="0" applyBorder="1" applyAlignment="1" applyProtection="1"/>
    <xf numFmtId="0" fontId="5" fillId="0" borderId="0" xfId="0" applyFont="1" applyProtection="1"/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distributed"/>
    </xf>
    <xf numFmtId="0" fontId="0" fillId="0" borderId="3" xfId="0" applyBorder="1" applyAlignment="1" applyProtection="1"/>
    <xf numFmtId="0" fontId="56" fillId="0" borderId="0" xfId="0" applyFont="1" applyBorder="1" applyProtection="1"/>
    <xf numFmtId="0" fontId="81" fillId="0" borderId="0" xfId="0" applyFont="1" applyBorder="1" applyProtection="1"/>
    <xf numFmtId="0" fontId="32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1" fillId="0" borderId="0" xfId="0" applyFont="1" applyFill="1" applyBorder="1" applyAlignment="1" applyProtection="1">
      <alignment horizontal="left" vertical="distributed"/>
    </xf>
    <xf numFmtId="0" fontId="31" fillId="0" borderId="1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</xf>
    <xf numFmtId="0" fontId="31" fillId="0" borderId="9" xfId="0" applyFont="1" applyFill="1" applyBorder="1" applyAlignment="1" applyProtection="1">
      <alignment horizontal="center" vertical="center"/>
    </xf>
    <xf numFmtId="0" fontId="120" fillId="0" borderId="0" xfId="0" applyFont="1" applyFill="1" applyBorder="1" applyAlignment="1" applyProtection="1">
      <alignment horizontal="left" vertical="distributed"/>
    </xf>
    <xf numFmtId="164" fontId="83" fillId="0" borderId="66" xfId="0" applyNumberFormat="1" applyFont="1" applyBorder="1" applyAlignment="1" applyProtection="1">
      <alignment horizontal="center" vertical="center"/>
    </xf>
    <xf numFmtId="164" fontId="83" fillId="0" borderId="46" xfId="0" applyNumberFormat="1" applyFont="1" applyBorder="1" applyAlignment="1" applyProtection="1">
      <alignment horizontal="center" vertical="center"/>
    </xf>
    <xf numFmtId="0" fontId="82" fillId="0" borderId="97" xfId="0" applyFont="1" applyBorder="1" applyAlignment="1" applyProtection="1">
      <alignment horizontal="center" vertical="center"/>
    </xf>
    <xf numFmtId="0" fontId="82" fillId="0" borderId="95" xfId="0" applyFont="1" applyBorder="1" applyAlignment="1" applyProtection="1">
      <alignment horizontal="center" vertical="center"/>
    </xf>
    <xf numFmtId="0" fontId="81" fillId="0" borderId="95" xfId="0" applyFont="1" applyBorder="1" applyAlignment="1" applyProtection="1">
      <alignment horizontal="center" vertical="center"/>
    </xf>
    <xf numFmtId="0" fontId="81" fillId="0" borderId="96" xfId="0" applyFont="1" applyBorder="1" applyAlignment="1" applyProtection="1">
      <alignment horizontal="center" vertical="center"/>
    </xf>
    <xf numFmtId="0" fontId="2" fillId="0" borderId="97" xfId="0" applyFont="1" applyBorder="1" applyAlignment="1" applyProtection="1">
      <alignment horizontal="left" vertical="top" wrapText="1"/>
    </xf>
    <xf numFmtId="0" fontId="2" fillId="0" borderId="95" xfId="0" applyFont="1" applyBorder="1" applyAlignment="1" applyProtection="1">
      <alignment horizontal="left" vertical="top" wrapText="1"/>
    </xf>
    <xf numFmtId="0" fontId="2" fillId="0" borderId="96" xfId="0" applyFont="1" applyBorder="1" applyAlignment="1" applyProtection="1">
      <alignment horizontal="left" vertical="top" wrapText="1"/>
    </xf>
    <xf numFmtId="164" fontId="57" fillId="0" borderId="66" xfId="0" applyNumberFormat="1" applyFont="1" applyBorder="1" applyAlignment="1" applyProtection="1">
      <alignment horizontal="center" vertical="center"/>
    </xf>
    <xf numFmtId="164" fontId="57" fillId="0" borderId="38" xfId="0" applyNumberFormat="1" applyFont="1" applyBorder="1" applyAlignment="1" applyProtection="1">
      <alignment horizontal="center" vertical="center"/>
    </xf>
    <xf numFmtId="164" fontId="57" fillId="0" borderId="46" xfId="0" applyNumberFormat="1" applyFont="1" applyBorder="1" applyAlignment="1" applyProtection="1">
      <alignment horizontal="center" vertical="center"/>
    </xf>
    <xf numFmtId="164" fontId="57" fillId="0" borderId="14" xfId="0" applyNumberFormat="1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center" vertical="center"/>
    </xf>
    <xf numFmtId="0" fontId="57" fillId="0" borderId="3" xfId="0" applyFont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/>
    </xf>
    <xf numFmtId="0" fontId="58" fillId="0" borderId="2" xfId="0" applyFont="1" applyBorder="1" applyAlignment="1" applyProtection="1">
      <alignment horizontal="center" vertical="center"/>
    </xf>
    <xf numFmtId="164" fontId="83" fillId="0" borderId="8" xfId="0" applyNumberFormat="1" applyFont="1" applyFill="1" applyBorder="1" applyAlignment="1" applyProtection="1">
      <alignment horizontal="center"/>
      <protection locked="0"/>
    </xf>
    <xf numFmtId="164" fontId="57" fillId="0" borderId="11" xfId="0" applyNumberFormat="1" applyFont="1" applyBorder="1" applyAlignment="1" applyProtection="1">
      <alignment horizontal="center" vertical="center"/>
    </xf>
    <xf numFmtId="164" fontId="57" fillId="0" borderId="12" xfId="0" applyNumberFormat="1" applyFont="1" applyBorder="1" applyAlignment="1" applyProtection="1">
      <alignment horizontal="center" vertical="center"/>
    </xf>
    <xf numFmtId="0" fontId="83" fillId="0" borderId="1" xfId="0" applyFont="1" applyBorder="1" applyAlignment="1" applyProtection="1">
      <alignment horizontal="center" vertical="center"/>
    </xf>
    <xf numFmtId="0" fontId="83" fillId="0" borderId="3" xfId="0" applyFont="1" applyBorder="1" applyAlignment="1" applyProtection="1">
      <alignment horizontal="center" vertical="center"/>
    </xf>
    <xf numFmtId="0" fontId="84" fillId="0" borderId="3" xfId="0" applyFont="1" applyBorder="1" applyAlignment="1" applyProtection="1">
      <alignment horizontal="center" vertical="center"/>
    </xf>
    <xf numFmtId="0" fontId="84" fillId="0" borderId="2" xfId="0" applyFont="1" applyBorder="1" applyAlignment="1" applyProtection="1">
      <alignment horizontal="center" vertical="center"/>
    </xf>
    <xf numFmtId="164" fontId="83" fillId="0" borderId="11" xfId="0" applyNumberFormat="1" applyFont="1" applyBorder="1" applyAlignment="1" applyProtection="1">
      <alignment horizontal="center" vertical="center"/>
    </xf>
    <xf numFmtId="164" fontId="83" fillId="0" borderId="12" xfId="0" applyNumberFormat="1" applyFont="1" applyBorder="1" applyAlignment="1" applyProtection="1">
      <alignment horizontal="center" vertical="center"/>
    </xf>
    <xf numFmtId="164" fontId="83" fillId="0" borderId="10" xfId="0" applyNumberFormat="1" applyFont="1" applyBorder="1" applyAlignment="1" applyProtection="1">
      <alignment horizontal="center" vertical="center"/>
    </xf>
    <xf numFmtId="164" fontId="83" fillId="0" borderId="65" xfId="0" applyNumberFormat="1" applyFont="1" applyBorder="1" applyAlignment="1" applyProtection="1">
      <alignment horizontal="center" vertical="center"/>
    </xf>
    <xf numFmtId="20" fontId="83" fillId="0" borderId="9" xfId="0" applyNumberFormat="1" applyFont="1" applyBorder="1" applyAlignment="1" applyProtection="1">
      <alignment horizontal="center" vertical="center"/>
    </xf>
    <xf numFmtId="20" fontId="83" fillId="0" borderId="0" xfId="0" applyNumberFormat="1" applyFont="1" applyBorder="1" applyAlignment="1" applyProtection="1">
      <alignment horizontal="center" vertical="center"/>
    </xf>
    <xf numFmtId="20" fontId="83" fillId="0" borderId="1" xfId="0" applyNumberFormat="1" applyFont="1" applyBorder="1" applyAlignment="1" applyProtection="1">
      <alignment horizontal="center" vertical="center"/>
    </xf>
    <xf numFmtId="20" fontId="83" fillId="0" borderId="3" xfId="0" applyNumberFormat="1" applyFont="1" applyBorder="1" applyAlignment="1" applyProtection="1">
      <alignment horizontal="center" vertical="center"/>
    </xf>
    <xf numFmtId="0" fontId="83" fillId="0" borderId="0" xfId="0" applyFont="1" applyAlignment="1" applyProtection="1">
      <alignment horizontal="center" vertical="center"/>
    </xf>
    <xf numFmtId="0" fontId="83" fillId="0" borderId="4" xfId="0" applyFont="1" applyBorder="1" applyAlignment="1" applyProtection="1">
      <alignment horizontal="center" vertical="center"/>
    </xf>
    <xf numFmtId="0" fontId="83" fillId="0" borderId="2" xfId="0" applyFont="1" applyBorder="1" applyAlignment="1" applyProtection="1">
      <alignment horizontal="center" vertical="center"/>
    </xf>
    <xf numFmtId="164" fontId="57" fillId="0" borderId="65" xfId="0" applyNumberFormat="1" applyFont="1" applyBorder="1" applyAlignment="1" applyProtection="1">
      <alignment horizontal="center" vertical="center"/>
    </xf>
    <xf numFmtId="164" fontId="57" fillId="0" borderId="37" xfId="0" applyNumberFormat="1" applyFont="1" applyBorder="1" applyAlignment="1" applyProtection="1">
      <alignment horizontal="center" vertical="center"/>
    </xf>
    <xf numFmtId="164" fontId="57" fillId="0" borderId="10" xfId="0" applyNumberFormat="1" applyFont="1" applyBorder="1" applyAlignment="1" applyProtection="1">
      <alignment horizontal="center" vertical="center"/>
    </xf>
    <xf numFmtId="0" fontId="75" fillId="0" borderId="7" xfId="0" applyFont="1" applyBorder="1" applyAlignment="1" applyProtection="1">
      <alignment horizontal="center" vertical="center"/>
    </xf>
    <xf numFmtId="0" fontId="75" fillId="0" borderId="8" xfId="0" applyFont="1" applyBorder="1" applyAlignment="1" applyProtection="1">
      <alignment horizontal="center" vertical="center"/>
    </xf>
    <xf numFmtId="0" fontId="76" fillId="0" borderId="8" xfId="0" applyFont="1" applyBorder="1" applyAlignment="1" applyProtection="1">
      <alignment horizontal="center" vertical="center"/>
    </xf>
    <xf numFmtId="0" fontId="76" fillId="0" borderId="100" xfId="0" applyFont="1" applyBorder="1" applyAlignment="1" applyProtection="1">
      <alignment horizontal="center" vertical="center"/>
    </xf>
    <xf numFmtId="0" fontId="85" fillId="0" borderId="1" xfId="0" applyFont="1" applyBorder="1" applyAlignment="1" applyProtection="1">
      <alignment horizontal="center" vertical="center"/>
    </xf>
    <xf numFmtId="0" fontId="85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05" fillId="0" borderId="8" xfId="0" applyFont="1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center" vertical="center"/>
    </xf>
    <xf numFmtId="0" fontId="27" fillId="0" borderId="68" xfId="0" applyFont="1" applyBorder="1" applyAlignment="1" applyProtection="1">
      <alignment horizontal="center" vertical="center"/>
    </xf>
    <xf numFmtId="0" fontId="27" fillId="0" borderId="21" xfId="0" applyFont="1" applyBorder="1" applyAlignment="1" applyProtection="1">
      <alignment horizontal="center" vertical="center"/>
    </xf>
    <xf numFmtId="0" fontId="105" fillId="0" borderId="7" xfId="0" applyFont="1" applyBorder="1" applyAlignment="1" applyProtection="1">
      <alignment horizontal="center" vertical="center"/>
    </xf>
    <xf numFmtId="0" fontId="105" fillId="0" borderId="100" xfId="0" applyFont="1" applyBorder="1" applyAlignment="1" applyProtection="1">
      <alignment horizontal="center" vertical="center"/>
    </xf>
    <xf numFmtId="0" fontId="78" fillId="0" borderId="8" xfId="0" applyFont="1" applyFill="1" applyBorder="1" applyAlignment="1" applyProtection="1">
      <alignment horizontal="left" vertical="center"/>
      <protection locked="0"/>
    </xf>
    <xf numFmtId="0" fontId="79" fillId="0" borderId="8" xfId="0" applyFont="1" applyFill="1" applyBorder="1" applyProtection="1">
      <protection locked="0"/>
    </xf>
    <xf numFmtId="0" fontId="79" fillId="0" borderId="101" xfId="0" applyFont="1" applyFill="1" applyBorder="1" applyProtection="1">
      <protection locked="0"/>
    </xf>
    <xf numFmtId="0" fontId="78" fillId="0" borderId="0" xfId="0" applyFont="1" applyFill="1" applyBorder="1" applyAlignment="1" applyProtection="1">
      <alignment horizontal="left" vertical="center"/>
      <protection locked="0"/>
    </xf>
    <xf numFmtId="0" fontId="79" fillId="0" borderId="0" xfId="0" applyFont="1" applyFill="1" applyProtection="1">
      <protection locked="0"/>
    </xf>
    <xf numFmtId="0" fontId="79" fillId="0" borderId="102" xfId="0" applyFont="1" applyFill="1" applyBorder="1" applyProtection="1">
      <protection locked="0"/>
    </xf>
    <xf numFmtId="0" fontId="78" fillId="0" borderId="0" xfId="0" applyFont="1" applyFill="1" applyBorder="1" applyAlignment="1" applyProtection="1">
      <alignment horizontal="left" vertical="top"/>
      <protection locked="0"/>
    </xf>
    <xf numFmtId="0" fontId="79" fillId="0" borderId="0" xfId="0" applyFont="1" applyFill="1" applyAlignment="1" applyProtection="1">
      <alignment horizontal="left" vertical="top"/>
      <protection locked="0"/>
    </xf>
    <xf numFmtId="0" fontId="79" fillId="0" borderId="102" xfId="0" applyFont="1" applyFill="1" applyBorder="1" applyAlignment="1" applyProtection="1">
      <alignment horizontal="left" vertical="top"/>
      <protection locked="0"/>
    </xf>
    <xf numFmtId="0" fontId="79" fillId="0" borderId="3" xfId="0" applyFont="1" applyFill="1" applyBorder="1" applyAlignment="1" applyProtection="1">
      <alignment horizontal="left" vertical="top"/>
      <protection locked="0"/>
    </xf>
    <xf numFmtId="0" fontId="79" fillId="0" borderId="103" xfId="0" applyFont="1" applyFill="1" applyBorder="1" applyAlignment="1" applyProtection="1">
      <alignment horizontal="left" vertical="top"/>
      <protection locked="0"/>
    </xf>
    <xf numFmtId="0" fontId="79" fillId="0" borderId="0" xfId="0" applyFont="1" applyFill="1" applyAlignment="1" applyProtection="1">
      <protection locked="0"/>
    </xf>
    <xf numFmtId="0" fontId="79" fillId="0" borderId="102" xfId="0" applyFont="1" applyFill="1" applyBorder="1" applyAlignment="1" applyProtection="1">
      <protection locked="0"/>
    </xf>
    <xf numFmtId="0" fontId="78" fillId="0" borderId="0" xfId="0" applyFont="1" applyFill="1" applyBorder="1" applyAlignment="1" applyProtection="1">
      <alignment horizontal="left"/>
      <protection locked="0"/>
    </xf>
    <xf numFmtId="0" fontId="105" fillId="0" borderId="7" xfId="0" applyFont="1" applyFill="1" applyBorder="1" applyAlignment="1" applyProtection="1">
      <alignment horizontal="center" vertical="center"/>
    </xf>
    <xf numFmtId="0" fontId="106" fillId="0" borderId="8" xfId="0" applyFont="1" applyBorder="1" applyProtection="1"/>
    <xf numFmtId="0" fontId="106" fillId="0" borderId="100" xfId="0" applyFont="1" applyBorder="1" applyProtection="1"/>
    <xf numFmtId="0" fontId="57" fillId="0" borderId="9" xfId="0" applyFont="1" applyBorder="1" applyAlignment="1" applyProtection="1">
      <alignment horizontal="center" vertical="center"/>
    </xf>
    <xf numFmtId="0" fontId="57" fillId="0" borderId="0" xfId="0" applyFont="1" applyBorder="1" applyAlignment="1" applyProtection="1">
      <alignment horizontal="center" vertical="center"/>
    </xf>
    <xf numFmtId="0" fontId="57" fillId="0" borderId="4" xfId="0" applyFont="1" applyBorder="1" applyAlignment="1" applyProtection="1">
      <alignment horizontal="center" vertical="center"/>
    </xf>
    <xf numFmtId="0" fontId="57" fillId="0" borderId="2" xfId="0" applyFont="1" applyBorder="1" applyAlignment="1" applyProtection="1">
      <alignment horizontal="center" vertical="center"/>
    </xf>
    <xf numFmtId="0" fontId="30" fillId="2" borderId="9" xfId="0" applyFont="1" applyFill="1" applyBorder="1" applyAlignment="1" applyProtection="1">
      <alignment horizontal="left" vertical="center"/>
    </xf>
    <xf numFmtId="0" fontId="30" fillId="2" borderId="0" xfId="0" applyFont="1" applyFill="1" applyBorder="1" applyAlignment="1" applyProtection="1">
      <alignment horizontal="left" vertical="center"/>
    </xf>
    <xf numFmtId="0" fontId="77" fillId="2" borderId="0" xfId="0" applyFont="1" applyFill="1" applyAlignment="1" applyProtection="1">
      <alignment horizontal="left" vertical="center"/>
    </xf>
    <xf numFmtId="164" fontId="57" fillId="0" borderId="8" xfId="0" applyNumberFormat="1" applyFont="1" applyFill="1" applyBorder="1" applyAlignment="1" applyProtection="1">
      <alignment horizontal="center"/>
      <protection locked="0"/>
    </xf>
    <xf numFmtId="0" fontId="78" fillId="0" borderId="3" xfId="0" applyFont="1" applyFill="1" applyBorder="1" applyAlignment="1" applyProtection="1">
      <alignment horizontal="left" vertical="center"/>
      <protection locked="0"/>
    </xf>
    <xf numFmtId="0" fontId="79" fillId="0" borderId="3" xfId="0" applyFont="1" applyFill="1" applyBorder="1" applyAlignment="1" applyProtection="1">
      <protection locked="0"/>
    </xf>
    <xf numFmtId="0" fontId="79" fillId="0" borderId="103" xfId="0" applyFont="1" applyFill="1" applyBorder="1" applyAlignment="1" applyProtection="1">
      <protection locked="0"/>
    </xf>
    <xf numFmtId="0" fontId="77" fillId="2" borderId="0" xfId="0" applyFont="1" applyFill="1" applyBorder="1" applyAlignment="1" applyProtection="1">
      <alignment horizontal="left" vertical="center"/>
    </xf>
    <xf numFmtId="0" fontId="25" fillId="0" borderId="67" xfId="0" applyFont="1" applyBorder="1" applyAlignment="1" applyProtection="1">
      <alignment horizontal="center" vertical="center"/>
    </xf>
    <xf numFmtId="0" fontId="25" fillId="0" borderId="68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78" fillId="0" borderId="8" xfId="0" applyFont="1" applyFill="1" applyBorder="1" applyAlignment="1" applyProtection="1">
      <alignment horizontal="left" vertical="top"/>
      <protection locked="0"/>
    </xf>
    <xf numFmtId="0" fontId="79" fillId="0" borderId="8" xfId="0" applyFont="1" applyFill="1" applyBorder="1" applyAlignment="1" applyProtection="1">
      <alignment horizontal="left" vertical="top"/>
      <protection locked="0"/>
    </xf>
    <xf numFmtId="0" fontId="79" fillId="0" borderId="101" xfId="0" applyFont="1" applyFill="1" applyBorder="1" applyAlignment="1" applyProtection="1">
      <alignment horizontal="left" vertical="top"/>
      <protection locked="0"/>
    </xf>
    <xf numFmtId="0" fontId="78" fillId="0" borderId="0" xfId="0" applyFont="1" applyFill="1" applyBorder="1" applyAlignment="1" applyProtection="1">
      <alignment horizontal="left" vertical="top" wrapText="1"/>
      <protection locked="0"/>
    </xf>
    <xf numFmtId="0" fontId="78" fillId="0" borderId="4" xfId="0" applyFont="1" applyFill="1" applyBorder="1" applyAlignment="1" applyProtection="1">
      <alignment horizontal="left" vertical="top" wrapText="1"/>
      <protection locked="0"/>
    </xf>
    <xf numFmtId="0" fontId="78" fillId="0" borderId="3" xfId="0" applyFont="1" applyFill="1" applyBorder="1" applyAlignment="1" applyProtection="1">
      <alignment horizontal="left" vertical="top" wrapText="1"/>
      <protection locked="0"/>
    </xf>
    <xf numFmtId="0" fontId="78" fillId="0" borderId="2" xfId="0" applyFont="1" applyFill="1" applyBorder="1" applyAlignment="1" applyProtection="1">
      <alignment horizontal="left" vertical="top" wrapText="1"/>
      <protection locked="0"/>
    </xf>
    <xf numFmtId="0" fontId="30" fillId="2" borderId="7" xfId="0" applyFont="1" applyFill="1" applyBorder="1" applyAlignment="1" applyProtection="1">
      <alignment horizontal="left" vertical="center"/>
    </xf>
    <xf numFmtId="0" fontId="30" fillId="2" borderId="8" xfId="0" applyFont="1" applyFill="1" applyBorder="1" applyAlignment="1" applyProtection="1">
      <alignment horizontal="left" vertical="center"/>
    </xf>
    <xf numFmtId="0" fontId="77" fillId="2" borderId="8" xfId="0" applyFont="1" applyFill="1" applyBorder="1" applyAlignment="1" applyProtection="1">
      <alignment horizontal="left" vertical="center"/>
    </xf>
    <xf numFmtId="14" fontId="78" fillId="0" borderId="0" xfId="0" applyNumberFormat="1" applyFont="1" applyFill="1" applyBorder="1" applyAlignment="1" applyProtection="1">
      <alignment horizontal="left" vertical="center"/>
      <protection locked="0"/>
    </xf>
    <xf numFmtId="14" fontId="78" fillId="0" borderId="0" xfId="0" applyNumberFormat="1" applyFont="1" applyFill="1" applyBorder="1" applyAlignment="1" applyProtection="1">
      <protection locked="0"/>
    </xf>
    <xf numFmtId="14" fontId="78" fillId="0" borderId="4" xfId="0" applyNumberFormat="1" applyFont="1" applyFill="1" applyBorder="1" applyAlignment="1" applyProtection="1">
      <protection locked="0"/>
    </xf>
    <xf numFmtId="0" fontId="78" fillId="0" borderId="0" xfId="0" applyFont="1" applyFill="1" applyBorder="1" applyAlignment="1" applyProtection="1">
      <protection locked="0"/>
    </xf>
    <xf numFmtId="0" fontId="78" fillId="0" borderId="4" xfId="0" applyFont="1" applyFill="1" applyBorder="1" applyAlignment="1" applyProtection="1">
      <protection locked="0"/>
    </xf>
    <xf numFmtId="0" fontId="78" fillId="0" borderId="0" xfId="0" applyFont="1" applyFill="1" applyBorder="1" applyAlignment="1" applyProtection="1">
      <alignment horizontal="left" vertical="distributed"/>
      <protection locked="0"/>
    </xf>
    <xf numFmtId="164" fontId="83" fillId="0" borderId="46" xfId="0" applyNumberFormat="1" applyFont="1" applyBorder="1" applyAlignment="1">
      <alignment horizontal="center" vertical="center"/>
    </xf>
    <xf numFmtId="164" fontId="83" fillId="0" borderId="14" xfId="0" applyNumberFormat="1" applyFont="1" applyBorder="1" applyAlignment="1">
      <alignment horizontal="center" vertical="center"/>
    </xf>
    <xf numFmtId="164" fontId="57" fillId="0" borderId="46" xfId="0" applyNumberFormat="1" applyFont="1" applyBorder="1" applyAlignment="1">
      <alignment horizontal="center" vertical="center"/>
    </xf>
    <xf numFmtId="164" fontId="57" fillId="0" borderId="14" xfId="0" applyNumberFormat="1" applyFont="1" applyBorder="1" applyAlignment="1">
      <alignment horizontal="center" vertical="center"/>
    </xf>
    <xf numFmtId="164" fontId="83" fillId="0" borderId="11" xfId="0" applyNumberFormat="1" applyFont="1" applyBorder="1" applyAlignment="1">
      <alignment horizontal="center" vertical="center"/>
    </xf>
    <xf numFmtId="164" fontId="83" fillId="0" borderId="66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0" fontId="83" fillId="0" borderId="3" xfId="0" applyFont="1" applyBorder="1" applyAlignment="1">
      <alignment horizontal="center" vertical="center"/>
    </xf>
    <xf numFmtId="0" fontId="83" fillId="0" borderId="2" xfId="0" applyFont="1" applyBorder="1" applyAlignment="1">
      <alignment horizontal="center" vertical="center"/>
    </xf>
    <xf numFmtId="20" fontId="83" fillId="0" borderId="9" xfId="0" applyNumberFormat="1" applyFont="1" applyBorder="1" applyAlignment="1">
      <alignment horizontal="center" vertical="center"/>
    </xf>
    <xf numFmtId="20" fontId="83" fillId="0" borderId="0" xfId="0" applyNumberFormat="1" applyFont="1" applyBorder="1" applyAlignment="1">
      <alignment horizontal="center" vertical="center"/>
    </xf>
    <xf numFmtId="20" fontId="83" fillId="0" borderId="1" xfId="0" applyNumberFormat="1" applyFont="1" applyBorder="1" applyAlignment="1">
      <alignment horizontal="center" vertical="center"/>
    </xf>
    <xf numFmtId="20" fontId="83" fillId="0" borderId="3" xfId="0" applyNumberFormat="1" applyFont="1" applyBorder="1" applyAlignment="1">
      <alignment horizontal="center" vertical="center"/>
    </xf>
    <xf numFmtId="164" fontId="83" fillId="0" borderId="8" xfId="0" applyNumberFormat="1" applyFont="1" applyBorder="1" applyAlignment="1">
      <alignment horizontal="center"/>
    </xf>
    <xf numFmtId="164" fontId="83" fillId="0" borderId="38" xfId="0" applyNumberFormat="1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84" fillId="0" borderId="3" xfId="0" applyFont="1" applyBorder="1" applyAlignment="1">
      <alignment horizontal="center" vertical="center"/>
    </xf>
    <xf numFmtId="164" fontId="83" fillId="0" borderId="10" xfId="0" applyNumberFormat="1" applyFont="1" applyBorder="1" applyAlignment="1">
      <alignment horizontal="center" vertical="center"/>
    </xf>
    <xf numFmtId="164" fontId="83" fillId="0" borderId="65" xfId="0" applyNumberFormat="1" applyFont="1" applyBorder="1" applyAlignment="1">
      <alignment horizontal="center" vertical="center"/>
    </xf>
    <xf numFmtId="164" fontId="57" fillId="0" borderId="65" xfId="0" applyNumberFormat="1" applyFont="1" applyBorder="1" applyAlignment="1">
      <alignment horizontal="center" vertical="center"/>
    </xf>
    <xf numFmtId="164" fontId="57" fillId="0" borderId="37" xfId="0" applyNumberFormat="1" applyFont="1" applyBorder="1" applyAlignment="1">
      <alignment horizontal="center" vertical="center"/>
    </xf>
    <xf numFmtId="164" fontId="57" fillId="0" borderId="66" xfId="0" applyNumberFormat="1" applyFont="1" applyBorder="1" applyAlignment="1">
      <alignment horizontal="center" vertical="center"/>
    </xf>
    <xf numFmtId="164" fontId="57" fillId="0" borderId="38" xfId="0" applyNumberFormat="1" applyFont="1" applyBorder="1" applyAlignment="1">
      <alignment horizontal="center" vertical="center"/>
    </xf>
    <xf numFmtId="164" fontId="83" fillId="0" borderId="12" xfId="0" applyNumberFormat="1" applyFont="1" applyBorder="1" applyAlignment="1">
      <alignment horizontal="center" vertical="center"/>
    </xf>
    <xf numFmtId="164" fontId="83" fillId="0" borderId="37" xfId="0" applyNumberFormat="1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05" fillId="0" borderId="7" xfId="0" applyFont="1" applyFill="1" applyBorder="1" applyAlignment="1">
      <alignment horizontal="center" vertical="center"/>
    </xf>
    <xf numFmtId="0" fontId="106" fillId="0" borderId="8" xfId="0" applyFont="1" applyBorder="1"/>
    <xf numFmtId="0" fontId="106" fillId="0" borderId="100" xfId="0" applyFont="1" applyBorder="1"/>
    <xf numFmtId="0" fontId="105" fillId="0" borderId="7" xfId="0" applyFont="1" applyBorder="1" applyAlignment="1">
      <alignment horizontal="center" vertical="center"/>
    </xf>
    <xf numFmtId="0" fontId="105" fillId="0" borderId="8" xfId="0" applyFont="1" applyBorder="1" applyAlignment="1">
      <alignment horizontal="center" vertical="center"/>
    </xf>
    <xf numFmtId="0" fontId="105" fillId="0" borderId="100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8" fillId="0" borderId="3" xfId="0" applyFont="1" applyBorder="1" applyAlignment="1">
      <alignment horizontal="center" vertical="center"/>
    </xf>
    <xf numFmtId="164" fontId="57" fillId="0" borderId="11" xfId="0" applyNumberFormat="1" applyFont="1" applyBorder="1" applyAlignment="1">
      <alignment horizontal="center" vertical="center"/>
    </xf>
    <xf numFmtId="164" fontId="57" fillId="0" borderId="10" xfId="0" applyNumberFormat="1" applyFont="1" applyBorder="1" applyAlignment="1">
      <alignment horizontal="center" vertical="center"/>
    </xf>
    <xf numFmtId="164" fontId="57" fillId="0" borderId="12" xfId="0" applyNumberFormat="1" applyFont="1" applyBorder="1" applyAlignment="1">
      <alignment horizontal="center" vertical="center"/>
    </xf>
    <xf numFmtId="0" fontId="6" fillId="6" borderId="6" xfId="0" applyFont="1" applyFill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86" fillId="6" borderId="0" xfId="0" applyFont="1" applyFill="1" applyAlignment="1" applyProtection="1">
      <alignment horizontal="center"/>
      <protection locked="0"/>
    </xf>
    <xf numFmtId="0" fontId="86" fillId="6" borderId="102" xfId="0" applyFont="1" applyFill="1" applyBorder="1" applyAlignment="1" applyProtection="1">
      <alignment horizontal="center"/>
      <protection locked="0"/>
    </xf>
    <xf numFmtId="0" fontId="86" fillId="6" borderId="0" xfId="0" applyFont="1" applyFill="1" applyBorder="1" applyAlignment="1" applyProtection="1">
      <alignment horizontal="center"/>
      <protection locked="0"/>
    </xf>
    <xf numFmtId="0" fontId="6" fillId="6" borderId="0" xfId="0" applyFont="1" applyFill="1" applyBorder="1" applyAlignment="1" applyProtection="1">
      <alignment horizontal="center"/>
      <protection locked="0"/>
    </xf>
    <xf numFmtId="0" fontId="78" fillId="0" borderId="0" xfId="0" applyFont="1" applyFill="1" applyBorder="1" applyAlignment="1" applyProtection="1">
      <alignment horizontal="left" vertical="top"/>
    </xf>
    <xf numFmtId="0" fontId="78" fillId="0" borderId="102" xfId="0" applyFont="1" applyFill="1" applyBorder="1" applyAlignment="1" applyProtection="1">
      <alignment horizontal="left" vertical="top"/>
    </xf>
    <xf numFmtId="0" fontId="78" fillId="0" borderId="0" xfId="0" applyFont="1" applyFill="1" applyBorder="1" applyAlignment="1" applyProtection="1">
      <alignment horizontal="left" vertical="center"/>
    </xf>
    <xf numFmtId="0" fontId="78" fillId="0" borderId="102" xfId="0" applyFont="1" applyFill="1" applyBorder="1" applyAlignment="1" applyProtection="1">
      <alignment horizontal="left" vertical="center"/>
    </xf>
    <xf numFmtId="0" fontId="30" fillId="2" borderId="6" xfId="0" applyFont="1" applyFill="1" applyBorder="1" applyAlignment="1" applyProtection="1">
      <alignment horizontal="left" vertical="distributed"/>
    </xf>
    <xf numFmtId="0" fontId="30" fillId="2" borderId="0" xfId="0" applyFont="1" applyFill="1" applyBorder="1" applyAlignment="1" applyProtection="1">
      <alignment horizontal="left" vertical="distributed"/>
    </xf>
    <xf numFmtId="0" fontId="78" fillId="0" borderId="0" xfId="0" applyFont="1" applyFill="1" applyBorder="1" applyAlignment="1" applyProtection="1">
      <alignment horizontal="left" vertical="distributed"/>
    </xf>
    <xf numFmtId="0" fontId="78" fillId="0" borderId="4" xfId="0" applyFont="1" applyFill="1" applyBorder="1" applyAlignment="1" applyProtection="1">
      <alignment horizontal="left" vertical="distributed"/>
    </xf>
    <xf numFmtId="0" fontId="78" fillId="0" borderId="3" xfId="0" applyFont="1" applyFill="1" applyBorder="1" applyAlignment="1" applyProtection="1">
      <alignment horizontal="left" vertical="distributed"/>
    </xf>
    <xf numFmtId="0" fontId="78" fillId="0" borderId="2" xfId="0" applyFont="1" applyFill="1" applyBorder="1" applyAlignment="1" applyProtection="1">
      <alignment horizontal="left" vertical="distributed"/>
    </xf>
    <xf numFmtId="164" fontId="57" fillId="0" borderId="8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30" fillId="2" borderId="6" xfId="0" applyFont="1" applyFill="1" applyBorder="1" applyAlignment="1" applyProtection="1">
      <alignment horizontal="left" vertical="top"/>
    </xf>
    <xf numFmtId="0" fontId="30" fillId="2" borderId="0" xfId="0" applyFont="1" applyFill="1" applyBorder="1" applyAlignment="1" applyProtection="1">
      <alignment horizontal="left" vertical="top"/>
    </xf>
    <xf numFmtId="0" fontId="78" fillId="0" borderId="4" xfId="0" applyFont="1" applyFill="1" applyBorder="1" applyAlignment="1" applyProtection="1">
      <alignment horizontal="left" vertical="center"/>
    </xf>
    <xf numFmtId="0" fontId="78" fillId="0" borderId="8" xfId="0" applyFont="1" applyFill="1" applyBorder="1" applyAlignment="1" applyProtection="1">
      <alignment horizontal="left" vertical="top"/>
    </xf>
    <xf numFmtId="0" fontId="78" fillId="0" borderId="101" xfId="0" applyFont="1" applyFill="1" applyBorder="1" applyAlignment="1" applyProtection="1">
      <alignment horizontal="left" vertical="top"/>
    </xf>
    <xf numFmtId="0" fontId="30" fillId="2" borderId="99" xfId="0" applyFont="1" applyFill="1" applyBorder="1" applyAlignment="1" applyProtection="1">
      <alignment horizontal="left" vertical="top"/>
    </xf>
    <xf numFmtId="0" fontId="30" fillId="2" borderId="8" xfId="0" applyFont="1" applyFill="1" applyBorder="1" applyAlignment="1" applyProtection="1">
      <alignment horizontal="left" vertical="top"/>
    </xf>
    <xf numFmtId="14" fontId="78" fillId="0" borderId="8" xfId="0" applyNumberFormat="1" applyFont="1" applyFill="1" applyBorder="1" applyAlignment="1" applyProtection="1">
      <alignment horizontal="left" vertical="center"/>
      <protection locked="0"/>
    </xf>
    <xf numFmtId="14" fontId="78" fillId="0" borderId="100" xfId="0" applyNumberFormat="1" applyFont="1" applyFill="1" applyBorder="1" applyAlignment="1" applyProtection="1">
      <protection locked="0"/>
    </xf>
    <xf numFmtId="0" fontId="40" fillId="0" borderId="97" xfId="0" applyFont="1" applyFill="1" applyBorder="1" applyAlignment="1" applyProtection="1">
      <alignment horizontal="center"/>
    </xf>
    <xf numFmtId="0" fontId="40" fillId="0" borderId="95" xfId="0" applyFont="1" applyFill="1" applyBorder="1" applyAlignment="1" applyProtection="1">
      <alignment horizontal="center"/>
    </xf>
    <xf numFmtId="0" fontId="40" fillId="0" borderId="96" xfId="0" applyFont="1" applyFill="1" applyBorder="1" applyAlignment="1" applyProtection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/>
    </xf>
    <xf numFmtId="0" fontId="105" fillId="0" borderId="8" xfId="0" applyFont="1" applyFill="1" applyBorder="1" applyAlignment="1">
      <alignment horizontal="center" vertical="center"/>
    </xf>
    <xf numFmtId="0" fontId="105" fillId="0" borderId="100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77" fillId="2" borderId="0" xfId="0" applyFont="1" applyFill="1" applyAlignment="1">
      <alignment horizontal="left" vertical="center"/>
    </xf>
    <xf numFmtId="0" fontId="78" fillId="0" borderId="0" xfId="0" applyFont="1" applyFill="1" applyBorder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79" fillId="0" borderId="102" xfId="0" applyFont="1" applyFill="1" applyBorder="1" applyAlignment="1">
      <alignment horizontal="left" vertical="center"/>
    </xf>
    <xf numFmtId="0" fontId="79" fillId="0" borderId="0" xfId="0" applyFont="1" applyFill="1" applyAlignment="1"/>
    <xf numFmtId="0" fontId="79" fillId="0" borderId="102" xfId="0" applyFont="1" applyFill="1" applyBorder="1" applyAlignment="1"/>
    <xf numFmtId="0" fontId="78" fillId="0" borderId="0" xfId="0" applyFont="1" applyFill="1" applyBorder="1" applyAlignment="1"/>
    <xf numFmtId="0" fontId="78" fillId="0" borderId="4" xfId="0" applyFont="1" applyFill="1" applyBorder="1" applyAlignment="1"/>
    <xf numFmtId="0" fontId="79" fillId="0" borderId="0" xfId="0" applyFont="1" applyFill="1" applyBorder="1" applyAlignment="1"/>
    <xf numFmtId="0" fontId="78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79" fillId="0" borderId="4" xfId="0" applyFont="1" applyFill="1" applyBorder="1" applyAlignment="1">
      <alignment horizontal="left" vertical="top" wrapText="1"/>
    </xf>
    <xf numFmtId="0" fontId="79" fillId="0" borderId="3" xfId="0" applyFont="1" applyFill="1" applyBorder="1" applyAlignment="1">
      <alignment horizontal="left" vertical="top" wrapText="1"/>
    </xf>
    <xf numFmtId="0" fontId="79" fillId="0" borderId="2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center"/>
    </xf>
    <xf numFmtId="0" fontId="79" fillId="0" borderId="3" xfId="0" applyFont="1" applyFill="1" applyBorder="1" applyAlignment="1"/>
    <xf numFmtId="0" fontId="79" fillId="0" borderId="103" xfId="0" applyFont="1" applyFill="1" applyBorder="1" applyAlignment="1"/>
    <xf numFmtId="0" fontId="78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 vertical="distributed"/>
    </xf>
    <xf numFmtId="0" fontId="77" fillId="2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left" vertical="top"/>
    </xf>
    <xf numFmtId="0" fontId="30" fillId="2" borderId="7" xfId="0" applyFont="1" applyFill="1" applyBorder="1" applyAlignment="1">
      <alignment horizontal="left" vertical="center"/>
    </xf>
    <xf numFmtId="0" fontId="30" fillId="2" borderId="8" xfId="0" applyFont="1" applyFill="1" applyBorder="1" applyAlignment="1">
      <alignment horizontal="left" vertical="center"/>
    </xf>
    <xf numFmtId="0" fontId="77" fillId="2" borderId="8" xfId="0" applyFont="1" applyFill="1" applyBorder="1" applyAlignment="1">
      <alignment horizontal="left" vertical="center"/>
    </xf>
    <xf numFmtId="0" fontId="78" fillId="0" borderId="8" xfId="0" applyFont="1" applyFill="1" applyBorder="1" applyAlignment="1">
      <alignment horizontal="left" vertical="center"/>
    </xf>
    <xf numFmtId="0" fontId="79" fillId="0" borderId="8" xfId="0" applyFont="1" applyFill="1" applyBorder="1" applyAlignment="1">
      <alignment horizontal="left" vertical="center"/>
    </xf>
    <xf numFmtId="0" fontId="79" fillId="0" borderId="101" xfId="0" applyFont="1" applyFill="1" applyBorder="1" applyAlignment="1">
      <alignment horizontal="left" vertical="center"/>
    </xf>
    <xf numFmtId="0" fontId="78" fillId="0" borderId="8" xfId="0" applyFont="1" applyFill="1" applyBorder="1" applyAlignment="1">
      <alignment horizontal="left" vertical="top"/>
    </xf>
    <xf numFmtId="0" fontId="79" fillId="0" borderId="8" xfId="0" applyFont="1" applyFill="1" applyBorder="1" applyAlignment="1">
      <alignment horizontal="left" vertical="top"/>
    </xf>
    <xf numFmtId="0" fontId="79" fillId="0" borderId="101" xfId="0" applyFont="1" applyFill="1" applyBorder="1" applyAlignment="1">
      <alignment horizontal="left" vertical="top"/>
    </xf>
    <xf numFmtId="0" fontId="79" fillId="0" borderId="0" xfId="0" applyFont="1" applyFill="1" applyAlignment="1">
      <alignment horizontal="left" vertical="top"/>
    </xf>
    <xf numFmtId="0" fontId="79" fillId="0" borderId="102" xfId="0" applyFont="1" applyFill="1" applyBorder="1" applyAlignment="1">
      <alignment horizontal="left" vertical="top"/>
    </xf>
    <xf numFmtId="0" fontId="92" fillId="0" borderId="0" xfId="0" applyFont="1" applyAlignment="1">
      <alignment horizontal="right"/>
    </xf>
    <xf numFmtId="0" fontId="10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/>
    </xf>
    <xf numFmtId="0" fontId="67" fillId="0" borderId="86" xfId="0" applyFont="1" applyFill="1" applyBorder="1" applyAlignment="1">
      <alignment horizontal="center" vertical="center"/>
    </xf>
    <xf numFmtId="0" fontId="67" fillId="0" borderId="109" xfId="0" applyFont="1" applyFill="1" applyBorder="1" applyAlignment="1">
      <alignment horizontal="center" vertical="center"/>
    </xf>
    <xf numFmtId="0" fontId="104" fillId="0" borderId="123" xfId="0" applyFont="1" applyFill="1" applyBorder="1" applyAlignment="1">
      <alignment horizontal="center" vertical="center"/>
    </xf>
    <xf numFmtId="0" fontId="104" fillId="0" borderId="124" xfId="0" applyFont="1" applyFill="1" applyBorder="1" applyAlignment="1">
      <alignment horizontal="center" vertical="center"/>
    </xf>
    <xf numFmtId="0" fontId="103" fillId="0" borderId="105" xfId="0" applyFont="1" applyBorder="1" applyAlignment="1">
      <alignment horizontal="center" vertical="center"/>
    </xf>
    <xf numFmtId="0" fontId="103" fillId="0" borderId="86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/>
    </xf>
    <xf numFmtId="0" fontId="110" fillId="0" borderId="124" xfId="0" applyFont="1" applyBorder="1" applyAlignment="1">
      <alignment horizontal="center"/>
    </xf>
    <xf numFmtId="0" fontId="110" fillId="0" borderId="125" xfId="0" applyFont="1" applyBorder="1" applyAlignment="1">
      <alignment horizontal="center"/>
    </xf>
    <xf numFmtId="0" fontId="92" fillId="0" borderId="0" xfId="0" applyFont="1" applyAlignment="1">
      <alignment horizontal="left"/>
    </xf>
    <xf numFmtId="0" fontId="110" fillId="0" borderId="110" xfId="0" applyFont="1" applyFill="1" applyBorder="1" applyAlignment="1">
      <alignment horizontal="center" vertical="center" textRotation="90"/>
    </xf>
    <xf numFmtId="0" fontId="110" fillId="0" borderId="111" xfId="0" applyFont="1" applyFill="1" applyBorder="1" applyAlignment="1">
      <alignment horizontal="center" vertical="center" textRotation="90"/>
    </xf>
    <xf numFmtId="0" fontId="67" fillId="0" borderId="112" xfId="0" applyFont="1" applyFill="1" applyBorder="1" applyAlignment="1">
      <alignment horizontal="center" vertical="center" textRotation="90"/>
    </xf>
    <xf numFmtId="0" fontId="67" fillId="0" borderId="90" xfId="0" applyFont="1" applyFill="1" applyBorder="1" applyAlignment="1">
      <alignment horizontal="center" vertical="center" textRotation="90"/>
    </xf>
    <xf numFmtId="0" fontId="110" fillId="0" borderId="113" xfId="0" applyFont="1" applyBorder="1" applyAlignment="1">
      <alignment horizontal="center" vertical="center" textRotation="90"/>
    </xf>
    <xf numFmtId="0" fontId="110" fillId="0" borderId="94" xfId="0" applyFont="1" applyBorder="1" applyAlignment="1">
      <alignment horizontal="center" vertical="center" textRotation="90"/>
    </xf>
    <xf numFmtId="0" fontId="104" fillId="0" borderId="94" xfId="0" applyFont="1" applyFill="1" applyBorder="1" applyAlignment="1">
      <alignment horizontal="center" vertical="center" textRotation="90"/>
    </xf>
    <xf numFmtId="0" fontId="104" fillId="0" borderId="114" xfId="0" applyFont="1" applyFill="1" applyBorder="1" applyAlignment="1">
      <alignment horizontal="center" vertical="center" textRotation="90"/>
    </xf>
    <xf numFmtId="0" fontId="109" fillId="0" borderId="0" xfId="0" applyFont="1" applyFill="1" applyBorder="1" applyAlignment="1">
      <alignment horizontal="center" vertical="center"/>
    </xf>
    <xf numFmtId="0" fontId="114" fillId="0" borderId="115" xfId="0" applyFont="1" applyBorder="1" applyAlignment="1">
      <alignment horizontal="center" vertical="center"/>
    </xf>
    <xf numFmtId="0" fontId="114" fillId="0" borderId="116" xfId="0" applyFont="1" applyBorder="1" applyAlignment="1">
      <alignment horizontal="center" vertical="center"/>
    </xf>
    <xf numFmtId="0" fontId="114" fillId="0" borderId="117" xfId="0" applyFont="1" applyBorder="1" applyAlignment="1">
      <alignment horizontal="center" vertical="center"/>
    </xf>
    <xf numFmtId="0" fontId="114" fillId="0" borderId="11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119" xfId="0" applyFont="1" applyBorder="1" applyAlignment="1">
      <alignment horizontal="center" vertical="center"/>
    </xf>
    <xf numFmtId="0" fontId="114" fillId="0" borderId="120" xfId="0" applyFont="1" applyBorder="1" applyAlignment="1">
      <alignment horizontal="center" vertical="center"/>
    </xf>
    <xf numFmtId="0" fontId="114" fillId="0" borderId="121" xfId="0" applyFont="1" applyBorder="1" applyAlignment="1">
      <alignment horizontal="center" vertical="center"/>
    </xf>
    <xf numFmtId="0" fontId="114" fillId="0" borderId="122" xfId="0" applyFont="1" applyBorder="1" applyAlignment="1">
      <alignment horizontal="center" vertical="center"/>
    </xf>
    <xf numFmtId="0" fontId="103" fillId="0" borderId="90" xfId="0" applyFont="1" applyBorder="1" applyAlignment="1">
      <alignment horizontal="center" vertical="center" textRotation="90"/>
    </xf>
    <xf numFmtId="0" fontId="103" fillId="0" borderId="104" xfId="0" applyFont="1" applyBorder="1" applyAlignment="1">
      <alignment horizontal="center" vertical="center" textRotation="90"/>
    </xf>
    <xf numFmtId="0" fontId="96" fillId="0" borderId="0" xfId="0" applyFont="1" applyAlignment="1">
      <alignment horizontal="center"/>
    </xf>
    <xf numFmtId="0" fontId="115" fillId="0" borderId="0" xfId="0" applyFont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4" fillId="0" borderId="0" xfId="0" applyFont="1" applyBorder="1" applyAlignment="1">
      <alignment horizontal="center" vertical="center" textRotation="90"/>
    </xf>
    <xf numFmtId="0" fontId="104" fillId="0" borderId="31" xfId="0" applyFont="1" applyBorder="1" applyAlignment="1">
      <alignment horizontal="center" vertical="center" textRotation="90"/>
    </xf>
    <xf numFmtId="0" fontId="75" fillId="0" borderId="7" xfId="0" applyFont="1" applyBorder="1" applyAlignment="1">
      <alignment horizontal="center" vertical="center"/>
    </xf>
    <xf numFmtId="0" fontId="76" fillId="0" borderId="8" xfId="0" applyFont="1" applyBorder="1"/>
    <xf numFmtId="0" fontId="76" fillId="0" borderId="100" xfId="0" applyFont="1" applyBorder="1"/>
    <xf numFmtId="0" fontId="30" fillId="2" borderId="99" xfId="0" applyFont="1" applyFill="1" applyBorder="1" applyAlignment="1">
      <alignment horizontal="left" vertical="top"/>
    </xf>
    <xf numFmtId="0" fontId="30" fillId="2" borderId="8" xfId="0" applyFont="1" applyFill="1" applyBorder="1" applyAlignment="1">
      <alignment horizontal="left" vertical="top"/>
    </xf>
    <xf numFmtId="14" fontId="78" fillId="0" borderId="8" xfId="0" applyNumberFormat="1" applyFont="1" applyFill="1" applyBorder="1" applyAlignment="1">
      <alignment horizontal="left"/>
    </xf>
    <xf numFmtId="14" fontId="78" fillId="0" borderId="100" xfId="0" applyNumberFormat="1" applyFont="1" applyFill="1" applyBorder="1" applyAlignment="1">
      <alignment horizontal="left"/>
    </xf>
    <xf numFmtId="0" fontId="119" fillId="0" borderId="1" xfId="0" applyFont="1" applyBorder="1" applyAlignment="1">
      <alignment horizontal="right" vertical="center"/>
    </xf>
    <xf numFmtId="0" fontId="119" fillId="0" borderId="3" xfId="0" applyFont="1" applyBorder="1" applyAlignment="1">
      <alignment horizontal="right" vertical="center"/>
    </xf>
    <xf numFmtId="0" fontId="116" fillId="0" borderId="3" xfId="0" applyFont="1" applyBorder="1" applyAlignment="1">
      <alignment horizontal="center" vertical="center"/>
    </xf>
    <xf numFmtId="0" fontId="116" fillId="0" borderId="2" xfId="0" applyFont="1" applyBorder="1" applyAlignment="1">
      <alignment horizontal="center" vertical="center"/>
    </xf>
    <xf numFmtId="0" fontId="78" fillId="0" borderId="0" xfId="0" applyFont="1" applyFill="1" applyAlignment="1">
      <alignment horizontal="left"/>
    </xf>
    <xf numFmtId="0" fontId="78" fillId="0" borderId="4" xfId="0" applyFont="1" applyFill="1" applyBorder="1" applyAlignment="1">
      <alignment horizontal="left"/>
    </xf>
    <xf numFmtId="0" fontId="78" fillId="0" borderId="101" xfId="0" applyFont="1" applyFill="1" applyBorder="1" applyAlignment="1">
      <alignment horizontal="left" vertical="center"/>
    </xf>
    <xf numFmtId="0" fontId="78" fillId="0" borderId="102" xfId="0" applyFont="1" applyFill="1" applyBorder="1" applyAlignment="1">
      <alignment horizontal="left" vertical="center"/>
    </xf>
    <xf numFmtId="0" fontId="78" fillId="0" borderId="102" xfId="0" applyFont="1" applyFill="1" applyBorder="1" applyAlignment="1">
      <alignment horizontal="left" vertical="top"/>
    </xf>
    <xf numFmtId="0" fontId="78" fillId="0" borderId="3" xfId="0" applyFont="1" applyFill="1" applyBorder="1" applyAlignment="1">
      <alignment horizontal="left" vertical="top"/>
    </xf>
    <xf numFmtId="0" fontId="78" fillId="0" borderId="103" xfId="0" applyFont="1" applyFill="1" applyBorder="1" applyAlignment="1">
      <alignment horizontal="left" vertical="top"/>
    </xf>
    <xf numFmtId="0" fontId="78" fillId="0" borderId="103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117" fillId="6" borderId="0" xfId="0" applyFont="1" applyFill="1" applyAlignment="1" applyProtection="1">
      <alignment horizontal="left"/>
      <protection locked="0"/>
    </xf>
    <xf numFmtId="0" fontId="118" fillId="6" borderId="0" xfId="0" applyFont="1" applyFill="1" applyAlignment="1" applyProtection="1">
      <alignment horizontal="left"/>
      <protection locked="0"/>
    </xf>
    <xf numFmtId="0" fontId="118" fillId="6" borderId="102" xfId="0" applyFont="1" applyFill="1" applyBorder="1" applyAlignment="1" applyProtection="1">
      <alignment horizontal="left"/>
      <protection locked="0"/>
    </xf>
    <xf numFmtId="0" fontId="117" fillId="6" borderId="102" xfId="0" applyFont="1" applyFill="1" applyBorder="1" applyAlignment="1" applyProtection="1">
      <alignment horizontal="left"/>
      <protection locked="0"/>
    </xf>
    <xf numFmtId="0" fontId="78" fillId="0" borderId="4" xfId="0" applyFont="1" applyFill="1" applyBorder="1" applyAlignment="1">
      <alignment horizontal="left" vertical="top" wrapText="1"/>
    </xf>
    <xf numFmtId="0" fontId="78" fillId="0" borderId="3" xfId="0" applyFont="1" applyFill="1" applyBorder="1" applyAlignment="1">
      <alignment horizontal="left" vertical="top" wrapText="1"/>
    </xf>
    <xf numFmtId="0" fontId="78" fillId="0" borderId="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09" fillId="0" borderId="0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7" fillId="6" borderId="3" xfId="0" applyFont="1" applyFill="1" applyBorder="1" applyAlignment="1" applyProtection="1">
      <alignment horizontal="left"/>
      <protection locked="0"/>
    </xf>
    <xf numFmtId="0" fontId="117" fillId="6" borderId="103" xfId="0" applyFont="1" applyFill="1" applyBorder="1" applyAlignment="1" applyProtection="1">
      <alignment horizontal="left"/>
      <protection locked="0"/>
    </xf>
    <xf numFmtId="0" fontId="117" fillId="6" borderId="0" xfId="0" applyFont="1" applyFill="1" applyBorder="1" applyAlignment="1" applyProtection="1">
      <alignment horizontal="left"/>
      <protection locked="0"/>
    </xf>
    <xf numFmtId="0" fontId="92" fillId="0" borderId="8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10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92" fillId="0" borderId="0" xfId="0" applyFont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center"/>
    </xf>
    <xf numFmtId="0" fontId="97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9" fillId="0" borderId="0" xfId="0" applyFont="1" applyBorder="1" applyAlignment="1">
      <alignment horizontal="center"/>
    </xf>
    <xf numFmtId="0" fontId="110" fillId="0" borderId="106" xfId="0" applyFont="1" applyFill="1" applyBorder="1" applyAlignment="1">
      <alignment horizontal="center"/>
    </xf>
    <xf numFmtId="0" fontId="110" fillId="0" borderId="107" xfId="0" applyFont="1" applyFill="1" applyBorder="1" applyAlignment="1">
      <alignment horizontal="center"/>
    </xf>
    <xf numFmtId="0" fontId="104" fillId="0" borderId="108" xfId="0" applyFont="1" applyFill="1" applyBorder="1" applyAlignment="1">
      <alignment horizontal="center" vertical="center"/>
    </xf>
    <xf numFmtId="0" fontId="104" fillId="0" borderId="106" xfId="0" applyFont="1" applyFill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11" fillId="0" borderId="0" xfId="0" applyFont="1" applyBorder="1" applyAlignment="1">
      <alignment horizontal="center"/>
    </xf>
    <xf numFmtId="0" fontId="111" fillId="0" borderId="0" xfId="0" applyFont="1" applyBorder="1" applyAlignment="1">
      <alignment horizontal="center" vertical="center"/>
    </xf>
    <xf numFmtId="0" fontId="78" fillId="6" borderId="0" xfId="0" applyFont="1" applyFill="1" applyBorder="1" applyAlignment="1" applyProtection="1">
      <alignment horizontal="left"/>
      <protection locked="0"/>
    </xf>
    <xf numFmtId="0" fontId="78" fillId="6" borderId="102" xfId="0" applyFont="1" applyFill="1" applyBorder="1" applyAlignment="1" applyProtection="1">
      <alignment horizontal="left"/>
      <protection locked="0"/>
    </xf>
    <xf numFmtId="0" fontId="78" fillId="6" borderId="3" xfId="0" applyFont="1" applyFill="1" applyBorder="1" applyAlignment="1" applyProtection="1">
      <alignment horizontal="left"/>
      <protection locked="0"/>
    </xf>
    <xf numFmtId="0" fontId="78" fillId="6" borderId="103" xfId="0" applyFont="1" applyFill="1" applyBorder="1" applyAlignment="1" applyProtection="1">
      <alignment horizontal="left"/>
      <protection locked="0"/>
    </xf>
    <xf numFmtId="0" fontId="78" fillId="6" borderId="0" xfId="0" applyFont="1" applyFill="1" applyAlignment="1" applyProtection="1">
      <alignment horizontal="left"/>
      <protection locked="0"/>
    </xf>
    <xf numFmtId="0" fontId="34" fillId="0" borderId="3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 textRotation="90"/>
    </xf>
    <xf numFmtId="0" fontId="66" fillId="0" borderId="68" xfId="0" applyFont="1" applyBorder="1" applyAlignment="1">
      <alignment horizontal="center" vertical="center" textRotation="90"/>
    </xf>
    <xf numFmtId="0" fontId="66" fillId="0" borderId="21" xfId="0" applyFont="1" applyBorder="1" applyAlignment="1">
      <alignment horizontal="center" vertical="center" textRotation="90"/>
    </xf>
    <xf numFmtId="0" fontId="20" fillId="0" borderId="65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 textRotation="90"/>
    </xf>
    <xf numFmtId="0" fontId="65" fillId="0" borderId="68" xfId="0" applyFont="1" applyBorder="1" applyAlignment="1">
      <alignment horizontal="center" vertical="center" textRotation="90"/>
    </xf>
    <xf numFmtId="0" fontId="65" fillId="0" borderId="21" xfId="0" applyFont="1" applyBorder="1" applyAlignment="1">
      <alignment horizontal="center" vertical="center" textRotation="90"/>
    </xf>
    <xf numFmtId="0" fontId="18" fillId="0" borderId="7" xfId="0" applyFont="1" applyFill="1" applyBorder="1" applyAlignment="1">
      <alignment horizontal="center" vertical="center"/>
    </xf>
    <xf numFmtId="0" fontId="19" fillId="0" borderId="8" xfId="0" applyFont="1" applyBorder="1"/>
    <xf numFmtId="0" fontId="19" fillId="0" borderId="100" xfId="0" applyFont="1" applyBorder="1"/>
    <xf numFmtId="0" fontId="21" fillId="0" borderId="66" xfId="0" applyFont="1" applyBorder="1"/>
    <xf numFmtId="0" fontId="21" fillId="0" borderId="65" xfId="0" applyFont="1" applyBorder="1"/>
    <xf numFmtId="0" fontId="5" fillId="0" borderId="21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46" xfId="0" applyFont="1" applyBorder="1"/>
    <xf numFmtId="164" fontId="0" fillId="0" borderId="0" xfId="0" applyNumberFormat="1" applyAlignment="1">
      <alignment horizontal="center"/>
    </xf>
    <xf numFmtId="20" fontId="14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7" borderId="0" xfId="0" applyFont="1" applyFill="1" applyBorder="1" applyAlignment="1">
      <alignment horizontal="left" vertical="top"/>
    </xf>
    <xf numFmtId="0" fontId="0" fillId="0" borderId="0" xfId="0" applyBorder="1" applyAlignment="1"/>
    <xf numFmtId="0" fontId="0" fillId="0" borderId="102" xfId="0" applyBorder="1" applyAlignment="1"/>
    <xf numFmtId="0" fontId="0" fillId="0" borderId="3" xfId="0" applyBorder="1" applyAlignment="1"/>
    <xf numFmtId="0" fontId="0" fillId="0" borderId="103" xfId="0" applyBorder="1" applyAlignment="1"/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4" xfId="0" applyBorder="1" applyAlignment="1">
      <alignment horizontal="left" vertical="distributed"/>
    </xf>
    <xf numFmtId="0" fontId="0" fillId="0" borderId="3" xfId="0" applyBorder="1" applyAlignment="1">
      <alignment horizontal="left" vertical="distributed"/>
    </xf>
    <xf numFmtId="0" fontId="0" fillId="0" borderId="2" xfId="0" applyBorder="1" applyAlignment="1">
      <alignment horizontal="left" vertical="distributed"/>
    </xf>
    <xf numFmtId="0" fontId="3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7" borderId="0" xfId="0" applyFont="1" applyFill="1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0" xfId="0" applyAlignment="1"/>
    <xf numFmtId="0" fontId="3" fillId="0" borderId="0" xfId="0" applyFont="1" applyBorder="1" applyAlignment="1"/>
    <xf numFmtId="0" fontId="3" fillId="0" borderId="4" xfId="0" applyFont="1" applyBorder="1" applyAlignment="1"/>
    <xf numFmtId="0" fontId="3" fillId="2" borderId="0" xfId="0" applyFont="1" applyFill="1" applyBorder="1" applyAlignment="1">
      <alignment horizontal="left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0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7" borderId="8" xfId="0" applyFont="1" applyFill="1" applyBorder="1" applyAlignment="1">
      <alignment horizontal="left" vertical="center"/>
    </xf>
    <xf numFmtId="0" fontId="0" fillId="0" borderId="101" xfId="0" applyBorder="1" applyAlignment="1">
      <alignment horizontal="left" vertical="center"/>
    </xf>
    <xf numFmtId="0" fontId="3" fillId="2" borderId="8" xfId="0" applyFont="1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2" xfId="0" applyBorder="1" applyAlignment="1">
      <alignment horizontal="left" vertical="top"/>
    </xf>
    <xf numFmtId="14" fontId="3" fillId="2" borderId="0" xfId="0" applyNumberFormat="1" applyFont="1" applyFill="1" applyBorder="1" applyAlignment="1">
      <alignment horizontal="left" vertical="center"/>
    </xf>
  </cellXfs>
  <cellStyles count="1">
    <cellStyle name="Standaard" xfId="0" builtinId="0"/>
  </cellStyles>
  <dxfs count="70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ont>
        <condense val="0"/>
        <extend val="0"/>
        <color indexed="46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48"/>
        </patternFill>
      </fill>
    </dxf>
    <dxf>
      <font>
        <b/>
        <i val="0"/>
        <condense val="0"/>
        <extend val="0"/>
        <color indexed="33"/>
      </font>
      <fill>
        <patternFill patternType="none">
          <bgColor indexed="65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ill>
        <patternFill>
          <bgColor indexed="48"/>
        </patternFill>
      </fill>
    </dxf>
    <dxf>
      <font>
        <condense val="0"/>
        <extend val="0"/>
        <color indexed="48"/>
      </font>
      <fill>
        <patternFill>
          <bgColor indexed="48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/>
        <strike val="0"/>
        <condense val="0"/>
        <extend val="0"/>
        <u val="none"/>
      </font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</dxf>
    <dxf>
      <font>
        <condense val="0"/>
        <extend val="0"/>
        <color indexed="52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S$5" lockText="1"/>
</file>

<file path=xl/ctrlProps/ctrlProp10.xml><?xml version="1.0" encoding="utf-8"?>
<formControlPr xmlns="http://schemas.microsoft.com/office/spreadsheetml/2009/9/main" objectType="CheckBox" checked="Checked" fmlaLink="$BD$5" lockText="1"/>
</file>

<file path=xl/ctrlProps/ctrlProp11.xml><?xml version="1.0" encoding="utf-8"?>
<formControlPr xmlns="http://schemas.microsoft.com/office/spreadsheetml/2009/9/main" objectType="CheckBox" checked="Checked" fmlaLink="$BD$6" lockText="1"/>
</file>

<file path=xl/ctrlProps/ctrlProp12.xml><?xml version="1.0" encoding="utf-8"?>
<formControlPr xmlns="http://schemas.microsoft.com/office/spreadsheetml/2009/9/main" objectType="CheckBox" checked="Checked" fmlaLink="$BD$8" lockText="1"/>
</file>

<file path=xl/ctrlProps/ctrlProp2.xml><?xml version="1.0" encoding="utf-8"?>
<formControlPr xmlns="http://schemas.microsoft.com/office/spreadsheetml/2009/9/main" objectType="CheckBox" fmlaLink="$S$6" lockText="1"/>
</file>

<file path=xl/ctrlProps/ctrlProp3.xml><?xml version="1.0" encoding="utf-8"?>
<formControlPr xmlns="http://schemas.microsoft.com/office/spreadsheetml/2009/9/main" objectType="CheckBox" fmlaLink="$S$7" lockText="1"/>
</file>

<file path=xl/ctrlProps/ctrlProp4.xml><?xml version="1.0" encoding="utf-8"?>
<formControlPr xmlns="http://schemas.microsoft.com/office/spreadsheetml/2009/9/main" objectType="CheckBox" fmlaLink="$S$8" lockText="1"/>
</file>

<file path=xl/ctrlProps/ctrlProp5.xml><?xml version="1.0" encoding="utf-8"?>
<formControlPr xmlns="http://schemas.microsoft.com/office/spreadsheetml/2009/9/main" objectType="CheckBox" checked="Checked" fmlaLink="$BD$4"/>
</file>

<file path=xl/ctrlProps/ctrlProp6.xml><?xml version="1.0" encoding="utf-8"?>
<formControlPr xmlns="http://schemas.microsoft.com/office/spreadsheetml/2009/9/main" objectType="CheckBox" checked="Checked" fmlaLink="$BD$5"/>
</file>

<file path=xl/ctrlProps/ctrlProp7.xml><?xml version="1.0" encoding="utf-8"?>
<formControlPr xmlns="http://schemas.microsoft.com/office/spreadsheetml/2009/9/main" objectType="CheckBox" checked="Checked" fmlaLink="$BD$6"/>
</file>

<file path=xl/ctrlProps/ctrlProp8.xml><?xml version="1.0" encoding="utf-8"?>
<formControlPr xmlns="http://schemas.microsoft.com/office/spreadsheetml/2009/9/main" objectType="CheckBox" checked="Checked" fmlaLink="$BD$8"/>
</file>

<file path=xl/ctrlProps/ctrlProp9.xml><?xml version="1.0" encoding="utf-8"?>
<formControlPr xmlns="http://schemas.microsoft.com/office/spreadsheetml/2009/9/main" objectType="CheckBox" checked="Checked" fmlaLink="$BD$4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1124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3</xdr:col>
      <xdr:colOff>314325</xdr:colOff>
      <xdr:row>0</xdr:row>
      <xdr:rowOff>0</xdr:rowOff>
    </xdr:to>
    <xdr:pic>
      <xdr:nvPicPr>
        <xdr:cNvPr id="2339" name="Picture 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1552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2340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2341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2342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2343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790575</xdr:colOff>
          <xdr:row>4</xdr:row>
          <xdr:rowOff>28575</xdr:rowOff>
        </xdr:from>
        <xdr:to>
          <xdr:col>11</xdr:col>
          <xdr:colOff>295275</xdr:colOff>
          <xdr:row>4</xdr:row>
          <xdr:rowOff>266700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47625</xdr:rowOff>
        </xdr:from>
        <xdr:to>
          <xdr:col>11</xdr:col>
          <xdr:colOff>304800</xdr:colOff>
          <xdr:row>5</xdr:row>
          <xdr:rowOff>276225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38100</xdr:rowOff>
        </xdr:from>
        <xdr:to>
          <xdr:col>11</xdr:col>
          <xdr:colOff>304800</xdr:colOff>
          <xdr:row>6</xdr:row>
          <xdr:rowOff>257175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9525</xdr:rowOff>
        </xdr:from>
        <xdr:to>
          <xdr:col>11</xdr:col>
          <xdr:colOff>304800</xdr:colOff>
          <xdr:row>7</xdr:row>
          <xdr:rowOff>228600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0</xdr:col>
      <xdr:colOff>28575</xdr:colOff>
      <xdr:row>0</xdr:row>
      <xdr:rowOff>0</xdr:rowOff>
    </xdr:from>
    <xdr:to>
      <xdr:col>3</xdr:col>
      <xdr:colOff>133350</xdr:colOff>
      <xdr:row>1</xdr:row>
      <xdr:rowOff>600075</xdr:rowOff>
    </xdr:to>
    <xdr:pic>
      <xdr:nvPicPr>
        <xdr:cNvPr id="6387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5811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6388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6389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6390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6391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3</xdr:col>
      <xdr:colOff>142875</xdr:colOff>
      <xdr:row>1</xdr:row>
      <xdr:rowOff>657225</xdr:rowOff>
    </xdr:to>
    <xdr:pic>
      <xdr:nvPicPr>
        <xdr:cNvPr id="5311" name="Picture 11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5906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171450</xdr:colOff>
      <xdr:row>1</xdr:row>
      <xdr:rowOff>619125</xdr:rowOff>
    </xdr:to>
    <xdr:pic>
      <xdr:nvPicPr>
        <xdr:cNvPr id="5312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6192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5313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161925</xdr:colOff>
      <xdr:row>1</xdr:row>
      <xdr:rowOff>647700</xdr:rowOff>
    </xdr:to>
    <xdr:pic>
      <xdr:nvPicPr>
        <xdr:cNvPr id="5314" name="Picture 7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266950" y="28670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West</a:t>
          </a:r>
        </a:p>
      </xdr:txBody>
    </xdr:sp>
    <xdr:clientData/>
  </xdr:twoCellAnchor>
  <xdr:twoCellAnchor>
    <xdr:from>
      <xdr:col>7</xdr:col>
      <xdr:colOff>561975</xdr:colOff>
      <xdr:row>8</xdr:row>
      <xdr:rowOff>0</xdr:rowOff>
    </xdr:from>
    <xdr:to>
      <xdr:col>7</xdr:col>
      <xdr:colOff>561975</xdr:colOff>
      <xdr:row>8</xdr:row>
      <xdr:rowOff>0</xdr:rowOff>
    </xdr:to>
    <xdr:sp macro="" textlink="">
      <xdr:nvSpPr>
        <xdr:cNvPr id="16982" name="Line 2"/>
        <xdr:cNvSpPr>
          <a:spLocks noChangeShapeType="1"/>
        </xdr:cNvSpPr>
      </xdr:nvSpPr>
      <xdr:spPr bwMode="auto">
        <a:xfrm>
          <a:off x="50958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8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12291" name="Text Box 3"/>
        <xdr:cNvSpPr txBox="1">
          <a:spLocks noChangeArrowheads="1"/>
        </xdr:cNvSpPr>
      </xdr:nvSpPr>
      <xdr:spPr bwMode="auto">
        <a:xfrm>
          <a:off x="4743450" y="286702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Zuid</a:t>
          </a:r>
        </a:p>
      </xdr:txBody>
    </xdr:sp>
    <xdr:clientData/>
  </xdr:twoCellAnchor>
  <xdr:twoCellAnchor>
    <xdr:from>
      <xdr:col>50</xdr:col>
      <xdr:colOff>600075</xdr:colOff>
      <xdr:row>8</xdr:row>
      <xdr:rowOff>0</xdr:rowOff>
    </xdr:from>
    <xdr:to>
      <xdr:col>52</xdr:col>
      <xdr:colOff>0</xdr:colOff>
      <xdr:row>8</xdr:row>
      <xdr:rowOff>0</xdr:rowOff>
    </xdr:to>
    <xdr:sp macro="" textlink="">
      <xdr:nvSpPr>
        <xdr:cNvPr id="12292" name="Text Box 4"/>
        <xdr:cNvSpPr txBox="1">
          <a:spLocks noChangeArrowheads="1"/>
        </xdr:cNvSpPr>
      </xdr:nvSpPr>
      <xdr:spPr bwMode="auto">
        <a:xfrm>
          <a:off x="14249400" y="286702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Oost</a:t>
          </a:r>
        </a:p>
      </xdr:txBody>
    </xdr:sp>
    <xdr:clientData/>
  </xdr:twoCellAnchor>
  <xdr:twoCellAnchor>
    <xdr:from>
      <xdr:col>30</xdr:col>
      <xdr:colOff>152400</xdr:colOff>
      <xdr:row>8</xdr:row>
      <xdr:rowOff>0</xdr:rowOff>
    </xdr:from>
    <xdr:to>
      <xdr:col>30</xdr:col>
      <xdr:colOff>152400</xdr:colOff>
      <xdr:row>8</xdr:row>
      <xdr:rowOff>0</xdr:rowOff>
    </xdr:to>
    <xdr:sp macro="" textlink="">
      <xdr:nvSpPr>
        <xdr:cNvPr id="16985" name="Line 5"/>
        <xdr:cNvSpPr>
          <a:spLocks noChangeShapeType="1"/>
        </xdr:cNvSpPr>
      </xdr:nvSpPr>
      <xdr:spPr bwMode="auto">
        <a:xfrm flipV="1">
          <a:off x="99726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504825</xdr:colOff>
      <xdr:row>8</xdr:row>
      <xdr:rowOff>0</xdr:rowOff>
    </xdr:to>
    <xdr:sp macro="" textlink="">
      <xdr:nvSpPr>
        <xdr:cNvPr id="12294" name="Text Box 6"/>
        <xdr:cNvSpPr txBox="1">
          <a:spLocks noChangeArrowheads="1"/>
        </xdr:cNvSpPr>
      </xdr:nvSpPr>
      <xdr:spPr bwMode="auto">
        <a:xfrm>
          <a:off x="9658350" y="286702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Noord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12295" name="Text Box 7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0000"/>
              </a:solidFill>
              <a:latin typeface="Comic Sans MS"/>
            </a:rPr>
            <a:t>1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12296" name="Text Box 8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6600"/>
              </a:solidFill>
              <a:latin typeface="Comic Sans MS"/>
            </a:rPr>
            <a:t>2</a:t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7</xdr:col>
      <xdr:colOff>247650</xdr:colOff>
      <xdr:row>8</xdr:row>
      <xdr:rowOff>0</xdr:rowOff>
    </xdr:to>
    <xdr:sp macro="" textlink="">
      <xdr:nvSpPr>
        <xdr:cNvPr id="12297" name="Text Box 9"/>
        <xdr:cNvSpPr txBox="1">
          <a:spLocks noChangeArrowheads="1"/>
        </xdr:cNvSpPr>
      </xdr:nvSpPr>
      <xdr:spPr bwMode="auto">
        <a:xfrm>
          <a:off x="456247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339966"/>
              </a:solidFill>
              <a:latin typeface="Comic Sans MS"/>
            </a:rPr>
            <a:t>3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298" name="Text Box 10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9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299" name="Text Box 11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8</a:t>
          </a:r>
        </a:p>
      </xdr:txBody>
    </xdr:sp>
    <xdr:clientData/>
  </xdr:twoCellAnchor>
  <xdr:twoCellAnchor>
    <xdr:from>
      <xdr:col>30</xdr:col>
      <xdr:colOff>457200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300" name="Text Box 12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7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993" name="Line 13"/>
        <xdr:cNvSpPr>
          <a:spLocks noChangeShapeType="1"/>
        </xdr:cNvSpPr>
      </xdr:nvSpPr>
      <xdr:spPr bwMode="auto">
        <a:xfrm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304800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6994" name="Line 14"/>
        <xdr:cNvSpPr>
          <a:spLocks noChangeShapeType="1"/>
        </xdr:cNvSpPr>
      </xdr:nvSpPr>
      <xdr:spPr bwMode="auto">
        <a:xfrm>
          <a:off x="99822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995" name="Line 15"/>
        <xdr:cNvSpPr>
          <a:spLocks noChangeShapeType="1"/>
        </xdr:cNvSpPr>
      </xdr:nvSpPr>
      <xdr:spPr bwMode="auto">
        <a:xfrm flipV="1"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2304" name="Text Box 16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4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2305" name="Text Box 17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5</a:t>
          </a:r>
        </a:p>
      </xdr:txBody>
    </xdr:sp>
    <xdr:clientData/>
  </xdr:twoCellAnchor>
  <xdr:twoCellAnchor>
    <xdr:from>
      <xdr:col>30</xdr:col>
      <xdr:colOff>295275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2306" name="Text Box 18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6</a:t>
          </a:r>
        </a:p>
      </xdr:txBody>
    </xdr:sp>
    <xdr:clientData/>
  </xdr:twoCellAnchor>
  <xdr:twoCellAnchor>
    <xdr:from>
      <xdr:col>14</xdr:col>
      <xdr:colOff>238125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12307" name="Text Box 19"/>
        <xdr:cNvSpPr txBox="1">
          <a:spLocks noChangeArrowheads="1"/>
        </xdr:cNvSpPr>
      </xdr:nvSpPr>
      <xdr:spPr bwMode="auto">
        <a:xfrm>
          <a:off x="73914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10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9</xdr:col>
      <xdr:colOff>314325</xdr:colOff>
      <xdr:row>8</xdr:row>
      <xdr:rowOff>0</xdr:rowOff>
    </xdr:to>
    <xdr:sp macro="" textlink="">
      <xdr:nvSpPr>
        <xdr:cNvPr id="12308" name="Text Box 20"/>
        <xdr:cNvSpPr txBox="1">
          <a:spLocks noChangeArrowheads="1"/>
        </xdr:cNvSpPr>
      </xdr:nvSpPr>
      <xdr:spPr bwMode="auto">
        <a:xfrm>
          <a:off x="6038850" y="28670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11</a:t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390525</xdr:colOff>
      <xdr:row>8</xdr:row>
      <xdr:rowOff>0</xdr:rowOff>
    </xdr:to>
    <xdr:sp macro="" textlink="">
      <xdr:nvSpPr>
        <xdr:cNvPr id="12309" name="Text Box 21"/>
        <xdr:cNvSpPr txBox="1">
          <a:spLocks noChangeArrowheads="1"/>
        </xdr:cNvSpPr>
      </xdr:nvSpPr>
      <xdr:spPr bwMode="auto">
        <a:xfrm>
          <a:off x="4705350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12</a:t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17002" name="Line 22"/>
        <xdr:cNvSpPr>
          <a:spLocks noChangeShapeType="1"/>
        </xdr:cNvSpPr>
      </xdr:nvSpPr>
      <xdr:spPr bwMode="auto">
        <a:xfrm>
          <a:off x="73914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</xdr:row>
      <xdr:rowOff>0</xdr:rowOff>
    </xdr:from>
    <xdr:to>
      <xdr:col>7</xdr:col>
      <xdr:colOff>352425</xdr:colOff>
      <xdr:row>8</xdr:row>
      <xdr:rowOff>0</xdr:rowOff>
    </xdr:to>
    <xdr:sp macro="" textlink="">
      <xdr:nvSpPr>
        <xdr:cNvPr id="17003" name="Line 23"/>
        <xdr:cNvSpPr>
          <a:spLocks noChangeShapeType="1"/>
        </xdr:cNvSpPr>
      </xdr:nvSpPr>
      <xdr:spPr bwMode="auto">
        <a:xfrm>
          <a:off x="4886325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8</xdr:row>
      <xdr:rowOff>0</xdr:rowOff>
    </xdr:from>
    <xdr:to>
      <xdr:col>9</xdr:col>
      <xdr:colOff>304800</xdr:colOff>
      <xdr:row>8</xdr:row>
      <xdr:rowOff>0</xdr:rowOff>
    </xdr:to>
    <xdr:sp macro="" textlink="">
      <xdr:nvSpPr>
        <xdr:cNvPr id="17004" name="Line 24"/>
        <xdr:cNvSpPr>
          <a:spLocks noChangeShapeType="1"/>
        </xdr:cNvSpPr>
      </xdr:nvSpPr>
      <xdr:spPr bwMode="auto">
        <a:xfrm>
          <a:off x="61341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819150</xdr:colOff>
      <xdr:row>30</xdr:row>
      <xdr:rowOff>76200</xdr:rowOff>
    </xdr:from>
    <xdr:to>
      <xdr:col>7</xdr:col>
      <xdr:colOff>638175</xdr:colOff>
      <xdr:row>32</xdr:row>
      <xdr:rowOff>123825</xdr:rowOff>
    </xdr:to>
    <xdr:sp macro="" textlink="">
      <xdr:nvSpPr>
        <xdr:cNvPr id="17005" name="AutoShape 25"/>
        <xdr:cNvSpPr>
          <a:spLocks noChangeArrowheads="1"/>
        </xdr:cNvSpPr>
      </xdr:nvSpPr>
      <xdr:spPr bwMode="auto">
        <a:xfrm>
          <a:off x="4505325" y="7181850"/>
          <a:ext cx="666750" cy="371475"/>
        </a:xfrm>
        <a:prstGeom prst="leftArrow">
          <a:avLst>
            <a:gd name="adj1" fmla="val 50000"/>
            <a:gd name="adj2" fmla="val 4487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38100</xdr:colOff>
      <xdr:row>42</xdr:row>
      <xdr:rowOff>19050</xdr:rowOff>
    </xdr:from>
    <xdr:to>
      <xdr:col>52</xdr:col>
      <xdr:colOff>114300</xdr:colOff>
      <xdr:row>44</xdr:row>
      <xdr:rowOff>57150</xdr:rowOff>
    </xdr:to>
    <xdr:sp macro="" textlink="">
      <xdr:nvSpPr>
        <xdr:cNvPr id="17006" name="AutoShape 26"/>
        <xdr:cNvSpPr>
          <a:spLocks noChangeArrowheads="1"/>
        </xdr:cNvSpPr>
      </xdr:nvSpPr>
      <xdr:spPr bwMode="auto">
        <a:xfrm>
          <a:off x="14430375" y="9105900"/>
          <a:ext cx="723900" cy="371475"/>
        </a:xfrm>
        <a:prstGeom prst="rightArrow">
          <a:avLst>
            <a:gd name="adj1" fmla="val 50000"/>
            <a:gd name="adj2" fmla="val 487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28575</xdr:colOff>
      <xdr:row>55</xdr:row>
      <xdr:rowOff>228600</xdr:rowOff>
    </xdr:from>
    <xdr:to>
      <xdr:col>21</xdr:col>
      <xdr:colOff>114300</xdr:colOff>
      <xdr:row>59</xdr:row>
      <xdr:rowOff>85725</xdr:rowOff>
    </xdr:to>
    <xdr:sp macro="" textlink="">
      <xdr:nvSpPr>
        <xdr:cNvPr id="17007" name="AutoShape 27"/>
        <xdr:cNvSpPr>
          <a:spLocks noChangeArrowheads="1"/>
        </xdr:cNvSpPr>
      </xdr:nvSpPr>
      <xdr:spPr bwMode="auto">
        <a:xfrm>
          <a:off x="8067675" y="11639550"/>
          <a:ext cx="409575" cy="666750"/>
        </a:xfrm>
        <a:prstGeom prst="downArrow">
          <a:avLst>
            <a:gd name="adj1" fmla="val 50000"/>
            <a:gd name="adj2" fmla="val 406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4</xdr:row>
          <xdr:rowOff>66675</xdr:rowOff>
        </xdr:from>
        <xdr:to>
          <xdr:col>32</xdr:col>
          <xdr:colOff>57150</xdr:colOff>
          <xdr:row>5</xdr:row>
          <xdr:rowOff>0</xdr:rowOff>
        </xdr:to>
        <xdr:sp macro="" textlink="">
          <xdr:nvSpPr>
            <xdr:cNvPr id="12316" name="Check Box 28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</xdr:row>
          <xdr:rowOff>47625</xdr:rowOff>
        </xdr:from>
        <xdr:to>
          <xdr:col>32</xdr:col>
          <xdr:colOff>66675</xdr:colOff>
          <xdr:row>5</xdr:row>
          <xdr:rowOff>266700</xdr:rowOff>
        </xdr:to>
        <xdr:sp macro="" textlink="">
          <xdr:nvSpPr>
            <xdr:cNvPr id="12317" name="Check Box 29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</xdr:row>
          <xdr:rowOff>28575</xdr:rowOff>
        </xdr:from>
        <xdr:to>
          <xdr:col>32</xdr:col>
          <xdr:colOff>66675</xdr:colOff>
          <xdr:row>6</xdr:row>
          <xdr:rowOff>266700</xdr:rowOff>
        </xdr:to>
        <xdr:sp macro="" textlink="">
          <xdr:nvSpPr>
            <xdr:cNvPr id="12318" name="Check Box 30" hidden="1">
              <a:extLst>
                <a:ext uri="{63B3BB69-23CF-44E3-9099-C40C66FF867C}">
                  <a14:compatExt spid="_x0000_s12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</xdr:row>
          <xdr:rowOff>28575</xdr:rowOff>
        </xdr:from>
        <xdr:to>
          <xdr:col>32</xdr:col>
          <xdr:colOff>66675</xdr:colOff>
          <xdr:row>7</xdr:row>
          <xdr:rowOff>247650</xdr:rowOff>
        </xdr:to>
        <xdr:sp macro="" textlink="">
          <xdr:nvSpPr>
            <xdr:cNvPr id="12319" name="Check Box 31" hidden="1">
              <a:extLst>
                <a:ext uri="{63B3BB69-23CF-44E3-9099-C40C66FF867C}">
                  <a14:compatExt spid="_x0000_s12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36</xdr:col>
      <xdr:colOff>114300</xdr:colOff>
      <xdr:row>16</xdr:row>
      <xdr:rowOff>28575</xdr:rowOff>
    </xdr:from>
    <xdr:to>
      <xdr:col>39</xdr:col>
      <xdr:colOff>28575</xdr:colOff>
      <xdr:row>19</xdr:row>
      <xdr:rowOff>142875</xdr:rowOff>
    </xdr:to>
    <xdr:sp macro="" textlink="">
      <xdr:nvSpPr>
        <xdr:cNvPr id="17008" name="AutoShape 32"/>
        <xdr:cNvSpPr>
          <a:spLocks noChangeArrowheads="1"/>
        </xdr:cNvSpPr>
      </xdr:nvSpPr>
      <xdr:spPr bwMode="auto">
        <a:xfrm>
          <a:off x="10906125" y="4391025"/>
          <a:ext cx="400050" cy="695325"/>
        </a:xfrm>
        <a:prstGeom prst="upArrow">
          <a:avLst>
            <a:gd name="adj1" fmla="val 50000"/>
            <a:gd name="adj2" fmla="val 434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38</xdr:row>
      <xdr:rowOff>133350</xdr:rowOff>
    </xdr:from>
    <xdr:to>
      <xdr:col>7</xdr:col>
      <xdr:colOff>600075</xdr:colOff>
      <xdr:row>40</xdr:row>
      <xdr:rowOff>152400</xdr:rowOff>
    </xdr:to>
    <xdr:sp macro="" textlink="">
      <xdr:nvSpPr>
        <xdr:cNvPr id="17009" name="Rectangle 33"/>
        <xdr:cNvSpPr>
          <a:spLocks noChangeArrowheads="1"/>
        </xdr:cNvSpPr>
      </xdr:nvSpPr>
      <xdr:spPr bwMode="auto">
        <a:xfrm>
          <a:off x="4562475" y="85629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41</xdr:row>
      <xdr:rowOff>152400</xdr:rowOff>
    </xdr:from>
    <xdr:to>
      <xdr:col>7</xdr:col>
      <xdr:colOff>600075</xdr:colOff>
      <xdr:row>43</xdr:row>
      <xdr:rowOff>152400</xdr:rowOff>
    </xdr:to>
    <xdr:sp macro="" textlink="">
      <xdr:nvSpPr>
        <xdr:cNvPr id="17010" name="Rectangle 34"/>
        <xdr:cNvSpPr>
          <a:spLocks noChangeArrowheads="1"/>
        </xdr:cNvSpPr>
      </xdr:nvSpPr>
      <xdr:spPr bwMode="auto">
        <a:xfrm>
          <a:off x="4562475" y="906780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33</xdr:row>
      <xdr:rowOff>152400</xdr:rowOff>
    </xdr:from>
    <xdr:to>
      <xdr:col>51</xdr:col>
      <xdr:colOff>619125</xdr:colOff>
      <xdr:row>35</xdr:row>
      <xdr:rowOff>152400</xdr:rowOff>
    </xdr:to>
    <xdr:sp macro="" textlink="">
      <xdr:nvSpPr>
        <xdr:cNvPr id="17011" name="Rectangle 35"/>
        <xdr:cNvSpPr>
          <a:spLocks noChangeArrowheads="1"/>
        </xdr:cNvSpPr>
      </xdr:nvSpPr>
      <xdr:spPr bwMode="auto">
        <a:xfrm>
          <a:off x="14439900" y="77438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30</xdr:row>
      <xdr:rowOff>76200</xdr:rowOff>
    </xdr:from>
    <xdr:to>
      <xdr:col>51</xdr:col>
      <xdr:colOff>619125</xdr:colOff>
      <xdr:row>32</xdr:row>
      <xdr:rowOff>95250</xdr:rowOff>
    </xdr:to>
    <xdr:sp macro="" textlink="">
      <xdr:nvSpPr>
        <xdr:cNvPr id="17012" name="Rectangle 36"/>
        <xdr:cNvSpPr>
          <a:spLocks noChangeArrowheads="1"/>
        </xdr:cNvSpPr>
      </xdr:nvSpPr>
      <xdr:spPr bwMode="auto">
        <a:xfrm>
          <a:off x="14439900" y="718185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28575</xdr:colOff>
      <xdr:row>27</xdr:row>
      <xdr:rowOff>66675</xdr:rowOff>
    </xdr:from>
    <xdr:to>
      <xdr:col>51</xdr:col>
      <xdr:colOff>600075</xdr:colOff>
      <xdr:row>29</xdr:row>
      <xdr:rowOff>76200</xdr:rowOff>
    </xdr:to>
    <xdr:sp macro="" textlink="">
      <xdr:nvSpPr>
        <xdr:cNvPr id="17013" name="Rectangle 37"/>
        <xdr:cNvSpPr>
          <a:spLocks noChangeArrowheads="1"/>
        </xdr:cNvSpPr>
      </xdr:nvSpPr>
      <xdr:spPr bwMode="auto">
        <a:xfrm>
          <a:off x="14420850" y="66770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619125</xdr:colOff>
      <xdr:row>16</xdr:row>
      <xdr:rowOff>19050</xdr:rowOff>
    </xdr:from>
    <xdr:to>
      <xdr:col>8</xdr:col>
      <xdr:colOff>180975</xdr:colOff>
      <xdr:row>22</xdr:row>
      <xdr:rowOff>142875</xdr:rowOff>
    </xdr:to>
    <xdr:sp macro="" textlink="">
      <xdr:nvSpPr>
        <xdr:cNvPr id="17014" name="Tekening 249"/>
        <xdr:cNvSpPr>
          <a:spLocks/>
        </xdr:cNvSpPr>
      </xdr:nvSpPr>
      <xdr:spPr bwMode="auto">
        <a:xfrm>
          <a:off x="4305300" y="4381500"/>
          <a:ext cx="1057275" cy="1200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8356" y="0"/>
              </a:moveTo>
              <a:lnTo>
                <a:pt x="9906" y="6618"/>
              </a:lnTo>
              <a:lnTo>
                <a:pt x="16384" y="8165"/>
              </a:lnTo>
              <a:lnTo>
                <a:pt x="9812" y="10087"/>
              </a:lnTo>
              <a:lnTo>
                <a:pt x="8169" y="16384"/>
              </a:lnTo>
              <a:lnTo>
                <a:pt x="6525" y="9873"/>
              </a:lnTo>
              <a:lnTo>
                <a:pt x="0" y="8112"/>
              </a:lnTo>
              <a:lnTo>
                <a:pt x="6572" y="6351"/>
              </a:lnTo>
              <a:lnTo>
                <a:pt x="835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809625</xdr:colOff>
      <xdr:row>17</xdr:row>
      <xdr:rowOff>114300</xdr:rowOff>
    </xdr:from>
    <xdr:to>
      <xdr:col>7</xdr:col>
      <xdr:colOff>638175</xdr:colOff>
      <xdr:row>21</xdr:row>
      <xdr:rowOff>57150</xdr:rowOff>
    </xdr:to>
    <xdr:sp macro="" textlink="">
      <xdr:nvSpPr>
        <xdr:cNvPr id="17015" name="Tekening 250"/>
        <xdr:cNvSpPr>
          <a:spLocks/>
        </xdr:cNvSpPr>
      </xdr:nvSpPr>
      <xdr:spPr bwMode="auto">
        <a:xfrm>
          <a:off x="4495800" y="4638675"/>
          <a:ext cx="676275" cy="7715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552" y="0"/>
              </a:moveTo>
              <a:lnTo>
                <a:pt x="8468" y="2576"/>
              </a:lnTo>
              <a:lnTo>
                <a:pt x="16384" y="0"/>
              </a:lnTo>
              <a:lnTo>
                <a:pt x="14359" y="8140"/>
              </a:lnTo>
              <a:lnTo>
                <a:pt x="16108" y="16384"/>
              </a:lnTo>
              <a:lnTo>
                <a:pt x="8192" y="13705"/>
              </a:lnTo>
              <a:lnTo>
                <a:pt x="0" y="16281"/>
              </a:lnTo>
              <a:lnTo>
                <a:pt x="2669" y="7934"/>
              </a:lnTo>
              <a:lnTo>
                <a:pt x="552" y="0"/>
              </a:lnTo>
              <a:close/>
            </a:path>
          </a:pathLst>
        </a:custGeom>
        <a:noFill/>
        <a:ln w="17145" cap="flat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3300" mc:Ignorable="a14" a14:legacySpreadsheetColorIndex="60"/>
              </a:solidFill>
            </a14:hiddenFill>
          </a:ext>
        </a:extLst>
      </xdr:spPr>
    </xdr:sp>
    <xdr:clientData/>
  </xdr:twoCellAnchor>
  <xdr:twoCellAnchor>
    <xdr:from>
      <xdr:col>34</xdr:col>
      <xdr:colOff>142875</xdr:colOff>
      <xdr:row>59</xdr:row>
      <xdr:rowOff>219075</xdr:rowOff>
    </xdr:from>
    <xdr:to>
      <xdr:col>41</xdr:col>
      <xdr:colOff>47625</xdr:colOff>
      <xdr:row>62</xdr:row>
      <xdr:rowOff>38100</xdr:rowOff>
    </xdr:to>
    <xdr:sp macro="" textlink="">
      <xdr:nvSpPr>
        <xdr:cNvPr id="17016" name="Rectangle 40"/>
        <xdr:cNvSpPr>
          <a:spLocks noChangeArrowheads="1"/>
        </xdr:cNvSpPr>
      </xdr:nvSpPr>
      <xdr:spPr bwMode="auto">
        <a:xfrm>
          <a:off x="10610850" y="1243965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63</xdr:row>
      <xdr:rowOff>257175</xdr:rowOff>
    </xdr:from>
    <xdr:to>
      <xdr:col>31</xdr:col>
      <xdr:colOff>19050</xdr:colOff>
      <xdr:row>65</xdr:row>
      <xdr:rowOff>76200</xdr:rowOff>
    </xdr:to>
    <xdr:sp macro="" textlink="">
      <xdr:nvSpPr>
        <xdr:cNvPr id="12329" name="Text Box 41"/>
        <xdr:cNvSpPr txBox="1">
          <a:spLocks noChangeArrowheads="1"/>
        </xdr:cNvSpPr>
      </xdr:nvSpPr>
      <xdr:spPr bwMode="auto">
        <a:xfrm>
          <a:off x="9324975" y="13277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2</a:t>
          </a:r>
        </a:p>
      </xdr:txBody>
    </xdr:sp>
    <xdr:clientData/>
  </xdr:twoCellAnchor>
  <xdr:twoCellAnchor>
    <xdr:from>
      <xdr:col>1</xdr:col>
      <xdr:colOff>9525</xdr:colOff>
      <xdr:row>0</xdr:row>
      <xdr:rowOff>47625</xdr:rowOff>
    </xdr:from>
    <xdr:to>
      <xdr:col>5</xdr:col>
      <xdr:colOff>9525</xdr:colOff>
      <xdr:row>1</xdr:row>
      <xdr:rowOff>638175</xdr:rowOff>
    </xdr:to>
    <xdr:pic>
      <xdr:nvPicPr>
        <xdr:cNvPr id="17018" name="Picture 42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47625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36</xdr:row>
      <xdr:rowOff>28575</xdr:rowOff>
    </xdr:from>
    <xdr:to>
      <xdr:col>3</xdr:col>
      <xdr:colOff>419100</xdr:colOff>
      <xdr:row>37</xdr:row>
      <xdr:rowOff>142875</xdr:rowOff>
    </xdr:to>
    <xdr:sp macro="" textlink="">
      <xdr:nvSpPr>
        <xdr:cNvPr id="12331" name="Text Box 43"/>
        <xdr:cNvSpPr txBox="1">
          <a:spLocks noChangeArrowheads="1"/>
        </xdr:cNvSpPr>
      </xdr:nvSpPr>
      <xdr:spPr bwMode="auto">
        <a:xfrm>
          <a:off x="23526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1</a:t>
          </a:r>
        </a:p>
      </xdr:txBody>
    </xdr:sp>
    <xdr:clientData/>
  </xdr:twoCellAnchor>
  <xdr:twoCellAnchor>
    <xdr:from>
      <xdr:col>54</xdr:col>
      <xdr:colOff>28575</xdr:colOff>
      <xdr:row>36</xdr:row>
      <xdr:rowOff>28575</xdr:rowOff>
    </xdr:from>
    <xdr:to>
      <xdr:col>54</xdr:col>
      <xdr:colOff>704850</xdr:colOff>
      <xdr:row>37</xdr:row>
      <xdr:rowOff>142875</xdr:rowOff>
    </xdr:to>
    <xdr:sp macro="" textlink="">
      <xdr:nvSpPr>
        <xdr:cNvPr id="12332" name="Text Box 44"/>
        <xdr:cNvSpPr txBox="1">
          <a:spLocks noChangeArrowheads="1"/>
        </xdr:cNvSpPr>
      </xdr:nvSpPr>
      <xdr:spPr bwMode="auto">
        <a:xfrm>
          <a:off x="165639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3</a:t>
          </a:r>
        </a:p>
      </xdr:txBody>
    </xdr:sp>
    <xdr:clientData/>
  </xdr:twoCellAnchor>
  <xdr:twoCellAnchor>
    <xdr:from>
      <xdr:col>7</xdr:col>
      <xdr:colOff>38100</xdr:colOff>
      <xdr:row>44</xdr:row>
      <xdr:rowOff>133350</xdr:rowOff>
    </xdr:from>
    <xdr:to>
      <xdr:col>7</xdr:col>
      <xdr:colOff>609600</xdr:colOff>
      <xdr:row>46</xdr:row>
      <xdr:rowOff>152400</xdr:rowOff>
    </xdr:to>
    <xdr:sp macro="" textlink="">
      <xdr:nvSpPr>
        <xdr:cNvPr id="17021" name="Rectangle 45"/>
        <xdr:cNvSpPr>
          <a:spLocks noChangeArrowheads="1"/>
        </xdr:cNvSpPr>
      </xdr:nvSpPr>
      <xdr:spPr bwMode="auto">
        <a:xfrm>
          <a:off x="4572000" y="9553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57</xdr:row>
      <xdr:rowOff>38100</xdr:rowOff>
    </xdr:from>
    <xdr:to>
      <xdr:col>33</xdr:col>
      <xdr:colOff>133350</xdr:colOff>
      <xdr:row>58</xdr:row>
      <xdr:rowOff>219075</xdr:rowOff>
    </xdr:to>
    <xdr:sp macro="" textlink="">
      <xdr:nvSpPr>
        <xdr:cNvPr id="17022" name="Rectangle 46"/>
        <xdr:cNvSpPr>
          <a:spLocks noChangeArrowheads="1"/>
        </xdr:cNvSpPr>
      </xdr:nvSpPr>
      <xdr:spPr bwMode="auto">
        <a:xfrm>
          <a:off x="986790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47625</xdr:colOff>
      <xdr:row>57</xdr:row>
      <xdr:rowOff>38100</xdr:rowOff>
    </xdr:from>
    <xdr:to>
      <xdr:col>39</xdr:col>
      <xdr:colOff>133350</xdr:colOff>
      <xdr:row>58</xdr:row>
      <xdr:rowOff>219075</xdr:rowOff>
    </xdr:to>
    <xdr:sp macro="" textlink="">
      <xdr:nvSpPr>
        <xdr:cNvPr id="17023" name="Rectangle 47"/>
        <xdr:cNvSpPr>
          <a:spLocks noChangeArrowheads="1"/>
        </xdr:cNvSpPr>
      </xdr:nvSpPr>
      <xdr:spPr bwMode="auto">
        <a:xfrm>
          <a:off x="1083945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17</xdr:row>
      <xdr:rowOff>38100</xdr:rowOff>
    </xdr:from>
    <xdr:to>
      <xdr:col>22</xdr:col>
      <xdr:colOff>57150</xdr:colOff>
      <xdr:row>18</xdr:row>
      <xdr:rowOff>123825</xdr:rowOff>
    </xdr:to>
    <xdr:sp macro="" textlink="">
      <xdr:nvSpPr>
        <xdr:cNvPr id="17024" name="Rectangle 48"/>
        <xdr:cNvSpPr>
          <a:spLocks noChangeArrowheads="1"/>
        </xdr:cNvSpPr>
      </xdr:nvSpPr>
      <xdr:spPr bwMode="auto">
        <a:xfrm>
          <a:off x="8010525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17</xdr:row>
      <xdr:rowOff>38100</xdr:rowOff>
    </xdr:from>
    <xdr:to>
      <xdr:col>27</xdr:col>
      <xdr:colOff>133350</xdr:colOff>
      <xdr:row>18</xdr:row>
      <xdr:rowOff>123825</xdr:rowOff>
    </xdr:to>
    <xdr:sp macro="" textlink="">
      <xdr:nvSpPr>
        <xdr:cNvPr id="17025" name="Rectangle 49"/>
        <xdr:cNvSpPr>
          <a:spLocks noChangeArrowheads="1"/>
        </xdr:cNvSpPr>
      </xdr:nvSpPr>
      <xdr:spPr bwMode="auto">
        <a:xfrm>
          <a:off x="8896350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17</xdr:row>
      <xdr:rowOff>66675</xdr:rowOff>
    </xdr:from>
    <xdr:to>
      <xdr:col>16</xdr:col>
      <xdr:colOff>114300</xdr:colOff>
      <xdr:row>18</xdr:row>
      <xdr:rowOff>152400</xdr:rowOff>
    </xdr:to>
    <xdr:sp macro="" textlink="">
      <xdr:nvSpPr>
        <xdr:cNvPr id="17026" name="Rectangle 50"/>
        <xdr:cNvSpPr>
          <a:spLocks noChangeArrowheads="1"/>
        </xdr:cNvSpPr>
      </xdr:nvSpPr>
      <xdr:spPr bwMode="auto">
        <a:xfrm>
          <a:off x="7096125" y="459105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104775</xdr:rowOff>
    </xdr:from>
    <xdr:to>
      <xdr:col>6</xdr:col>
      <xdr:colOff>676275</xdr:colOff>
      <xdr:row>44</xdr:row>
      <xdr:rowOff>57150</xdr:rowOff>
    </xdr:to>
    <xdr:sp macro="" textlink="">
      <xdr:nvSpPr>
        <xdr:cNvPr id="17027" name="Rectangle 51"/>
        <xdr:cNvSpPr>
          <a:spLocks noChangeArrowheads="1"/>
        </xdr:cNvSpPr>
      </xdr:nvSpPr>
      <xdr:spPr bwMode="auto">
        <a:xfrm>
          <a:off x="3324225" y="9020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57150</xdr:colOff>
      <xdr:row>13</xdr:row>
      <xdr:rowOff>47625</xdr:rowOff>
    </xdr:from>
    <xdr:to>
      <xdr:col>23</xdr:col>
      <xdr:colOff>123825</xdr:colOff>
      <xdr:row>15</xdr:row>
      <xdr:rowOff>180975</xdr:rowOff>
    </xdr:to>
    <xdr:sp macro="" textlink="">
      <xdr:nvSpPr>
        <xdr:cNvPr id="17028" name="Rectangle 52"/>
        <xdr:cNvSpPr>
          <a:spLocks noChangeArrowheads="1"/>
        </xdr:cNvSpPr>
      </xdr:nvSpPr>
      <xdr:spPr bwMode="auto">
        <a:xfrm>
          <a:off x="7772400" y="38576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11</xdr:row>
      <xdr:rowOff>19050</xdr:rowOff>
    </xdr:from>
    <xdr:to>
      <xdr:col>30</xdr:col>
      <xdr:colOff>104775</xdr:colOff>
      <xdr:row>12</xdr:row>
      <xdr:rowOff>66675</xdr:rowOff>
    </xdr:to>
    <xdr:sp macro="" textlink="">
      <xdr:nvSpPr>
        <xdr:cNvPr id="12341" name="Text Box 53"/>
        <xdr:cNvSpPr txBox="1">
          <a:spLocks noChangeArrowheads="1"/>
        </xdr:cNvSpPr>
      </xdr:nvSpPr>
      <xdr:spPr bwMode="auto">
        <a:xfrm>
          <a:off x="9248775" y="3371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4</a:t>
          </a:r>
        </a:p>
        <a:p>
          <a:pPr algn="ctr" rtl="0">
            <a:defRPr sz="1000"/>
          </a:pPr>
          <a:endParaRPr lang="nl-BE" sz="1400" b="1" i="0" u="none" strike="noStrike" baseline="0">
            <a:solidFill>
              <a:srgbClr val="993300"/>
            </a:solidFill>
            <a:latin typeface="Comic Sans MS"/>
          </a:endParaRPr>
        </a:p>
      </xdr:txBody>
    </xdr:sp>
    <xdr:clientData/>
  </xdr:twoCellAnchor>
  <xdr:twoCellAnchor>
    <xdr:from>
      <xdr:col>42</xdr:col>
      <xdr:colOff>38100</xdr:colOff>
      <xdr:row>57</xdr:row>
      <xdr:rowOff>19050</xdr:rowOff>
    </xdr:from>
    <xdr:to>
      <xdr:col>45</xdr:col>
      <xdr:colOff>123825</xdr:colOff>
      <xdr:row>58</xdr:row>
      <xdr:rowOff>200025</xdr:rowOff>
    </xdr:to>
    <xdr:sp macro="" textlink="">
      <xdr:nvSpPr>
        <xdr:cNvPr id="17030" name="Rectangle 54"/>
        <xdr:cNvSpPr>
          <a:spLocks noChangeArrowheads="1"/>
        </xdr:cNvSpPr>
      </xdr:nvSpPr>
      <xdr:spPr bwMode="auto">
        <a:xfrm>
          <a:off x="11801475" y="11839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133350</xdr:colOff>
      <xdr:row>13</xdr:row>
      <xdr:rowOff>57150</xdr:rowOff>
    </xdr:from>
    <xdr:to>
      <xdr:col>41</xdr:col>
      <xdr:colOff>38100</xdr:colOff>
      <xdr:row>15</xdr:row>
      <xdr:rowOff>190500</xdr:rowOff>
    </xdr:to>
    <xdr:sp macro="" textlink="">
      <xdr:nvSpPr>
        <xdr:cNvPr id="17031" name="Rectangle 55"/>
        <xdr:cNvSpPr>
          <a:spLocks noChangeArrowheads="1"/>
        </xdr:cNvSpPr>
      </xdr:nvSpPr>
      <xdr:spPr bwMode="auto">
        <a:xfrm>
          <a:off x="10601325" y="386715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228600</xdr:colOff>
      <xdr:row>30</xdr:row>
      <xdr:rowOff>19050</xdr:rowOff>
    </xdr:from>
    <xdr:to>
      <xdr:col>53</xdr:col>
      <xdr:colOff>419100</xdr:colOff>
      <xdr:row>32</xdr:row>
      <xdr:rowOff>152400</xdr:rowOff>
    </xdr:to>
    <xdr:sp macro="" textlink="">
      <xdr:nvSpPr>
        <xdr:cNvPr id="17032" name="Rectangle 56"/>
        <xdr:cNvSpPr>
          <a:spLocks noChangeArrowheads="1"/>
        </xdr:cNvSpPr>
      </xdr:nvSpPr>
      <xdr:spPr bwMode="auto">
        <a:xfrm>
          <a:off x="15268575" y="712470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219075</xdr:colOff>
      <xdr:row>41</xdr:row>
      <xdr:rowOff>95250</xdr:rowOff>
    </xdr:from>
    <xdr:to>
      <xdr:col>53</xdr:col>
      <xdr:colOff>409575</xdr:colOff>
      <xdr:row>44</xdr:row>
      <xdr:rowOff>47625</xdr:rowOff>
    </xdr:to>
    <xdr:sp macro="" textlink="">
      <xdr:nvSpPr>
        <xdr:cNvPr id="17033" name="Rectangle 57"/>
        <xdr:cNvSpPr>
          <a:spLocks noChangeArrowheads="1"/>
        </xdr:cNvSpPr>
      </xdr:nvSpPr>
      <xdr:spPr bwMode="auto">
        <a:xfrm>
          <a:off x="15259050" y="901065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59</xdr:row>
      <xdr:rowOff>209550</xdr:rowOff>
    </xdr:from>
    <xdr:to>
      <xdr:col>23</xdr:col>
      <xdr:colOff>104775</xdr:colOff>
      <xdr:row>62</xdr:row>
      <xdr:rowOff>28575</xdr:rowOff>
    </xdr:to>
    <xdr:sp macro="" textlink="">
      <xdr:nvSpPr>
        <xdr:cNvPr id="17034" name="Rectangle 58"/>
        <xdr:cNvSpPr>
          <a:spLocks noChangeArrowheads="1"/>
        </xdr:cNvSpPr>
      </xdr:nvSpPr>
      <xdr:spPr bwMode="auto">
        <a:xfrm>
          <a:off x="7753350" y="124301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123825</xdr:colOff>
      <xdr:row>30</xdr:row>
      <xdr:rowOff>9525</xdr:rowOff>
    </xdr:from>
    <xdr:to>
      <xdr:col>6</xdr:col>
      <xdr:colOff>666750</xdr:colOff>
      <xdr:row>32</xdr:row>
      <xdr:rowOff>142875</xdr:rowOff>
    </xdr:to>
    <xdr:sp macro="" textlink="">
      <xdr:nvSpPr>
        <xdr:cNvPr id="17035" name="Rectangle 59"/>
        <xdr:cNvSpPr>
          <a:spLocks noChangeArrowheads="1"/>
        </xdr:cNvSpPr>
      </xdr:nvSpPr>
      <xdr:spPr bwMode="auto">
        <a:xfrm>
          <a:off x="3314700" y="7115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8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4104" name="Text Box 8"/>
        <xdr:cNvSpPr txBox="1">
          <a:spLocks noChangeArrowheads="1"/>
        </xdr:cNvSpPr>
      </xdr:nvSpPr>
      <xdr:spPr bwMode="auto">
        <a:xfrm>
          <a:off x="2266950" y="2867025"/>
          <a:ext cx="342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West</a:t>
          </a:r>
        </a:p>
      </xdr:txBody>
    </xdr:sp>
    <xdr:clientData/>
  </xdr:twoCellAnchor>
  <xdr:twoCellAnchor>
    <xdr:from>
      <xdr:col>7</xdr:col>
      <xdr:colOff>561975</xdr:colOff>
      <xdr:row>8</xdr:row>
      <xdr:rowOff>0</xdr:rowOff>
    </xdr:from>
    <xdr:to>
      <xdr:col>7</xdr:col>
      <xdr:colOff>561975</xdr:colOff>
      <xdr:row>8</xdr:row>
      <xdr:rowOff>0</xdr:rowOff>
    </xdr:to>
    <xdr:sp macro="" textlink="">
      <xdr:nvSpPr>
        <xdr:cNvPr id="16299" name="Line 9"/>
        <xdr:cNvSpPr>
          <a:spLocks noChangeShapeType="1"/>
        </xdr:cNvSpPr>
      </xdr:nvSpPr>
      <xdr:spPr bwMode="auto">
        <a:xfrm>
          <a:off x="50958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8</xdr:row>
      <xdr:rowOff>0</xdr:rowOff>
    </xdr:from>
    <xdr:to>
      <xdr:col>9</xdr:col>
      <xdr:colOff>238125</xdr:colOff>
      <xdr:row>8</xdr:row>
      <xdr:rowOff>0</xdr:rowOff>
    </xdr:to>
    <xdr:sp macro="" textlink="">
      <xdr:nvSpPr>
        <xdr:cNvPr id="4106" name="Text Box 10"/>
        <xdr:cNvSpPr txBox="1">
          <a:spLocks noChangeArrowheads="1"/>
        </xdr:cNvSpPr>
      </xdr:nvSpPr>
      <xdr:spPr bwMode="auto">
        <a:xfrm>
          <a:off x="4743450" y="2867025"/>
          <a:ext cx="1323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Zuid</a:t>
          </a:r>
        </a:p>
      </xdr:txBody>
    </xdr:sp>
    <xdr:clientData/>
  </xdr:twoCellAnchor>
  <xdr:twoCellAnchor>
    <xdr:from>
      <xdr:col>50</xdr:col>
      <xdr:colOff>600075</xdr:colOff>
      <xdr:row>8</xdr:row>
      <xdr:rowOff>0</xdr:rowOff>
    </xdr:from>
    <xdr:to>
      <xdr:col>52</xdr:col>
      <xdr:colOff>0</xdr:colOff>
      <xdr:row>8</xdr:row>
      <xdr:rowOff>0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14249400" y="2867025"/>
          <a:ext cx="790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Oost</a:t>
          </a:r>
        </a:p>
      </xdr:txBody>
    </xdr:sp>
    <xdr:clientData/>
  </xdr:twoCellAnchor>
  <xdr:twoCellAnchor>
    <xdr:from>
      <xdr:col>30</xdr:col>
      <xdr:colOff>152400</xdr:colOff>
      <xdr:row>8</xdr:row>
      <xdr:rowOff>0</xdr:rowOff>
    </xdr:from>
    <xdr:to>
      <xdr:col>30</xdr:col>
      <xdr:colOff>152400</xdr:colOff>
      <xdr:row>8</xdr:row>
      <xdr:rowOff>0</xdr:rowOff>
    </xdr:to>
    <xdr:sp macro="" textlink="">
      <xdr:nvSpPr>
        <xdr:cNvPr id="16302" name="Line 13"/>
        <xdr:cNvSpPr>
          <a:spLocks noChangeShapeType="1"/>
        </xdr:cNvSpPr>
      </xdr:nvSpPr>
      <xdr:spPr bwMode="auto">
        <a:xfrm flipV="1">
          <a:off x="9972675" y="2867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FF" mc:Ignorable="a14" a14:legacySpreadsheetColorIndex="1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30</xdr:col>
      <xdr:colOff>504825</xdr:colOff>
      <xdr:row>8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9658350" y="2867025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nl-BE" sz="1100" b="1" i="0" u="none" strike="noStrike" baseline="0">
              <a:solidFill>
                <a:srgbClr val="FF00FF"/>
              </a:solidFill>
              <a:latin typeface="Comic Sans MS"/>
            </a:rPr>
            <a:t>Noord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0000"/>
              </a:solidFill>
              <a:latin typeface="Comic Sans MS"/>
            </a:rPr>
            <a:t>1</a:t>
          </a:r>
        </a:p>
      </xdr:txBody>
    </xdr:sp>
    <xdr:clientData/>
  </xdr:twoCellAnchor>
  <xdr:twoCellAnchor>
    <xdr:from>
      <xdr:col>7</xdr:col>
      <xdr:colOff>47625</xdr:colOff>
      <xdr:row>8</xdr:row>
      <xdr:rowOff>0</xdr:rowOff>
    </xdr:from>
    <xdr:to>
      <xdr:col>7</xdr:col>
      <xdr:colOff>266700</xdr:colOff>
      <xdr:row>8</xdr:row>
      <xdr:rowOff>0</xdr:rowOff>
    </xdr:to>
    <xdr:sp macro="" textlink="">
      <xdr:nvSpPr>
        <xdr:cNvPr id="4119" name="Text Box 23"/>
        <xdr:cNvSpPr txBox="1">
          <a:spLocks noChangeArrowheads="1"/>
        </xdr:cNvSpPr>
      </xdr:nvSpPr>
      <xdr:spPr bwMode="auto">
        <a:xfrm>
          <a:off x="458152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FF6600"/>
              </a:solidFill>
              <a:latin typeface="Comic Sans MS"/>
            </a:rPr>
            <a:t>2</a:t>
          </a:r>
        </a:p>
      </xdr:txBody>
    </xdr:sp>
    <xdr:clientData/>
  </xdr:twoCellAnchor>
  <xdr:twoCellAnchor>
    <xdr:from>
      <xdr:col>7</xdr:col>
      <xdr:colOff>28575</xdr:colOff>
      <xdr:row>8</xdr:row>
      <xdr:rowOff>0</xdr:rowOff>
    </xdr:from>
    <xdr:to>
      <xdr:col>7</xdr:col>
      <xdr:colOff>247650</xdr:colOff>
      <xdr:row>8</xdr:row>
      <xdr:rowOff>0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4562475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BE" sz="1200" b="1" i="0" u="none" strike="noStrike" baseline="0">
              <a:solidFill>
                <a:srgbClr val="339966"/>
              </a:solidFill>
              <a:latin typeface="Comic Sans MS"/>
            </a:rPr>
            <a:t>3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9</a:t>
          </a:r>
        </a:p>
      </xdr:txBody>
    </xdr:sp>
    <xdr:clientData/>
  </xdr:twoCellAnchor>
  <xdr:twoCellAnchor>
    <xdr:from>
      <xdr:col>30</xdr:col>
      <xdr:colOff>447675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25" name="Text Box 29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8</a:t>
          </a:r>
        </a:p>
      </xdr:txBody>
    </xdr:sp>
    <xdr:clientData/>
  </xdr:twoCellAnchor>
  <xdr:twoCellAnchor>
    <xdr:from>
      <xdr:col>30</xdr:col>
      <xdr:colOff>457200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28" name="Text Box 32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7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310" name="Line 36"/>
        <xdr:cNvSpPr>
          <a:spLocks noChangeShapeType="1"/>
        </xdr:cNvSpPr>
      </xdr:nvSpPr>
      <xdr:spPr bwMode="auto">
        <a:xfrm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304800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16311" name="Line 37"/>
        <xdr:cNvSpPr>
          <a:spLocks noChangeShapeType="1"/>
        </xdr:cNvSpPr>
      </xdr:nvSpPr>
      <xdr:spPr bwMode="auto">
        <a:xfrm>
          <a:off x="99822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16312" name="Line 39"/>
        <xdr:cNvSpPr>
          <a:spLocks noChangeShapeType="1"/>
        </xdr:cNvSpPr>
      </xdr:nvSpPr>
      <xdr:spPr bwMode="auto">
        <a:xfrm flipV="1">
          <a:off x="965835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4</a:t>
          </a:r>
        </a:p>
      </xdr:txBody>
    </xdr:sp>
    <xdr:clientData/>
  </xdr:twoCellAnchor>
  <xdr:twoCellAnchor>
    <xdr:from>
      <xdr:col>29</xdr:col>
      <xdr:colOff>0</xdr:colOff>
      <xdr:row>8</xdr:row>
      <xdr:rowOff>0</xdr:rowOff>
    </xdr:from>
    <xdr:to>
      <xdr:col>29</xdr:col>
      <xdr:colOff>0</xdr:colOff>
      <xdr:row>8</xdr:row>
      <xdr:rowOff>0</xdr:rowOff>
    </xdr:to>
    <xdr:sp macro="" textlink="">
      <xdr:nvSpPr>
        <xdr:cNvPr id="4139" name="Text Box 43"/>
        <xdr:cNvSpPr txBox="1">
          <a:spLocks noChangeArrowheads="1"/>
        </xdr:cNvSpPr>
      </xdr:nvSpPr>
      <xdr:spPr bwMode="auto">
        <a:xfrm>
          <a:off x="965835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5</a:t>
          </a:r>
        </a:p>
      </xdr:txBody>
    </xdr:sp>
    <xdr:clientData/>
  </xdr:twoCellAnchor>
  <xdr:twoCellAnchor>
    <xdr:from>
      <xdr:col>30</xdr:col>
      <xdr:colOff>295275</xdr:colOff>
      <xdr:row>8</xdr:row>
      <xdr:rowOff>0</xdr:rowOff>
    </xdr:from>
    <xdr:to>
      <xdr:col>30</xdr:col>
      <xdr:colOff>161925</xdr:colOff>
      <xdr:row>8</xdr:row>
      <xdr:rowOff>0</xdr:rowOff>
    </xdr:to>
    <xdr:sp macro="" textlink="">
      <xdr:nvSpPr>
        <xdr:cNvPr id="4140" name="Text Box 44"/>
        <xdr:cNvSpPr txBox="1">
          <a:spLocks noChangeArrowheads="1"/>
        </xdr:cNvSpPr>
      </xdr:nvSpPr>
      <xdr:spPr bwMode="auto">
        <a:xfrm>
          <a:off x="99822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6</a:t>
          </a:r>
        </a:p>
      </xdr:txBody>
    </xdr:sp>
    <xdr:clientData/>
  </xdr:twoCellAnchor>
  <xdr:twoCellAnchor>
    <xdr:from>
      <xdr:col>14</xdr:col>
      <xdr:colOff>238125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4141" name="Text Box 45"/>
        <xdr:cNvSpPr txBox="1">
          <a:spLocks noChangeArrowheads="1"/>
        </xdr:cNvSpPr>
      </xdr:nvSpPr>
      <xdr:spPr bwMode="auto">
        <a:xfrm>
          <a:off x="7391400" y="28670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0000"/>
              </a:solidFill>
              <a:latin typeface="Comic Sans MS"/>
            </a:rPr>
            <a:t>10</a:t>
          </a:r>
        </a:p>
      </xdr:txBody>
    </xdr:sp>
    <xdr:clientData/>
  </xdr:twoCellAnchor>
  <xdr:twoCellAnchor>
    <xdr:from>
      <xdr:col>9</xdr:col>
      <xdr:colOff>209550</xdr:colOff>
      <xdr:row>8</xdr:row>
      <xdr:rowOff>0</xdr:rowOff>
    </xdr:from>
    <xdr:to>
      <xdr:col>9</xdr:col>
      <xdr:colOff>314325</xdr:colOff>
      <xdr:row>8</xdr:row>
      <xdr:rowOff>0</xdr:rowOff>
    </xdr:to>
    <xdr:sp macro="" textlink="">
      <xdr:nvSpPr>
        <xdr:cNvPr id="4142" name="Text Box 46"/>
        <xdr:cNvSpPr txBox="1">
          <a:spLocks noChangeArrowheads="1"/>
        </xdr:cNvSpPr>
      </xdr:nvSpPr>
      <xdr:spPr bwMode="auto">
        <a:xfrm>
          <a:off x="6038850" y="28670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FF6600"/>
              </a:solidFill>
              <a:latin typeface="Comic Sans MS"/>
            </a:rPr>
            <a:t>11</a:t>
          </a:r>
        </a:p>
      </xdr:txBody>
    </xdr:sp>
    <xdr:clientData/>
  </xdr:twoCellAnchor>
  <xdr:twoCellAnchor>
    <xdr:from>
      <xdr:col>7</xdr:col>
      <xdr:colOff>171450</xdr:colOff>
      <xdr:row>8</xdr:row>
      <xdr:rowOff>0</xdr:rowOff>
    </xdr:from>
    <xdr:to>
      <xdr:col>7</xdr:col>
      <xdr:colOff>390525</xdr:colOff>
      <xdr:row>8</xdr:row>
      <xdr:rowOff>0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4705350" y="2867025"/>
          <a:ext cx="2190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nl-BE" sz="1000" b="1" i="0" u="none" strike="noStrike" baseline="0">
              <a:solidFill>
                <a:srgbClr val="339966"/>
              </a:solidFill>
              <a:latin typeface="Comic Sans MS"/>
            </a:rPr>
            <a:t>12</a:t>
          </a:r>
        </a:p>
      </xdr:txBody>
    </xdr:sp>
    <xdr:clientData/>
  </xdr:twoCellAnchor>
  <xdr:twoCellAnchor>
    <xdr:from>
      <xdr:col>14</xdr:col>
      <xdr:colOff>266700</xdr:colOff>
      <xdr:row>8</xdr:row>
      <xdr:rowOff>0</xdr:rowOff>
    </xdr:from>
    <xdr:to>
      <xdr:col>14</xdr:col>
      <xdr:colOff>161925</xdr:colOff>
      <xdr:row>8</xdr:row>
      <xdr:rowOff>0</xdr:rowOff>
    </xdr:to>
    <xdr:sp macro="" textlink="">
      <xdr:nvSpPr>
        <xdr:cNvPr id="16319" name="Line 48"/>
        <xdr:cNvSpPr>
          <a:spLocks noChangeShapeType="1"/>
        </xdr:cNvSpPr>
      </xdr:nvSpPr>
      <xdr:spPr bwMode="auto">
        <a:xfrm>
          <a:off x="73914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8</xdr:row>
      <xdr:rowOff>0</xdr:rowOff>
    </xdr:from>
    <xdr:to>
      <xdr:col>7</xdr:col>
      <xdr:colOff>352425</xdr:colOff>
      <xdr:row>8</xdr:row>
      <xdr:rowOff>0</xdr:rowOff>
    </xdr:to>
    <xdr:sp macro="" textlink="">
      <xdr:nvSpPr>
        <xdr:cNvPr id="16320" name="Line 49"/>
        <xdr:cNvSpPr>
          <a:spLocks noChangeShapeType="1"/>
        </xdr:cNvSpPr>
      </xdr:nvSpPr>
      <xdr:spPr bwMode="auto">
        <a:xfrm>
          <a:off x="4886325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304800</xdr:colOff>
      <xdr:row>8</xdr:row>
      <xdr:rowOff>0</xdr:rowOff>
    </xdr:from>
    <xdr:to>
      <xdr:col>9</xdr:col>
      <xdr:colOff>304800</xdr:colOff>
      <xdr:row>8</xdr:row>
      <xdr:rowOff>0</xdr:rowOff>
    </xdr:to>
    <xdr:sp macro="" textlink="">
      <xdr:nvSpPr>
        <xdr:cNvPr id="16321" name="Line 51"/>
        <xdr:cNvSpPr>
          <a:spLocks noChangeShapeType="1"/>
        </xdr:cNvSpPr>
      </xdr:nvSpPr>
      <xdr:spPr bwMode="auto">
        <a:xfrm>
          <a:off x="6134100" y="2867025"/>
          <a:ext cx="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819150</xdr:colOff>
      <xdr:row>30</xdr:row>
      <xdr:rowOff>76200</xdr:rowOff>
    </xdr:from>
    <xdr:to>
      <xdr:col>7</xdr:col>
      <xdr:colOff>638175</xdr:colOff>
      <xdr:row>32</xdr:row>
      <xdr:rowOff>123825</xdr:rowOff>
    </xdr:to>
    <xdr:sp macro="" textlink="">
      <xdr:nvSpPr>
        <xdr:cNvPr id="16322" name="AutoShape 313"/>
        <xdr:cNvSpPr>
          <a:spLocks noChangeArrowheads="1"/>
        </xdr:cNvSpPr>
      </xdr:nvSpPr>
      <xdr:spPr bwMode="auto">
        <a:xfrm>
          <a:off x="4505325" y="7181850"/>
          <a:ext cx="666750" cy="371475"/>
        </a:xfrm>
        <a:prstGeom prst="leftArrow">
          <a:avLst>
            <a:gd name="adj1" fmla="val 50000"/>
            <a:gd name="adj2" fmla="val 4487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38100</xdr:colOff>
      <xdr:row>42</xdr:row>
      <xdr:rowOff>19050</xdr:rowOff>
    </xdr:from>
    <xdr:to>
      <xdr:col>52</xdr:col>
      <xdr:colOff>114300</xdr:colOff>
      <xdr:row>44</xdr:row>
      <xdr:rowOff>57150</xdr:rowOff>
    </xdr:to>
    <xdr:sp macro="" textlink="">
      <xdr:nvSpPr>
        <xdr:cNvPr id="16323" name="AutoShape 315"/>
        <xdr:cNvSpPr>
          <a:spLocks noChangeArrowheads="1"/>
        </xdr:cNvSpPr>
      </xdr:nvSpPr>
      <xdr:spPr bwMode="auto">
        <a:xfrm>
          <a:off x="14430375" y="9105900"/>
          <a:ext cx="723900" cy="371475"/>
        </a:xfrm>
        <a:prstGeom prst="rightArrow">
          <a:avLst>
            <a:gd name="adj1" fmla="val 50000"/>
            <a:gd name="adj2" fmla="val 4871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28575</xdr:colOff>
      <xdr:row>55</xdr:row>
      <xdr:rowOff>228600</xdr:rowOff>
    </xdr:from>
    <xdr:to>
      <xdr:col>21</xdr:col>
      <xdr:colOff>114300</xdr:colOff>
      <xdr:row>59</xdr:row>
      <xdr:rowOff>85725</xdr:rowOff>
    </xdr:to>
    <xdr:sp macro="" textlink="">
      <xdr:nvSpPr>
        <xdr:cNvPr id="16324" name="AutoShape 317"/>
        <xdr:cNvSpPr>
          <a:spLocks noChangeArrowheads="1"/>
        </xdr:cNvSpPr>
      </xdr:nvSpPr>
      <xdr:spPr bwMode="auto">
        <a:xfrm>
          <a:off x="8067675" y="11639550"/>
          <a:ext cx="409575" cy="666750"/>
        </a:xfrm>
        <a:prstGeom prst="downArrow">
          <a:avLst>
            <a:gd name="adj1" fmla="val 50000"/>
            <a:gd name="adj2" fmla="val 4069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76200</xdr:colOff>
          <xdr:row>4</xdr:row>
          <xdr:rowOff>66675</xdr:rowOff>
        </xdr:from>
        <xdr:to>
          <xdr:col>32</xdr:col>
          <xdr:colOff>57150</xdr:colOff>
          <xdr:row>5</xdr:row>
          <xdr:rowOff>0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5</xdr:row>
          <xdr:rowOff>47625</xdr:rowOff>
        </xdr:from>
        <xdr:to>
          <xdr:col>32</xdr:col>
          <xdr:colOff>66675</xdr:colOff>
          <xdr:row>5</xdr:row>
          <xdr:rowOff>266700</xdr:rowOff>
        </xdr:to>
        <xdr:sp macro="" textlink="">
          <xdr:nvSpPr>
            <xdr:cNvPr id="4427" name="Check Box 331" hidden="1">
              <a:extLst>
                <a:ext uri="{63B3BB69-23CF-44E3-9099-C40C66FF867C}">
                  <a14:compatExt spid="_x0000_s4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6</xdr:row>
          <xdr:rowOff>28575</xdr:rowOff>
        </xdr:from>
        <xdr:to>
          <xdr:col>32</xdr:col>
          <xdr:colOff>66675</xdr:colOff>
          <xdr:row>6</xdr:row>
          <xdr:rowOff>266700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85725</xdr:colOff>
          <xdr:row>7</xdr:row>
          <xdr:rowOff>28575</xdr:rowOff>
        </xdr:from>
        <xdr:to>
          <xdr:col>32</xdr:col>
          <xdr:colOff>66675</xdr:colOff>
          <xdr:row>7</xdr:row>
          <xdr:rowOff>247650</xdr:rowOff>
        </xdr:to>
        <xdr:sp macro="" textlink="">
          <xdr:nvSpPr>
            <xdr:cNvPr id="4429" name="Check Box 333" hidden="1">
              <a:extLst>
                <a:ext uri="{63B3BB69-23CF-44E3-9099-C40C66FF867C}">
                  <a14:compatExt spid="_x0000_s4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36</xdr:col>
      <xdr:colOff>114300</xdr:colOff>
      <xdr:row>16</xdr:row>
      <xdr:rowOff>47625</xdr:rowOff>
    </xdr:from>
    <xdr:to>
      <xdr:col>39</xdr:col>
      <xdr:colOff>28575</xdr:colOff>
      <xdr:row>20</xdr:row>
      <xdr:rowOff>0</xdr:rowOff>
    </xdr:to>
    <xdr:sp macro="" textlink="">
      <xdr:nvSpPr>
        <xdr:cNvPr id="16325" name="AutoShape 336"/>
        <xdr:cNvSpPr>
          <a:spLocks noChangeArrowheads="1"/>
        </xdr:cNvSpPr>
      </xdr:nvSpPr>
      <xdr:spPr bwMode="auto">
        <a:xfrm>
          <a:off x="10906125" y="4410075"/>
          <a:ext cx="400050" cy="695325"/>
        </a:xfrm>
        <a:prstGeom prst="upArrow">
          <a:avLst>
            <a:gd name="adj1" fmla="val 50000"/>
            <a:gd name="adj2" fmla="val 434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38</xdr:row>
      <xdr:rowOff>133350</xdr:rowOff>
    </xdr:from>
    <xdr:to>
      <xdr:col>7</xdr:col>
      <xdr:colOff>600075</xdr:colOff>
      <xdr:row>40</xdr:row>
      <xdr:rowOff>152400</xdr:rowOff>
    </xdr:to>
    <xdr:sp macro="" textlink="">
      <xdr:nvSpPr>
        <xdr:cNvPr id="16326" name="Rectangle 348"/>
        <xdr:cNvSpPr>
          <a:spLocks noChangeArrowheads="1"/>
        </xdr:cNvSpPr>
      </xdr:nvSpPr>
      <xdr:spPr bwMode="auto">
        <a:xfrm>
          <a:off x="4562475" y="85629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28575</xdr:colOff>
      <xdr:row>41</xdr:row>
      <xdr:rowOff>152400</xdr:rowOff>
    </xdr:from>
    <xdr:to>
      <xdr:col>7</xdr:col>
      <xdr:colOff>600075</xdr:colOff>
      <xdr:row>43</xdr:row>
      <xdr:rowOff>152400</xdr:rowOff>
    </xdr:to>
    <xdr:sp macro="" textlink="">
      <xdr:nvSpPr>
        <xdr:cNvPr id="16327" name="Rectangle 349"/>
        <xdr:cNvSpPr>
          <a:spLocks noChangeArrowheads="1"/>
        </xdr:cNvSpPr>
      </xdr:nvSpPr>
      <xdr:spPr bwMode="auto">
        <a:xfrm>
          <a:off x="4562475" y="906780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47625</xdr:colOff>
      <xdr:row>33</xdr:row>
      <xdr:rowOff>152400</xdr:rowOff>
    </xdr:from>
    <xdr:to>
      <xdr:col>51</xdr:col>
      <xdr:colOff>619125</xdr:colOff>
      <xdr:row>35</xdr:row>
      <xdr:rowOff>152400</xdr:rowOff>
    </xdr:to>
    <xdr:sp macro="" textlink="">
      <xdr:nvSpPr>
        <xdr:cNvPr id="16328" name="Rectangle 354"/>
        <xdr:cNvSpPr>
          <a:spLocks noChangeArrowheads="1"/>
        </xdr:cNvSpPr>
      </xdr:nvSpPr>
      <xdr:spPr bwMode="auto">
        <a:xfrm>
          <a:off x="14439900" y="77438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38100</xdr:colOff>
      <xdr:row>30</xdr:row>
      <xdr:rowOff>57150</xdr:rowOff>
    </xdr:from>
    <xdr:to>
      <xdr:col>51</xdr:col>
      <xdr:colOff>609600</xdr:colOff>
      <xdr:row>32</xdr:row>
      <xdr:rowOff>76200</xdr:rowOff>
    </xdr:to>
    <xdr:sp macro="" textlink="">
      <xdr:nvSpPr>
        <xdr:cNvPr id="16329" name="Rectangle 355"/>
        <xdr:cNvSpPr>
          <a:spLocks noChangeArrowheads="1"/>
        </xdr:cNvSpPr>
      </xdr:nvSpPr>
      <xdr:spPr bwMode="auto">
        <a:xfrm>
          <a:off x="14430375" y="7162800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51</xdr:col>
      <xdr:colOff>28575</xdr:colOff>
      <xdr:row>27</xdr:row>
      <xdr:rowOff>66675</xdr:rowOff>
    </xdr:from>
    <xdr:to>
      <xdr:col>51</xdr:col>
      <xdr:colOff>600075</xdr:colOff>
      <xdr:row>29</xdr:row>
      <xdr:rowOff>76200</xdr:rowOff>
    </xdr:to>
    <xdr:sp macro="" textlink="">
      <xdr:nvSpPr>
        <xdr:cNvPr id="16330" name="Rectangle 356"/>
        <xdr:cNvSpPr>
          <a:spLocks noChangeArrowheads="1"/>
        </xdr:cNvSpPr>
      </xdr:nvSpPr>
      <xdr:spPr bwMode="auto">
        <a:xfrm>
          <a:off x="14420850" y="66770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619125</xdr:colOff>
      <xdr:row>16</xdr:row>
      <xdr:rowOff>19050</xdr:rowOff>
    </xdr:from>
    <xdr:to>
      <xdr:col>8</xdr:col>
      <xdr:colOff>180975</xdr:colOff>
      <xdr:row>22</xdr:row>
      <xdr:rowOff>142875</xdr:rowOff>
    </xdr:to>
    <xdr:sp macro="" textlink="">
      <xdr:nvSpPr>
        <xdr:cNvPr id="16331" name="Tekening 249"/>
        <xdr:cNvSpPr>
          <a:spLocks/>
        </xdr:cNvSpPr>
      </xdr:nvSpPr>
      <xdr:spPr bwMode="auto">
        <a:xfrm>
          <a:off x="4305300" y="4381500"/>
          <a:ext cx="1057275" cy="1200150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2147483646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8356" y="0"/>
              </a:moveTo>
              <a:lnTo>
                <a:pt x="9906" y="6618"/>
              </a:lnTo>
              <a:lnTo>
                <a:pt x="16384" y="8165"/>
              </a:lnTo>
              <a:lnTo>
                <a:pt x="9812" y="10087"/>
              </a:lnTo>
              <a:lnTo>
                <a:pt x="8169" y="16384"/>
              </a:lnTo>
              <a:lnTo>
                <a:pt x="6525" y="9873"/>
              </a:lnTo>
              <a:lnTo>
                <a:pt x="0" y="8112"/>
              </a:lnTo>
              <a:lnTo>
                <a:pt x="6572" y="6351"/>
              </a:lnTo>
              <a:lnTo>
                <a:pt x="8356" y="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809625</xdr:colOff>
      <xdr:row>17</xdr:row>
      <xdr:rowOff>114300</xdr:rowOff>
    </xdr:from>
    <xdr:to>
      <xdr:col>7</xdr:col>
      <xdr:colOff>638175</xdr:colOff>
      <xdr:row>21</xdr:row>
      <xdr:rowOff>57150</xdr:rowOff>
    </xdr:to>
    <xdr:sp macro="" textlink="">
      <xdr:nvSpPr>
        <xdr:cNvPr id="16332" name="Tekening 250"/>
        <xdr:cNvSpPr>
          <a:spLocks/>
        </xdr:cNvSpPr>
      </xdr:nvSpPr>
      <xdr:spPr bwMode="auto">
        <a:xfrm>
          <a:off x="4495800" y="4638675"/>
          <a:ext cx="676275" cy="771525"/>
        </a:xfrm>
        <a:custGeom>
          <a:avLst/>
          <a:gdLst>
            <a:gd name="T0" fmla="*/ 2147483646 w 16384"/>
            <a:gd name="T1" fmla="*/ 0 h 16384"/>
            <a:gd name="T2" fmla="*/ 2147483646 w 16384"/>
            <a:gd name="T3" fmla="*/ 2147483646 h 16384"/>
            <a:gd name="T4" fmla="*/ 2147483646 w 16384"/>
            <a:gd name="T5" fmla="*/ 0 h 16384"/>
            <a:gd name="T6" fmla="*/ 2147483646 w 16384"/>
            <a:gd name="T7" fmla="*/ 2147483646 h 16384"/>
            <a:gd name="T8" fmla="*/ 2147483646 w 16384"/>
            <a:gd name="T9" fmla="*/ 2147483646 h 16384"/>
            <a:gd name="T10" fmla="*/ 2147483646 w 16384"/>
            <a:gd name="T11" fmla="*/ 2147483646 h 16384"/>
            <a:gd name="T12" fmla="*/ 0 w 16384"/>
            <a:gd name="T13" fmla="*/ 2147483646 h 16384"/>
            <a:gd name="T14" fmla="*/ 2147483646 w 16384"/>
            <a:gd name="T15" fmla="*/ 2147483646 h 16384"/>
            <a:gd name="T16" fmla="*/ 2147483646 w 16384"/>
            <a:gd name="T17" fmla="*/ 0 h 16384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6384" h="16384">
              <a:moveTo>
                <a:pt x="552" y="0"/>
              </a:moveTo>
              <a:lnTo>
                <a:pt x="8468" y="2576"/>
              </a:lnTo>
              <a:lnTo>
                <a:pt x="16384" y="0"/>
              </a:lnTo>
              <a:lnTo>
                <a:pt x="14359" y="8140"/>
              </a:lnTo>
              <a:lnTo>
                <a:pt x="16108" y="16384"/>
              </a:lnTo>
              <a:lnTo>
                <a:pt x="8192" y="13705"/>
              </a:lnTo>
              <a:lnTo>
                <a:pt x="0" y="16281"/>
              </a:lnTo>
              <a:lnTo>
                <a:pt x="2669" y="7934"/>
              </a:lnTo>
              <a:lnTo>
                <a:pt x="552" y="0"/>
              </a:lnTo>
              <a:close/>
            </a:path>
          </a:pathLst>
        </a:custGeom>
        <a:noFill/>
        <a:ln w="17145" cap="flat">
          <a:solidFill>
            <a:srgbClr xmlns:mc="http://schemas.openxmlformats.org/markup-compatibility/2006" xmlns:a14="http://schemas.microsoft.com/office/drawing/2010/main" val="800080" mc:Ignorable="a14" a14:legacySpreadsheetColorIndex="2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93300" mc:Ignorable="a14" a14:legacySpreadsheetColorIndex="60"/>
              </a:solidFill>
            </a14:hiddenFill>
          </a:ext>
        </a:extLst>
      </xdr:spPr>
    </xdr:sp>
    <xdr:clientData/>
  </xdr:twoCellAnchor>
  <xdr:twoCellAnchor>
    <xdr:from>
      <xdr:col>34</xdr:col>
      <xdr:colOff>133350</xdr:colOff>
      <xdr:row>59</xdr:row>
      <xdr:rowOff>200025</xdr:rowOff>
    </xdr:from>
    <xdr:to>
      <xdr:col>41</xdr:col>
      <xdr:colOff>38100</xdr:colOff>
      <xdr:row>62</xdr:row>
      <xdr:rowOff>19050</xdr:rowOff>
    </xdr:to>
    <xdr:sp macro="" textlink="">
      <xdr:nvSpPr>
        <xdr:cNvPr id="16333" name="Rectangle 369"/>
        <xdr:cNvSpPr>
          <a:spLocks noChangeArrowheads="1"/>
        </xdr:cNvSpPr>
      </xdr:nvSpPr>
      <xdr:spPr bwMode="auto">
        <a:xfrm>
          <a:off x="10601325" y="1242060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152400</xdr:colOff>
      <xdr:row>63</xdr:row>
      <xdr:rowOff>257175</xdr:rowOff>
    </xdr:from>
    <xdr:to>
      <xdr:col>31</xdr:col>
      <xdr:colOff>19050</xdr:colOff>
      <xdr:row>65</xdr:row>
      <xdr:rowOff>76200</xdr:rowOff>
    </xdr:to>
    <xdr:sp macro="" textlink="">
      <xdr:nvSpPr>
        <xdr:cNvPr id="4467" name="Text Box 371"/>
        <xdr:cNvSpPr txBox="1">
          <a:spLocks noChangeArrowheads="1"/>
        </xdr:cNvSpPr>
      </xdr:nvSpPr>
      <xdr:spPr bwMode="auto">
        <a:xfrm>
          <a:off x="9324975" y="13277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2</a:t>
          </a:r>
        </a:p>
      </xdr:txBody>
    </xdr:sp>
    <xdr:clientData/>
  </xdr:twoCellAnchor>
  <xdr:twoCellAnchor>
    <xdr:from>
      <xdr:col>0</xdr:col>
      <xdr:colOff>1828800</xdr:colOff>
      <xdr:row>0</xdr:row>
      <xdr:rowOff>38100</xdr:rowOff>
    </xdr:from>
    <xdr:to>
      <xdr:col>4</xdr:col>
      <xdr:colOff>209550</xdr:colOff>
      <xdr:row>1</xdr:row>
      <xdr:rowOff>628650</xdr:rowOff>
    </xdr:to>
    <xdr:pic>
      <xdr:nvPicPr>
        <xdr:cNvPr id="16335" name="Picture 373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100"/>
          <a:ext cx="1571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</xdr:colOff>
      <xdr:row>36</xdr:row>
      <xdr:rowOff>28575</xdr:rowOff>
    </xdr:from>
    <xdr:to>
      <xdr:col>3</xdr:col>
      <xdr:colOff>419100</xdr:colOff>
      <xdr:row>37</xdr:row>
      <xdr:rowOff>142875</xdr:rowOff>
    </xdr:to>
    <xdr:sp macro="" textlink="">
      <xdr:nvSpPr>
        <xdr:cNvPr id="4473" name="Text Box 377"/>
        <xdr:cNvSpPr txBox="1">
          <a:spLocks noChangeArrowheads="1"/>
        </xdr:cNvSpPr>
      </xdr:nvSpPr>
      <xdr:spPr bwMode="auto">
        <a:xfrm>
          <a:off x="23526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1</a:t>
          </a:r>
        </a:p>
      </xdr:txBody>
    </xdr:sp>
    <xdr:clientData/>
  </xdr:twoCellAnchor>
  <xdr:twoCellAnchor>
    <xdr:from>
      <xdr:col>54</xdr:col>
      <xdr:colOff>28575</xdr:colOff>
      <xdr:row>36</xdr:row>
      <xdr:rowOff>28575</xdr:rowOff>
    </xdr:from>
    <xdr:to>
      <xdr:col>54</xdr:col>
      <xdr:colOff>704850</xdr:colOff>
      <xdr:row>37</xdr:row>
      <xdr:rowOff>142875</xdr:rowOff>
    </xdr:to>
    <xdr:sp macro="" textlink="">
      <xdr:nvSpPr>
        <xdr:cNvPr id="4474" name="Text Box 378"/>
        <xdr:cNvSpPr txBox="1">
          <a:spLocks noChangeArrowheads="1"/>
        </xdr:cNvSpPr>
      </xdr:nvSpPr>
      <xdr:spPr bwMode="auto">
        <a:xfrm>
          <a:off x="16563975" y="8124825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3</a:t>
          </a:r>
        </a:p>
      </xdr:txBody>
    </xdr:sp>
    <xdr:clientData/>
  </xdr:twoCellAnchor>
  <xdr:twoCellAnchor>
    <xdr:from>
      <xdr:col>7</xdr:col>
      <xdr:colOff>38100</xdr:colOff>
      <xdr:row>44</xdr:row>
      <xdr:rowOff>133350</xdr:rowOff>
    </xdr:from>
    <xdr:to>
      <xdr:col>7</xdr:col>
      <xdr:colOff>609600</xdr:colOff>
      <xdr:row>46</xdr:row>
      <xdr:rowOff>152400</xdr:rowOff>
    </xdr:to>
    <xdr:sp macro="" textlink="">
      <xdr:nvSpPr>
        <xdr:cNvPr id="16338" name="Rectangle 380"/>
        <xdr:cNvSpPr>
          <a:spLocks noChangeArrowheads="1"/>
        </xdr:cNvSpPr>
      </xdr:nvSpPr>
      <xdr:spPr bwMode="auto">
        <a:xfrm>
          <a:off x="4572000" y="9553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47625</xdr:colOff>
      <xdr:row>57</xdr:row>
      <xdr:rowOff>38100</xdr:rowOff>
    </xdr:from>
    <xdr:to>
      <xdr:col>33</xdr:col>
      <xdr:colOff>133350</xdr:colOff>
      <xdr:row>58</xdr:row>
      <xdr:rowOff>219075</xdr:rowOff>
    </xdr:to>
    <xdr:sp macro="" textlink="">
      <xdr:nvSpPr>
        <xdr:cNvPr id="16339" name="Rectangle 382"/>
        <xdr:cNvSpPr>
          <a:spLocks noChangeArrowheads="1"/>
        </xdr:cNvSpPr>
      </xdr:nvSpPr>
      <xdr:spPr bwMode="auto">
        <a:xfrm>
          <a:off x="986790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36</xdr:col>
      <xdr:colOff>47625</xdr:colOff>
      <xdr:row>57</xdr:row>
      <xdr:rowOff>38100</xdr:rowOff>
    </xdr:from>
    <xdr:to>
      <xdr:col>39</xdr:col>
      <xdr:colOff>133350</xdr:colOff>
      <xdr:row>58</xdr:row>
      <xdr:rowOff>219075</xdr:rowOff>
    </xdr:to>
    <xdr:sp macro="" textlink="">
      <xdr:nvSpPr>
        <xdr:cNvPr id="16340" name="Rectangle 383"/>
        <xdr:cNvSpPr>
          <a:spLocks noChangeArrowheads="1"/>
        </xdr:cNvSpPr>
      </xdr:nvSpPr>
      <xdr:spPr bwMode="auto">
        <a:xfrm>
          <a:off x="10839450" y="118586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17</xdr:row>
      <xdr:rowOff>38100</xdr:rowOff>
    </xdr:from>
    <xdr:to>
      <xdr:col>22</xdr:col>
      <xdr:colOff>57150</xdr:colOff>
      <xdr:row>18</xdr:row>
      <xdr:rowOff>123825</xdr:rowOff>
    </xdr:to>
    <xdr:sp macro="" textlink="">
      <xdr:nvSpPr>
        <xdr:cNvPr id="16341" name="Rectangle 385"/>
        <xdr:cNvSpPr>
          <a:spLocks noChangeArrowheads="1"/>
        </xdr:cNvSpPr>
      </xdr:nvSpPr>
      <xdr:spPr bwMode="auto">
        <a:xfrm>
          <a:off x="8010525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47625</xdr:colOff>
      <xdr:row>17</xdr:row>
      <xdr:rowOff>38100</xdr:rowOff>
    </xdr:from>
    <xdr:to>
      <xdr:col>27</xdr:col>
      <xdr:colOff>133350</xdr:colOff>
      <xdr:row>18</xdr:row>
      <xdr:rowOff>123825</xdr:rowOff>
    </xdr:to>
    <xdr:sp macro="" textlink="">
      <xdr:nvSpPr>
        <xdr:cNvPr id="16342" name="Rectangle 386"/>
        <xdr:cNvSpPr>
          <a:spLocks noChangeArrowheads="1"/>
        </xdr:cNvSpPr>
      </xdr:nvSpPr>
      <xdr:spPr bwMode="auto">
        <a:xfrm>
          <a:off x="8896350" y="45624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28575</xdr:colOff>
      <xdr:row>17</xdr:row>
      <xdr:rowOff>57150</xdr:rowOff>
    </xdr:from>
    <xdr:to>
      <xdr:col>16</xdr:col>
      <xdr:colOff>114300</xdr:colOff>
      <xdr:row>18</xdr:row>
      <xdr:rowOff>142875</xdr:rowOff>
    </xdr:to>
    <xdr:sp macro="" textlink="">
      <xdr:nvSpPr>
        <xdr:cNvPr id="16343" name="Rectangle 387"/>
        <xdr:cNvSpPr>
          <a:spLocks noChangeArrowheads="1"/>
        </xdr:cNvSpPr>
      </xdr:nvSpPr>
      <xdr:spPr bwMode="auto">
        <a:xfrm>
          <a:off x="7096125" y="458152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133350</xdr:colOff>
      <xdr:row>41</xdr:row>
      <xdr:rowOff>104775</xdr:rowOff>
    </xdr:from>
    <xdr:to>
      <xdr:col>6</xdr:col>
      <xdr:colOff>676275</xdr:colOff>
      <xdr:row>44</xdr:row>
      <xdr:rowOff>57150</xdr:rowOff>
    </xdr:to>
    <xdr:sp macro="" textlink="">
      <xdr:nvSpPr>
        <xdr:cNvPr id="16344" name="Rectangle 388"/>
        <xdr:cNvSpPr>
          <a:spLocks noChangeArrowheads="1"/>
        </xdr:cNvSpPr>
      </xdr:nvSpPr>
      <xdr:spPr bwMode="auto">
        <a:xfrm>
          <a:off x="3324225" y="9020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47625</xdr:colOff>
      <xdr:row>13</xdr:row>
      <xdr:rowOff>47625</xdr:rowOff>
    </xdr:from>
    <xdr:to>
      <xdr:col>23</xdr:col>
      <xdr:colOff>114300</xdr:colOff>
      <xdr:row>15</xdr:row>
      <xdr:rowOff>180975</xdr:rowOff>
    </xdr:to>
    <xdr:sp macro="" textlink="">
      <xdr:nvSpPr>
        <xdr:cNvPr id="16345" name="Rectangle 389"/>
        <xdr:cNvSpPr>
          <a:spLocks noChangeArrowheads="1"/>
        </xdr:cNvSpPr>
      </xdr:nvSpPr>
      <xdr:spPr bwMode="auto">
        <a:xfrm>
          <a:off x="7762875" y="38576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76200</xdr:colOff>
      <xdr:row>11</xdr:row>
      <xdr:rowOff>19050</xdr:rowOff>
    </xdr:from>
    <xdr:to>
      <xdr:col>30</xdr:col>
      <xdr:colOff>104775</xdr:colOff>
      <xdr:row>12</xdr:row>
      <xdr:rowOff>66675</xdr:rowOff>
    </xdr:to>
    <xdr:sp macro="" textlink="">
      <xdr:nvSpPr>
        <xdr:cNvPr id="4487" name="Text Box 391"/>
        <xdr:cNvSpPr txBox="1">
          <a:spLocks noChangeArrowheads="1"/>
        </xdr:cNvSpPr>
      </xdr:nvSpPr>
      <xdr:spPr bwMode="auto">
        <a:xfrm>
          <a:off x="9248775" y="3371850"/>
          <a:ext cx="67627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miter lim="800000"/>
          <a:headEnd/>
          <a:tailEnd/>
        </a:ln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nl-BE" sz="1400" b="1" i="0" u="none" strike="noStrike" baseline="0">
              <a:solidFill>
                <a:srgbClr val="993300"/>
              </a:solidFill>
              <a:latin typeface="Comic Sans MS"/>
            </a:rPr>
            <a:t>TAK 4</a:t>
          </a:r>
        </a:p>
        <a:p>
          <a:pPr algn="ctr" rtl="0">
            <a:defRPr sz="1000"/>
          </a:pPr>
          <a:endParaRPr lang="nl-BE" sz="1400" b="1" i="0" u="none" strike="noStrike" baseline="0">
            <a:solidFill>
              <a:srgbClr val="993300"/>
            </a:solidFill>
            <a:latin typeface="Comic Sans MS"/>
          </a:endParaRPr>
        </a:p>
      </xdr:txBody>
    </xdr:sp>
    <xdr:clientData/>
  </xdr:twoCellAnchor>
  <xdr:twoCellAnchor>
    <xdr:from>
      <xdr:col>42</xdr:col>
      <xdr:colOff>38100</xdr:colOff>
      <xdr:row>57</xdr:row>
      <xdr:rowOff>19050</xdr:rowOff>
    </xdr:from>
    <xdr:to>
      <xdr:col>45</xdr:col>
      <xdr:colOff>123825</xdr:colOff>
      <xdr:row>58</xdr:row>
      <xdr:rowOff>200025</xdr:rowOff>
    </xdr:to>
    <xdr:sp macro="" textlink="">
      <xdr:nvSpPr>
        <xdr:cNvPr id="16347" name="Rectangle 395"/>
        <xdr:cNvSpPr>
          <a:spLocks noChangeArrowheads="1"/>
        </xdr:cNvSpPr>
      </xdr:nvSpPr>
      <xdr:spPr bwMode="auto">
        <a:xfrm>
          <a:off x="11801475" y="11839575"/>
          <a:ext cx="571500" cy="342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34</xdr:col>
      <xdr:colOff>133350</xdr:colOff>
      <xdr:row>13</xdr:row>
      <xdr:rowOff>47625</xdr:rowOff>
    </xdr:from>
    <xdr:to>
      <xdr:col>41</xdr:col>
      <xdr:colOff>38100</xdr:colOff>
      <xdr:row>15</xdr:row>
      <xdr:rowOff>180975</xdr:rowOff>
    </xdr:to>
    <xdr:sp macro="" textlink="">
      <xdr:nvSpPr>
        <xdr:cNvPr id="16348" name="Rectangle 396"/>
        <xdr:cNvSpPr>
          <a:spLocks noChangeArrowheads="1"/>
        </xdr:cNvSpPr>
      </xdr:nvSpPr>
      <xdr:spPr bwMode="auto">
        <a:xfrm>
          <a:off x="10601325" y="38576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228600</xdr:colOff>
      <xdr:row>30</xdr:row>
      <xdr:rowOff>9525</xdr:rowOff>
    </xdr:from>
    <xdr:to>
      <xdr:col>53</xdr:col>
      <xdr:colOff>419100</xdr:colOff>
      <xdr:row>32</xdr:row>
      <xdr:rowOff>142875</xdr:rowOff>
    </xdr:to>
    <xdr:sp macro="" textlink="">
      <xdr:nvSpPr>
        <xdr:cNvPr id="16349" name="Rectangle 397"/>
        <xdr:cNvSpPr>
          <a:spLocks noChangeArrowheads="1"/>
        </xdr:cNvSpPr>
      </xdr:nvSpPr>
      <xdr:spPr bwMode="auto">
        <a:xfrm>
          <a:off x="15268575" y="7115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52</xdr:col>
      <xdr:colOff>228600</xdr:colOff>
      <xdr:row>41</xdr:row>
      <xdr:rowOff>114300</xdr:rowOff>
    </xdr:from>
    <xdr:to>
      <xdr:col>53</xdr:col>
      <xdr:colOff>419100</xdr:colOff>
      <xdr:row>44</xdr:row>
      <xdr:rowOff>66675</xdr:rowOff>
    </xdr:to>
    <xdr:sp macro="" textlink="">
      <xdr:nvSpPr>
        <xdr:cNvPr id="16350" name="Rectangle 398"/>
        <xdr:cNvSpPr>
          <a:spLocks noChangeArrowheads="1"/>
        </xdr:cNvSpPr>
      </xdr:nvSpPr>
      <xdr:spPr bwMode="auto">
        <a:xfrm>
          <a:off x="15268575" y="9029700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59</xdr:row>
      <xdr:rowOff>209550</xdr:rowOff>
    </xdr:from>
    <xdr:to>
      <xdr:col>23</xdr:col>
      <xdr:colOff>104775</xdr:colOff>
      <xdr:row>62</xdr:row>
      <xdr:rowOff>28575</xdr:rowOff>
    </xdr:to>
    <xdr:sp macro="" textlink="">
      <xdr:nvSpPr>
        <xdr:cNvPr id="16351" name="Rectangle 399"/>
        <xdr:cNvSpPr>
          <a:spLocks noChangeArrowheads="1"/>
        </xdr:cNvSpPr>
      </xdr:nvSpPr>
      <xdr:spPr bwMode="auto">
        <a:xfrm>
          <a:off x="7753350" y="1243012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152400</xdr:colOff>
      <xdr:row>30</xdr:row>
      <xdr:rowOff>9525</xdr:rowOff>
    </xdr:from>
    <xdr:to>
      <xdr:col>6</xdr:col>
      <xdr:colOff>695325</xdr:colOff>
      <xdr:row>32</xdr:row>
      <xdr:rowOff>142875</xdr:rowOff>
    </xdr:to>
    <xdr:sp macro="" textlink="">
      <xdr:nvSpPr>
        <xdr:cNvPr id="16352" name="Rectangle 400"/>
        <xdr:cNvSpPr>
          <a:spLocks noChangeArrowheads="1"/>
        </xdr:cNvSpPr>
      </xdr:nvSpPr>
      <xdr:spPr bwMode="auto">
        <a:xfrm>
          <a:off x="3343275" y="7115175"/>
          <a:ext cx="1038225" cy="4572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99CC00" mc:Ignorable="a14" a14:legacySpreadsheetColorIndex="5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104775</xdr:rowOff>
    </xdr:from>
    <xdr:to>
      <xdr:col>3</xdr:col>
      <xdr:colOff>257175</xdr:colOff>
      <xdr:row>1</xdr:row>
      <xdr:rowOff>514350</xdr:rowOff>
    </xdr:to>
    <xdr:pic>
      <xdr:nvPicPr>
        <xdr:cNvPr id="3123" name="Picture 3" descr="MOW_AWV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4775"/>
          <a:ext cx="12287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40"/>
  <sheetViews>
    <sheetView tabSelected="1" zoomScale="70" zoomScaleNormal="70" zoomScaleSheetLayoutView="75" workbookViewId="0">
      <selection sqref="A1:R1"/>
    </sheetView>
  </sheetViews>
  <sheetFormatPr defaultRowHeight="12.75" x14ac:dyDescent="0.2"/>
  <cols>
    <col min="1" max="1" width="10.7109375" style="473" customWidth="1"/>
    <col min="2" max="4" width="5.7109375" style="473" customWidth="1"/>
    <col min="5" max="5" width="10.7109375" style="473" customWidth="1"/>
    <col min="6" max="8" width="12" style="473" customWidth="1"/>
    <col min="9" max="9" width="13.7109375" style="473" customWidth="1"/>
    <col min="10" max="17" width="12" style="473" customWidth="1"/>
    <col min="18" max="18" width="29.5703125" style="473" customWidth="1"/>
    <col min="19" max="19" width="12.28515625" style="473" customWidth="1"/>
    <col min="20" max="16384" width="9.140625" style="473"/>
  </cols>
  <sheetData>
    <row r="1" spans="1:19" ht="37.5" customHeight="1" x14ac:dyDescent="0.4">
      <c r="A1" s="667" t="s">
        <v>55</v>
      </c>
      <c r="B1" s="668"/>
      <c r="C1" s="668"/>
      <c r="D1" s="668"/>
      <c r="E1" s="668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70"/>
      <c r="S1" s="472"/>
    </row>
    <row r="2" spans="1:19" ht="52.5" customHeight="1" thickBot="1" x14ac:dyDescent="0.25">
      <c r="A2" s="671" t="s">
        <v>27</v>
      </c>
      <c r="B2" s="672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4"/>
      <c r="S2" s="474"/>
    </row>
    <row r="3" spans="1:19" ht="22.5" x14ac:dyDescent="0.45">
      <c r="A3" s="720" t="s">
        <v>0</v>
      </c>
      <c r="B3" s="721"/>
      <c r="C3" s="721"/>
      <c r="D3" s="722"/>
      <c r="E3" s="681" t="s">
        <v>23</v>
      </c>
      <c r="F3" s="682"/>
      <c r="G3" s="682"/>
      <c r="H3" s="683"/>
      <c r="I3" s="494" t="s">
        <v>5</v>
      </c>
      <c r="J3" s="713" t="s">
        <v>86</v>
      </c>
      <c r="K3" s="714"/>
      <c r="L3" s="714"/>
      <c r="M3" s="715"/>
      <c r="N3" s="494" t="s">
        <v>13</v>
      </c>
      <c r="O3" s="498"/>
      <c r="P3" s="723">
        <v>43207</v>
      </c>
      <c r="Q3" s="724"/>
      <c r="R3" s="725"/>
    </row>
    <row r="4" spans="1:19" ht="22.5" x14ac:dyDescent="0.45">
      <c r="A4" s="702" t="s">
        <v>1</v>
      </c>
      <c r="B4" s="703"/>
      <c r="C4" s="703"/>
      <c r="D4" s="704"/>
      <c r="E4" s="684" t="s">
        <v>23</v>
      </c>
      <c r="F4" s="685"/>
      <c r="G4" s="685"/>
      <c r="H4" s="686"/>
      <c r="I4" s="495"/>
      <c r="J4" s="688"/>
      <c r="K4" s="688"/>
      <c r="L4" s="688"/>
      <c r="M4" s="689"/>
      <c r="N4" s="494" t="s">
        <v>22</v>
      </c>
      <c r="O4" s="490"/>
      <c r="P4" s="684" t="s">
        <v>23</v>
      </c>
      <c r="Q4" s="726"/>
      <c r="R4" s="727"/>
    </row>
    <row r="5" spans="1:19" ht="22.5" x14ac:dyDescent="0.45">
      <c r="A5" s="702" t="s">
        <v>6</v>
      </c>
      <c r="B5" s="703"/>
      <c r="C5" s="703"/>
      <c r="D5" s="704"/>
      <c r="E5" s="684" t="s">
        <v>84</v>
      </c>
      <c r="F5" s="685"/>
      <c r="G5" s="685"/>
      <c r="H5" s="686"/>
      <c r="I5" s="494" t="s">
        <v>7</v>
      </c>
      <c r="J5" s="684" t="s">
        <v>87</v>
      </c>
      <c r="K5" s="692"/>
      <c r="L5" s="692"/>
      <c r="M5" s="693"/>
      <c r="N5" s="494" t="s">
        <v>57</v>
      </c>
      <c r="O5" s="490"/>
      <c r="P5" s="684" t="s">
        <v>82</v>
      </c>
      <c r="Q5" s="726"/>
      <c r="R5" s="727"/>
    </row>
    <row r="6" spans="1:19" ht="22.5" x14ac:dyDescent="0.45">
      <c r="A6" s="702" t="s">
        <v>3</v>
      </c>
      <c r="B6" s="703"/>
      <c r="C6" s="703"/>
      <c r="D6" s="704"/>
      <c r="E6" s="684" t="s">
        <v>85</v>
      </c>
      <c r="F6" s="685"/>
      <c r="G6" s="685"/>
      <c r="H6" s="686"/>
      <c r="I6" s="494" t="s">
        <v>8</v>
      </c>
      <c r="J6" s="694" t="s">
        <v>90</v>
      </c>
      <c r="K6" s="692"/>
      <c r="L6" s="692"/>
      <c r="M6" s="693"/>
      <c r="N6" s="494" t="s">
        <v>56</v>
      </c>
      <c r="O6" s="499"/>
      <c r="P6" s="728" t="s">
        <v>91</v>
      </c>
      <c r="Q6" s="726"/>
      <c r="R6" s="727"/>
    </row>
    <row r="7" spans="1:19" ht="22.5" customHeight="1" x14ac:dyDescent="0.45">
      <c r="A7" s="702" t="s">
        <v>4</v>
      </c>
      <c r="B7" s="703"/>
      <c r="C7" s="703"/>
      <c r="D7" s="709"/>
      <c r="E7" s="687" t="s">
        <v>85</v>
      </c>
      <c r="F7" s="688"/>
      <c r="G7" s="688"/>
      <c r="H7" s="689"/>
      <c r="I7" s="496" t="s">
        <v>9</v>
      </c>
      <c r="J7" s="684" t="s">
        <v>88</v>
      </c>
      <c r="K7" s="692"/>
      <c r="L7" s="692"/>
      <c r="M7" s="693"/>
      <c r="N7" s="500" t="s">
        <v>12</v>
      </c>
      <c r="O7" s="499"/>
      <c r="P7" s="716" t="s">
        <v>83</v>
      </c>
      <c r="Q7" s="716"/>
      <c r="R7" s="717"/>
    </row>
    <row r="8" spans="1:19" ht="22.5" customHeight="1" thickBot="1" x14ac:dyDescent="0.5">
      <c r="A8" s="491"/>
      <c r="B8" s="492"/>
      <c r="C8" s="492"/>
      <c r="D8" s="492"/>
      <c r="E8" s="690"/>
      <c r="F8" s="690"/>
      <c r="G8" s="690"/>
      <c r="H8" s="691"/>
      <c r="I8" s="497" t="s">
        <v>10</v>
      </c>
      <c r="J8" s="706" t="s">
        <v>89</v>
      </c>
      <c r="K8" s="707"/>
      <c r="L8" s="707"/>
      <c r="M8" s="708"/>
      <c r="N8" s="501"/>
      <c r="O8" s="502"/>
      <c r="P8" s="718"/>
      <c r="Q8" s="718"/>
      <c r="R8" s="719"/>
    </row>
    <row r="9" spans="1:19" ht="17.25" customHeight="1" thickBot="1" x14ac:dyDescent="0.4">
      <c r="A9" s="614"/>
      <c r="B9" s="614"/>
      <c r="C9" s="614"/>
      <c r="D9" s="614"/>
      <c r="E9" s="614"/>
      <c r="F9" s="493"/>
      <c r="G9" s="615"/>
      <c r="H9" s="615"/>
      <c r="I9" s="616"/>
      <c r="J9" s="617"/>
      <c r="K9" s="617"/>
      <c r="L9" s="617"/>
      <c r="M9" s="615"/>
      <c r="N9" s="616"/>
      <c r="O9" s="618"/>
      <c r="P9" s="615"/>
      <c r="Q9" s="615"/>
      <c r="R9" s="619"/>
    </row>
    <row r="10" spans="1:19" ht="22.5" customHeight="1" x14ac:dyDescent="0.4">
      <c r="A10" s="503" t="s">
        <v>25</v>
      </c>
      <c r="B10" s="705">
        <v>0.29166666666666669</v>
      </c>
      <c r="C10" s="705"/>
      <c r="D10" s="504" t="s">
        <v>26</v>
      </c>
      <c r="E10" s="505">
        <f>D20</f>
        <v>0.37500000000000017</v>
      </c>
      <c r="F10" s="695" t="s">
        <v>14</v>
      </c>
      <c r="G10" s="696"/>
      <c r="H10" s="697"/>
      <c r="I10" s="679" t="s">
        <v>15</v>
      </c>
      <c r="J10" s="675"/>
      <c r="K10" s="680"/>
      <c r="L10" s="679" t="s">
        <v>16</v>
      </c>
      <c r="M10" s="675"/>
      <c r="N10" s="680"/>
      <c r="O10" s="675" t="s">
        <v>17</v>
      </c>
      <c r="P10" s="675"/>
      <c r="Q10" s="675"/>
      <c r="R10" s="676" t="s">
        <v>21</v>
      </c>
    </row>
    <row r="11" spans="1:19" ht="30" customHeight="1" x14ac:dyDescent="0.45">
      <c r="A11" s="698" t="s">
        <v>38</v>
      </c>
      <c r="B11" s="699"/>
      <c r="C11" s="699"/>
      <c r="D11" s="699" t="str">
        <f>C39</f>
        <v>Ochtend</v>
      </c>
      <c r="E11" s="700"/>
      <c r="F11" s="523" t="s">
        <v>62</v>
      </c>
      <c r="G11" s="524" t="s">
        <v>65</v>
      </c>
      <c r="H11" s="525" t="s">
        <v>64</v>
      </c>
      <c r="I11" s="523"/>
      <c r="J11" s="524" t="s">
        <v>63</v>
      </c>
      <c r="K11" s="525" t="s">
        <v>67</v>
      </c>
      <c r="L11" s="523"/>
      <c r="M11" s="524"/>
      <c r="N11" s="525"/>
      <c r="O11" s="526">
        <v>9</v>
      </c>
      <c r="P11" s="524" t="s">
        <v>71</v>
      </c>
      <c r="Q11" s="527"/>
      <c r="R11" s="677"/>
    </row>
    <row r="12" spans="1:19" ht="20.25" thickBot="1" x14ac:dyDescent="0.45">
      <c r="A12" s="642"/>
      <c r="B12" s="643"/>
      <c r="C12" s="643"/>
      <c r="D12" s="643"/>
      <c r="E12" s="701"/>
      <c r="F12" s="528" t="s">
        <v>18</v>
      </c>
      <c r="G12" s="529" t="s">
        <v>19</v>
      </c>
      <c r="H12" s="530" t="s">
        <v>20</v>
      </c>
      <c r="I12" s="531"/>
      <c r="J12" s="529" t="s">
        <v>19</v>
      </c>
      <c r="K12" s="530" t="s">
        <v>20</v>
      </c>
      <c r="L12" s="528"/>
      <c r="M12" s="529"/>
      <c r="N12" s="530"/>
      <c r="O12" s="532" t="s">
        <v>18</v>
      </c>
      <c r="P12" s="529" t="s">
        <v>19</v>
      </c>
      <c r="Q12" s="533"/>
      <c r="R12" s="678"/>
    </row>
    <row r="13" spans="1:19" ht="19.5" x14ac:dyDescent="0.4">
      <c r="A13" s="666">
        <f>B10</f>
        <v>0.29166666666666669</v>
      </c>
      <c r="B13" s="664"/>
      <c r="C13" s="506" t="s">
        <v>23</v>
      </c>
      <c r="D13" s="664">
        <f t="shared" ref="D13:D20" si="0">A13+TIME(0,15,0)</f>
        <v>0.30208333333333337</v>
      </c>
      <c r="E13" s="665"/>
      <c r="F13" s="476">
        <v>37</v>
      </c>
      <c r="G13" s="477">
        <v>0</v>
      </c>
      <c r="H13" s="478">
        <v>51</v>
      </c>
      <c r="I13" s="479"/>
      <c r="J13" s="477">
        <v>175</v>
      </c>
      <c r="K13" s="478">
        <v>59</v>
      </c>
      <c r="L13" s="479"/>
      <c r="M13" s="477"/>
      <c r="N13" s="478"/>
      <c r="O13" s="479">
        <v>29</v>
      </c>
      <c r="P13" s="477">
        <v>114</v>
      </c>
      <c r="Q13" s="478"/>
      <c r="R13" s="518">
        <f t="shared" ref="R13:R20" si="1">SUM(F13:Q13)</f>
        <v>465</v>
      </c>
    </row>
    <row r="14" spans="1:19" ht="19.5" x14ac:dyDescent="0.4">
      <c r="A14" s="647">
        <f t="shared" ref="A14:A20" si="2">D13</f>
        <v>0.30208333333333337</v>
      </c>
      <c r="B14" s="638"/>
      <c r="C14" s="507" t="s">
        <v>23</v>
      </c>
      <c r="D14" s="638">
        <f t="shared" si="0"/>
        <v>0.31250000000000006</v>
      </c>
      <c r="E14" s="639"/>
      <c r="F14" s="480">
        <v>39</v>
      </c>
      <c r="G14" s="481">
        <v>0</v>
      </c>
      <c r="H14" s="482">
        <v>57</v>
      </c>
      <c r="I14" s="483"/>
      <c r="J14" s="481">
        <v>186</v>
      </c>
      <c r="K14" s="482">
        <v>73</v>
      </c>
      <c r="L14" s="483"/>
      <c r="M14" s="481"/>
      <c r="N14" s="482"/>
      <c r="O14" s="483">
        <v>32</v>
      </c>
      <c r="P14" s="481">
        <v>164</v>
      </c>
      <c r="Q14" s="482"/>
      <c r="R14" s="519">
        <f t="shared" si="1"/>
        <v>551</v>
      </c>
    </row>
    <row r="15" spans="1:19" ht="19.5" x14ac:dyDescent="0.4">
      <c r="A15" s="647">
        <f t="shared" si="2"/>
        <v>0.31250000000000006</v>
      </c>
      <c r="B15" s="638"/>
      <c r="C15" s="507" t="s">
        <v>23</v>
      </c>
      <c r="D15" s="638">
        <f t="shared" si="0"/>
        <v>0.32291666666666674</v>
      </c>
      <c r="E15" s="639"/>
      <c r="F15" s="480">
        <v>57</v>
      </c>
      <c r="G15" s="481">
        <v>0</v>
      </c>
      <c r="H15" s="482">
        <v>59</v>
      </c>
      <c r="I15" s="483"/>
      <c r="J15" s="481">
        <v>199</v>
      </c>
      <c r="K15" s="482">
        <v>93</v>
      </c>
      <c r="L15" s="483"/>
      <c r="M15" s="481"/>
      <c r="N15" s="482"/>
      <c r="O15" s="483">
        <v>32</v>
      </c>
      <c r="P15" s="481">
        <v>268</v>
      </c>
      <c r="Q15" s="482"/>
      <c r="R15" s="520">
        <f t="shared" si="1"/>
        <v>708</v>
      </c>
    </row>
    <row r="16" spans="1:19" ht="19.5" x14ac:dyDescent="0.4">
      <c r="A16" s="647">
        <f t="shared" si="2"/>
        <v>0.32291666666666674</v>
      </c>
      <c r="B16" s="638"/>
      <c r="C16" s="507" t="s">
        <v>23</v>
      </c>
      <c r="D16" s="638">
        <f t="shared" si="0"/>
        <v>0.33333333333333343</v>
      </c>
      <c r="E16" s="639"/>
      <c r="F16" s="480">
        <v>48</v>
      </c>
      <c r="G16" s="481">
        <v>0</v>
      </c>
      <c r="H16" s="482">
        <v>100</v>
      </c>
      <c r="I16" s="483"/>
      <c r="J16" s="481">
        <v>177</v>
      </c>
      <c r="K16" s="482">
        <v>97</v>
      </c>
      <c r="L16" s="483"/>
      <c r="M16" s="481"/>
      <c r="N16" s="482"/>
      <c r="O16" s="483">
        <v>34</v>
      </c>
      <c r="P16" s="481">
        <v>238</v>
      </c>
      <c r="Q16" s="482"/>
      <c r="R16" s="519">
        <f t="shared" si="1"/>
        <v>694</v>
      </c>
    </row>
    <row r="17" spans="1:18" ht="19.5" x14ac:dyDescent="0.4">
      <c r="A17" s="647">
        <f t="shared" si="2"/>
        <v>0.33333333333333343</v>
      </c>
      <c r="B17" s="638"/>
      <c r="C17" s="507" t="s">
        <v>23</v>
      </c>
      <c r="D17" s="638">
        <f t="shared" si="0"/>
        <v>0.34375000000000011</v>
      </c>
      <c r="E17" s="639"/>
      <c r="F17" s="480">
        <v>60</v>
      </c>
      <c r="G17" s="481">
        <v>0</v>
      </c>
      <c r="H17" s="482">
        <v>101</v>
      </c>
      <c r="I17" s="483"/>
      <c r="J17" s="481">
        <v>202</v>
      </c>
      <c r="K17" s="482">
        <v>104</v>
      </c>
      <c r="L17" s="483"/>
      <c r="M17" s="481"/>
      <c r="N17" s="482"/>
      <c r="O17" s="483">
        <v>27</v>
      </c>
      <c r="P17" s="481">
        <v>265</v>
      </c>
      <c r="Q17" s="482"/>
      <c r="R17" s="519">
        <f t="shared" si="1"/>
        <v>759</v>
      </c>
    </row>
    <row r="18" spans="1:18" ht="19.5" customHeight="1" x14ac:dyDescent="0.4">
      <c r="A18" s="647">
        <f t="shared" si="2"/>
        <v>0.34375000000000011</v>
      </c>
      <c r="B18" s="638"/>
      <c r="C18" s="507" t="s">
        <v>23</v>
      </c>
      <c r="D18" s="638">
        <f t="shared" si="0"/>
        <v>0.3541666666666668</v>
      </c>
      <c r="E18" s="639"/>
      <c r="F18" s="480">
        <v>72</v>
      </c>
      <c r="G18" s="481">
        <v>1</v>
      </c>
      <c r="H18" s="482">
        <v>111</v>
      </c>
      <c r="I18" s="483"/>
      <c r="J18" s="481">
        <v>186</v>
      </c>
      <c r="K18" s="482">
        <v>96</v>
      </c>
      <c r="L18" s="483"/>
      <c r="M18" s="481"/>
      <c r="N18" s="482"/>
      <c r="O18" s="483">
        <v>44</v>
      </c>
      <c r="P18" s="481">
        <v>315</v>
      </c>
      <c r="Q18" s="482"/>
      <c r="R18" s="519">
        <f t="shared" si="1"/>
        <v>825</v>
      </c>
    </row>
    <row r="19" spans="1:18" ht="19.5" x14ac:dyDescent="0.4">
      <c r="A19" s="647">
        <f t="shared" si="2"/>
        <v>0.3541666666666668</v>
      </c>
      <c r="B19" s="638"/>
      <c r="C19" s="507" t="s">
        <v>23</v>
      </c>
      <c r="D19" s="638">
        <f t="shared" si="0"/>
        <v>0.36458333333333348</v>
      </c>
      <c r="E19" s="639"/>
      <c r="F19" s="480">
        <v>57</v>
      </c>
      <c r="G19" s="481">
        <v>0</v>
      </c>
      <c r="H19" s="482">
        <v>110</v>
      </c>
      <c r="I19" s="483"/>
      <c r="J19" s="481">
        <v>197</v>
      </c>
      <c r="K19" s="482">
        <v>72</v>
      </c>
      <c r="L19" s="483"/>
      <c r="M19" s="481"/>
      <c r="N19" s="482"/>
      <c r="O19" s="483">
        <v>31</v>
      </c>
      <c r="P19" s="481">
        <v>281</v>
      </c>
      <c r="Q19" s="482"/>
      <c r="R19" s="521">
        <f t="shared" si="1"/>
        <v>748</v>
      </c>
    </row>
    <row r="20" spans="1:18" ht="20.25" thickBot="1" x14ac:dyDescent="0.45">
      <c r="A20" s="648">
        <f t="shared" si="2"/>
        <v>0.36458333333333348</v>
      </c>
      <c r="B20" s="640"/>
      <c r="C20" s="508" t="s">
        <v>23</v>
      </c>
      <c r="D20" s="640">
        <f t="shared" si="0"/>
        <v>0.37500000000000017</v>
      </c>
      <c r="E20" s="641"/>
      <c r="F20" s="484">
        <v>67</v>
      </c>
      <c r="G20" s="485">
        <v>0</v>
      </c>
      <c r="H20" s="486">
        <v>110</v>
      </c>
      <c r="I20" s="487"/>
      <c r="J20" s="485">
        <v>205</v>
      </c>
      <c r="K20" s="486">
        <v>72</v>
      </c>
      <c r="L20" s="487"/>
      <c r="M20" s="485"/>
      <c r="N20" s="486"/>
      <c r="O20" s="487">
        <v>30</v>
      </c>
      <c r="P20" s="485">
        <v>267</v>
      </c>
      <c r="Q20" s="486"/>
      <c r="R20" s="522">
        <f t="shared" si="1"/>
        <v>751</v>
      </c>
    </row>
    <row r="21" spans="1:18" ht="19.5" customHeight="1" thickBot="1" x14ac:dyDescent="0.45">
      <c r="A21" s="642" t="s">
        <v>21</v>
      </c>
      <c r="B21" s="643"/>
      <c r="C21" s="644"/>
      <c r="D21" s="644"/>
      <c r="E21" s="645"/>
      <c r="F21" s="509">
        <f t="shared" ref="F21:P21" si="3">SUM(F13:F20)</f>
        <v>437</v>
      </c>
      <c r="G21" s="510">
        <f t="shared" si="3"/>
        <v>1</v>
      </c>
      <c r="H21" s="511">
        <f t="shared" si="3"/>
        <v>699</v>
      </c>
      <c r="I21" s="509"/>
      <c r="J21" s="510">
        <f t="shared" si="3"/>
        <v>1527</v>
      </c>
      <c r="K21" s="511">
        <f t="shared" si="3"/>
        <v>666</v>
      </c>
      <c r="L21" s="509"/>
      <c r="M21" s="510"/>
      <c r="N21" s="511"/>
      <c r="O21" s="509">
        <f t="shared" si="3"/>
        <v>259</v>
      </c>
      <c r="P21" s="510">
        <f t="shared" si="3"/>
        <v>1912</v>
      </c>
      <c r="Q21" s="511"/>
      <c r="R21" s="512">
        <f xml:space="preserve"> SUM(R13:R20)</f>
        <v>5501</v>
      </c>
    </row>
    <row r="22" spans="1:18" ht="20.25" thickBot="1" x14ac:dyDescent="0.45">
      <c r="A22" s="620"/>
      <c r="B22" s="620"/>
      <c r="C22" s="620"/>
      <c r="D22" s="620"/>
      <c r="E22" s="620"/>
      <c r="F22" s="513"/>
      <c r="G22" s="514">
        <f xml:space="preserve"> SUM(F21:H21)</f>
        <v>1137</v>
      </c>
      <c r="H22" s="515"/>
      <c r="I22" s="516"/>
      <c r="J22" s="514">
        <f>SUM(I21:K21)</f>
        <v>2193</v>
      </c>
      <c r="K22" s="515"/>
      <c r="L22" s="516"/>
      <c r="M22" s="514">
        <f>SUM(L21:N21)</f>
        <v>0</v>
      </c>
      <c r="N22" s="515"/>
      <c r="O22" s="516"/>
      <c r="P22" s="514">
        <f>SUM(O21:Q21)</f>
        <v>2171</v>
      </c>
      <c r="Q22" s="517"/>
      <c r="R22" s="504"/>
    </row>
    <row r="23" spans="1:18" ht="20.25" thickBot="1" x14ac:dyDescent="0.45">
      <c r="A23" s="620"/>
      <c r="B23" s="620"/>
      <c r="C23" s="620"/>
      <c r="D23" s="620"/>
      <c r="E23" s="620"/>
      <c r="F23" s="621"/>
      <c r="G23" s="622"/>
      <c r="H23" s="621"/>
      <c r="I23" s="621"/>
      <c r="J23" s="622"/>
      <c r="K23" s="621"/>
      <c r="L23" s="621"/>
      <c r="M23" s="622"/>
      <c r="N23" s="621"/>
      <c r="O23" s="621"/>
      <c r="P23" s="622"/>
      <c r="Q23" s="621"/>
      <c r="R23" s="623"/>
    </row>
    <row r="24" spans="1:18" ht="22.5" x14ac:dyDescent="0.4">
      <c r="A24" s="503" t="s">
        <v>25</v>
      </c>
      <c r="B24" s="646">
        <v>0.66666666666666663</v>
      </c>
      <c r="C24" s="646"/>
      <c r="D24" s="504" t="s">
        <v>26</v>
      </c>
      <c r="E24" s="534">
        <f>D34</f>
        <v>0.74999999999999967</v>
      </c>
      <c r="F24" s="695" t="s">
        <v>14</v>
      </c>
      <c r="G24" s="696"/>
      <c r="H24" s="697"/>
      <c r="I24" s="679" t="s">
        <v>15</v>
      </c>
      <c r="J24" s="675"/>
      <c r="K24" s="680"/>
      <c r="L24" s="679" t="s">
        <v>16</v>
      </c>
      <c r="M24" s="675"/>
      <c r="N24" s="680"/>
      <c r="O24" s="675" t="s">
        <v>17</v>
      </c>
      <c r="P24" s="675"/>
      <c r="Q24" s="675"/>
      <c r="R24" s="710" t="s">
        <v>21</v>
      </c>
    </row>
    <row r="25" spans="1:18" ht="30" customHeight="1" x14ac:dyDescent="0.45">
      <c r="A25" s="657" t="s">
        <v>39</v>
      </c>
      <c r="B25" s="658"/>
      <c r="C25" s="658"/>
      <c r="D25" s="661" t="str">
        <f>C40</f>
        <v>Avond</v>
      </c>
      <c r="E25" s="662"/>
      <c r="F25" s="547" t="str">
        <f t="shared" ref="F25:P25" si="4">F11</f>
        <v>=</v>
      </c>
      <c r="G25" s="524" t="str">
        <f t="shared" si="4"/>
        <v>"</v>
      </c>
      <c r="H25" s="525" t="str">
        <f t="shared" si="4"/>
        <v>?</v>
      </c>
      <c r="I25" s="523"/>
      <c r="J25" s="524" t="str">
        <f t="shared" si="4"/>
        <v>#</v>
      </c>
      <c r="K25" s="525" t="str">
        <f t="shared" si="4"/>
        <v>;</v>
      </c>
      <c r="L25" s="523"/>
      <c r="M25" s="524"/>
      <c r="N25" s="525"/>
      <c r="O25" s="526">
        <f t="shared" si="4"/>
        <v>9</v>
      </c>
      <c r="P25" s="524" t="str">
        <f t="shared" si="4"/>
        <v>$</v>
      </c>
      <c r="Q25" s="527"/>
      <c r="R25" s="711"/>
    </row>
    <row r="26" spans="1:18" ht="20.25" thickBot="1" x14ac:dyDescent="0.45">
      <c r="A26" s="659"/>
      <c r="B26" s="660"/>
      <c r="C26" s="660"/>
      <c r="D26" s="650"/>
      <c r="E26" s="663"/>
      <c r="F26" s="528" t="s">
        <v>18</v>
      </c>
      <c r="G26" s="529" t="s">
        <v>19</v>
      </c>
      <c r="H26" s="530" t="s">
        <v>20</v>
      </c>
      <c r="I26" s="531"/>
      <c r="J26" s="529" t="s">
        <v>19</v>
      </c>
      <c r="K26" s="530" t="s">
        <v>20</v>
      </c>
      <c r="L26" s="528"/>
      <c r="M26" s="529"/>
      <c r="N26" s="530"/>
      <c r="O26" s="532" t="s">
        <v>18</v>
      </c>
      <c r="P26" s="529" t="s">
        <v>19</v>
      </c>
      <c r="Q26" s="533"/>
      <c r="R26" s="712"/>
    </row>
    <row r="27" spans="1:18" ht="19.5" x14ac:dyDescent="0.4">
      <c r="A27" s="655">
        <f>B24</f>
        <v>0.66666666666666663</v>
      </c>
      <c r="B27" s="656"/>
      <c r="C27" s="535" t="s">
        <v>23</v>
      </c>
      <c r="D27" s="656">
        <f t="shared" ref="D27:D34" si="5">A27+TIME(0,15,0)</f>
        <v>0.67708333333333326</v>
      </c>
      <c r="E27" s="656"/>
      <c r="F27" s="476">
        <v>36</v>
      </c>
      <c r="G27" s="477">
        <v>2</v>
      </c>
      <c r="H27" s="478">
        <v>19</v>
      </c>
      <c r="I27" s="479"/>
      <c r="J27" s="477">
        <v>251</v>
      </c>
      <c r="K27" s="478">
        <v>143</v>
      </c>
      <c r="L27" s="479"/>
      <c r="M27" s="477"/>
      <c r="N27" s="478"/>
      <c r="O27" s="479">
        <v>55</v>
      </c>
      <c r="P27" s="477">
        <v>144</v>
      </c>
      <c r="Q27" s="478"/>
      <c r="R27" s="542">
        <f t="shared" ref="R27:R34" si="6">SUM(F27:Q27)</f>
        <v>650</v>
      </c>
    </row>
    <row r="28" spans="1:18" ht="19.5" x14ac:dyDescent="0.4">
      <c r="A28" s="653">
        <f t="shared" ref="A28:A34" si="7">D27</f>
        <v>0.67708333333333326</v>
      </c>
      <c r="B28" s="629"/>
      <c r="C28" s="536" t="s">
        <v>23</v>
      </c>
      <c r="D28" s="629">
        <f t="shared" si="5"/>
        <v>0.68749999999999989</v>
      </c>
      <c r="E28" s="629"/>
      <c r="F28" s="480">
        <v>28</v>
      </c>
      <c r="G28" s="481">
        <v>1</v>
      </c>
      <c r="H28" s="482">
        <v>26</v>
      </c>
      <c r="I28" s="483"/>
      <c r="J28" s="481">
        <v>225</v>
      </c>
      <c r="K28" s="482">
        <v>150</v>
      </c>
      <c r="L28" s="483"/>
      <c r="M28" s="481"/>
      <c r="N28" s="482"/>
      <c r="O28" s="483">
        <v>64</v>
      </c>
      <c r="P28" s="481">
        <v>109</v>
      </c>
      <c r="Q28" s="482"/>
      <c r="R28" s="543">
        <f t="shared" si="6"/>
        <v>603</v>
      </c>
    </row>
    <row r="29" spans="1:18" ht="19.5" x14ac:dyDescent="0.4">
      <c r="A29" s="653">
        <f t="shared" si="7"/>
        <v>0.68749999999999989</v>
      </c>
      <c r="B29" s="629"/>
      <c r="C29" s="536" t="s">
        <v>23</v>
      </c>
      <c r="D29" s="629">
        <f t="shared" si="5"/>
        <v>0.69791666666666652</v>
      </c>
      <c r="E29" s="629"/>
      <c r="F29" s="480">
        <v>21</v>
      </c>
      <c r="G29" s="481">
        <v>3</v>
      </c>
      <c r="H29" s="482">
        <v>22</v>
      </c>
      <c r="I29" s="483"/>
      <c r="J29" s="481">
        <v>226</v>
      </c>
      <c r="K29" s="482">
        <v>143</v>
      </c>
      <c r="L29" s="483"/>
      <c r="M29" s="481"/>
      <c r="N29" s="482"/>
      <c r="O29" s="483">
        <v>65</v>
      </c>
      <c r="P29" s="481">
        <v>170</v>
      </c>
      <c r="Q29" s="482"/>
      <c r="R29" s="544">
        <f t="shared" si="6"/>
        <v>650</v>
      </c>
    </row>
    <row r="30" spans="1:18" ht="19.5" x14ac:dyDescent="0.4">
      <c r="A30" s="653">
        <f t="shared" si="7"/>
        <v>0.69791666666666652</v>
      </c>
      <c r="B30" s="629"/>
      <c r="C30" s="536" t="s">
        <v>23</v>
      </c>
      <c r="D30" s="629">
        <f t="shared" si="5"/>
        <v>0.70833333333333315</v>
      </c>
      <c r="E30" s="629"/>
      <c r="F30" s="480">
        <v>31</v>
      </c>
      <c r="G30" s="481">
        <v>4</v>
      </c>
      <c r="H30" s="482">
        <v>27</v>
      </c>
      <c r="I30" s="483"/>
      <c r="J30" s="481">
        <v>254</v>
      </c>
      <c r="K30" s="482">
        <v>153</v>
      </c>
      <c r="L30" s="483"/>
      <c r="M30" s="481"/>
      <c r="N30" s="482"/>
      <c r="O30" s="483">
        <v>54</v>
      </c>
      <c r="P30" s="481">
        <v>151</v>
      </c>
      <c r="Q30" s="482"/>
      <c r="R30" s="543">
        <f t="shared" si="6"/>
        <v>674</v>
      </c>
    </row>
    <row r="31" spans="1:18" ht="19.5" x14ac:dyDescent="0.4">
      <c r="A31" s="653">
        <f t="shared" si="7"/>
        <v>0.70833333333333315</v>
      </c>
      <c r="B31" s="629"/>
      <c r="C31" s="536" t="s">
        <v>23</v>
      </c>
      <c r="D31" s="629">
        <f t="shared" si="5"/>
        <v>0.71874999999999978</v>
      </c>
      <c r="E31" s="629"/>
      <c r="F31" s="480">
        <v>39</v>
      </c>
      <c r="G31" s="481">
        <v>4</v>
      </c>
      <c r="H31" s="482">
        <v>20</v>
      </c>
      <c r="I31" s="483"/>
      <c r="J31" s="481">
        <v>252</v>
      </c>
      <c r="K31" s="482">
        <v>170</v>
      </c>
      <c r="L31" s="483"/>
      <c r="M31" s="481"/>
      <c r="N31" s="482"/>
      <c r="O31" s="483">
        <v>60</v>
      </c>
      <c r="P31" s="481">
        <v>163</v>
      </c>
      <c r="Q31" s="482"/>
      <c r="R31" s="543">
        <f t="shared" si="6"/>
        <v>708</v>
      </c>
    </row>
    <row r="32" spans="1:18" ht="19.5" x14ac:dyDescent="0.4">
      <c r="A32" s="653">
        <f t="shared" si="7"/>
        <v>0.71874999999999978</v>
      </c>
      <c r="B32" s="629"/>
      <c r="C32" s="536" t="s">
        <v>23</v>
      </c>
      <c r="D32" s="629">
        <f t="shared" si="5"/>
        <v>0.72916666666666641</v>
      </c>
      <c r="E32" s="629"/>
      <c r="F32" s="480">
        <v>41</v>
      </c>
      <c r="G32" s="481">
        <v>3</v>
      </c>
      <c r="H32" s="482">
        <v>24</v>
      </c>
      <c r="I32" s="483"/>
      <c r="J32" s="481">
        <v>259</v>
      </c>
      <c r="K32" s="482">
        <v>159</v>
      </c>
      <c r="L32" s="483"/>
      <c r="M32" s="481"/>
      <c r="N32" s="482"/>
      <c r="O32" s="483">
        <v>75</v>
      </c>
      <c r="P32" s="481">
        <v>184</v>
      </c>
      <c r="Q32" s="482"/>
      <c r="R32" s="543">
        <f t="shared" si="6"/>
        <v>745</v>
      </c>
    </row>
    <row r="33" spans="1:18" ht="19.5" x14ac:dyDescent="0.4">
      <c r="A33" s="653">
        <f t="shared" si="7"/>
        <v>0.72916666666666641</v>
      </c>
      <c r="B33" s="629"/>
      <c r="C33" s="536" t="s">
        <v>23</v>
      </c>
      <c r="D33" s="629">
        <f t="shared" si="5"/>
        <v>0.73958333333333304</v>
      </c>
      <c r="E33" s="629"/>
      <c r="F33" s="480">
        <v>43</v>
      </c>
      <c r="G33" s="481">
        <v>2</v>
      </c>
      <c r="H33" s="482">
        <v>21</v>
      </c>
      <c r="I33" s="483"/>
      <c r="J33" s="481">
        <v>220</v>
      </c>
      <c r="K33" s="482">
        <v>155</v>
      </c>
      <c r="L33" s="483"/>
      <c r="M33" s="481"/>
      <c r="N33" s="482"/>
      <c r="O33" s="483">
        <v>68</v>
      </c>
      <c r="P33" s="481">
        <v>204</v>
      </c>
      <c r="Q33" s="482"/>
      <c r="R33" s="545">
        <f t="shared" si="6"/>
        <v>713</v>
      </c>
    </row>
    <row r="34" spans="1:18" ht="20.25" thickBot="1" x14ac:dyDescent="0.45">
      <c r="A34" s="654">
        <f t="shared" si="7"/>
        <v>0.73958333333333304</v>
      </c>
      <c r="B34" s="630"/>
      <c r="C34" s="537" t="s">
        <v>23</v>
      </c>
      <c r="D34" s="630">
        <f t="shared" si="5"/>
        <v>0.74999999999999967</v>
      </c>
      <c r="E34" s="630"/>
      <c r="F34" s="484">
        <v>42</v>
      </c>
      <c r="G34" s="485">
        <v>4</v>
      </c>
      <c r="H34" s="486">
        <v>33</v>
      </c>
      <c r="I34" s="487"/>
      <c r="J34" s="485">
        <v>225</v>
      </c>
      <c r="K34" s="486">
        <v>149</v>
      </c>
      <c r="L34" s="487"/>
      <c r="M34" s="485"/>
      <c r="N34" s="486"/>
      <c r="O34" s="487">
        <v>76</v>
      </c>
      <c r="P34" s="485">
        <v>214</v>
      </c>
      <c r="Q34" s="486"/>
      <c r="R34" s="546">
        <f t="shared" si="6"/>
        <v>743</v>
      </c>
    </row>
    <row r="35" spans="1:18" ht="20.25" thickBot="1" x14ac:dyDescent="0.45">
      <c r="A35" s="649" t="s">
        <v>21</v>
      </c>
      <c r="B35" s="650"/>
      <c r="C35" s="651"/>
      <c r="D35" s="651"/>
      <c r="E35" s="652"/>
      <c r="F35" s="538">
        <f t="shared" ref="F35:P35" si="8">SUM(F27:F34)</f>
        <v>281</v>
      </c>
      <c r="G35" s="539">
        <f t="shared" si="8"/>
        <v>23</v>
      </c>
      <c r="H35" s="540">
        <f t="shared" si="8"/>
        <v>192</v>
      </c>
      <c r="I35" s="538"/>
      <c r="J35" s="539">
        <f t="shared" si="8"/>
        <v>1912</v>
      </c>
      <c r="K35" s="540">
        <f t="shared" si="8"/>
        <v>1222</v>
      </c>
      <c r="L35" s="538"/>
      <c r="M35" s="539"/>
      <c r="N35" s="540"/>
      <c r="O35" s="538">
        <f t="shared" si="8"/>
        <v>517</v>
      </c>
      <c r="P35" s="539">
        <f t="shared" si="8"/>
        <v>1339</v>
      </c>
      <c r="Q35" s="540"/>
      <c r="R35" s="541">
        <f xml:space="preserve"> SUM(R27:R34)</f>
        <v>5486</v>
      </c>
    </row>
    <row r="36" spans="1:18" ht="20.25" thickBot="1" x14ac:dyDescent="0.45">
      <c r="A36" s="620"/>
      <c r="B36" s="620"/>
      <c r="C36" s="620"/>
      <c r="D36" s="620"/>
      <c r="E36" s="620"/>
      <c r="F36" s="513"/>
      <c r="G36" s="514">
        <f xml:space="preserve"> SUM(F35:H35)</f>
        <v>496</v>
      </c>
      <c r="H36" s="515"/>
      <c r="I36" s="516"/>
      <c r="J36" s="514">
        <f>SUM(I35:K35)</f>
        <v>3134</v>
      </c>
      <c r="K36" s="515"/>
      <c r="L36" s="516"/>
      <c r="M36" s="514">
        <f>SUM(L35:N35)</f>
        <v>0</v>
      </c>
      <c r="N36" s="515"/>
      <c r="O36" s="516"/>
      <c r="P36" s="514">
        <f>SUM(O35:Q35)</f>
        <v>1856</v>
      </c>
      <c r="Q36" s="517"/>
      <c r="R36" s="504"/>
    </row>
    <row r="37" spans="1:18" ht="13.5" thickBot="1" x14ac:dyDescent="0.25"/>
    <row r="38" spans="1:18" ht="60" customHeight="1" thickBot="1" x14ac:dyDescent="0.25">
      <c r="A38" s="631" t="s">
        <v>81</v>
      </c>
      <c r="B38" s="632"/>
      <c r="C38" s="633"/>
      <c r="D38" s="633"/>
      <c r="E38" s="634"/>
      <c r="F38" s="635"/>
      <c r="G38" s="636"/>
      <c r="H38" s="637"/>
      <c r="I38" s="635"/>
      <c r="J38" s="636"/>
      <c r="K38" s="637"/>
      <c r="L38" s="635"/>
      <c r="M38" s="636"/>
      <c r="N38" s="637"/>
      <c r="O38" s="635"/>
      <c r="P38" s="636"/>
      <c r="Q38" s="637"/>
    </row>
    <row r="39" spans="1:18" s="475" customFormat="1" ht="16.5" hidden="1" x14ac:dyDescent="0.35">
      <c r="C39" s="488" t="str">
        <f>IF(AND(B10&gt;=0,B10&lt;0.458333),"Ochtend",IF(AND(B10&gt;0.458333,B10&lt;0.625),"Middag","Avond"))</f>
        <v>Ochtend</v>
      </c>
    </row>
    <row r="40" spans="1:18" s="475" customFormat="1" ht="16.5" hidden="1" x14ac:dyDescent="0.35">
      <c r="C40" s="489" t="str">
        <f>IF(AND(B24&gt;=0,B24&lt;0.458333),"Ochtend",IF(AND(B24&gt;0.458333,B24&lt;0.625),"Middag","Avond"))</f>
        <v>Avond</v>
      </c>
    </row>
  </sheetData>
  <sheetProtection selectLockedCells="1"/>
  <mergeCells count="77">
    <mergeCell ref="D30:E30"/>
    <mergeCell ref="A30:B30"/>
    <mergeCell ref="D32:E32"/>
    <mergeCell ref="A28:B28"/>
    <mergeCell ref="A29:B29"/>
    <mergeCell ref="D27:E27"/>
    <mergeCell ref="D28:E28"/>
    <mergeCell ref="D29:E29"/>
    <mergeCell ref="R24:R26"/>
    <mergeCell ref="J3:M4"/>
    <mergeCell ref="P7:R8"/>
    <mergeCell ref="A3:D3"/>
    <mergeCell ref="A4:D4"/>
    <mergeCell ref="F24:H24"/>
    <mergeCell ref="I24:K24"/>
    <mergeCell ref="L24:N24"/>
    <mergeCell ref="P3:R3"/>
    <mergeCell ref="P4:R4"/>
    <mergeCell ref="P5:R5"/>
    <mergeCell ref="P6:R6"/>
    <mergeCell ref="A5:D5"/>
    <mergeCell ref="A6:D6"/>
    <mergeCell ref="O24:Q24"/>
    <mergeCell ref="B10:C10"/>
    <mergeCell ref="J7:M7"/>
    <mergeCell ref="J8:M8"/>
    <mergeCell ref="A7:D7"/>
    <mergeCell ref="A1:R1"/>
    <mergeCell ref="A2:R2"/>
    <mergeCell ref="O10:Q10"/>
    <mergeCell ref="R10:R12"/>
    <mergeCell ref="I10:K10"/>
    <mergeCell ref="L10:N10"/>
    <mergeCell ref="E3:H3"/>
    <mergeCell ref="E4:H4"/>
    <mergeCell ref="E5:H5"/>
    <mergeCell ref="E6:H6"/>
    <mergeCell ref="E7:H8"/>
    <mergeCell ref="J5:M5"/>
    <mergeCell ref="J6:M6"/>
    <mergeCell ref="F10:H10"/>
    <mergeCell ref="A11:C12"/>
    <mergeCell ref="D11:E12"/>
    <mergeCell ref="A25:C26"/>
    <mergeCell ref="D25:E26"/>
    <mergeCell ref="D13:E13"/>
    <mergeCell ref="D14:E14"/>
    <mergeCell ref="D15:E15"/>
    <mergeCell ref="D16:E16"/>
    <mergeCell ref="D17:E17"/>
    <mergeCell ref="A13:B13"/>
    <mergeCell ref="A14:B14"/>
    <mergeCell ref="A15:B15"/>
    <mergeCell ref="A16:B16"/>
    <mergeCell ref="A17:B17"/>
    <mergeCell ref="A18:B18"/>
    <mergeCell ref="L38:N38"/>
    <mergeCell ref="O38:Q38"/>
    <mergeCell ref="D18:E18"/>
    <mergeCell ref="D19:E19"/>
    <mergeCell ref="D20:E20"/>
    <mergeCell ref="A21:E21"/>
    <mergeCell ref="B24:C24"/>
    <mergeCell ref="A19:B19"/>
    <mergeCell ref="A20:B20"/>
    <mergeCell ref="A35:E35"/>
    <mergeCell ref="A31:B31"/>
    <mergeCell ref="A32:B32"/>
    <mergeCell ref="A33:B33"/>
    <mergeCell ref="A34:B34"/>
    <mergeCell ref="D31:E31"/>
    <mergeCell ref="A27:B27"/>
    <mergeCell ref="D33:E33"/>
    <mergeCell ref="D34:E34"/>
    <mergeCell ref="A38:E38"/>
    <mergeCell ref="F38:H38"/>
    <mergeCell ref="I38:K38"/>
  </mergeCells>
  <phoneticPr fontId="2" type="noConversion"/>
  <conditionalFormatting sqref="F13:Q20 F27:Q34">
    <cfRule type="cellIs" dxfId="69" priority="1" stopIfTrue="1" operator="notBetween">
      <formula>0</formula>
      <formula>1000</formula>
    </cfRule>
  </conditionalFormatting>
  <pageMargins left="0.56999999999999995" right="0.28999999999999998" top="0.69" bottom="0.38" header="0.87" footer="0.19"/>
  <pageSetup paperSize="9" scale="65" orientation="landscape" r:id="rId1"/>
  <headerFooter alignWithMargins="0">
    <oddFooter>&amp;LKwaliteitssysteem AWV
F-EVT-PP03-11 Geldig vanaf 01-05-2011 Versie 1.0</oddFooter>
  </headerFooter>
  <colBreaks count="1" manualBreakCount="1">
    <brk id="18" max="9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S41"/>
  <sheetViews>
    <sheetView zoomScale="70" zoomScaleNormal="70" workbookViewId="0">
      <selection sqref="A1:R1"/>
    </sheetView>
  </sheetViews>
  <sheetFormatPr defaultRowHeight="12.75" x14ac:dyDescent="0.2"/>
  <cols>
    <col min="1" max="1" width="10.7109375" customWidth="1"/>
    <col min="2" max="4" width="5.7109375" customWidth="1"/>
    <col min="5" max="5" width="10.7109375" customWidth="1"/>
    <col min="6" max="8" width="12" customWidth="1"/>
    <col min="9" max="9" width="13.7109375" customWidth="1"/>
    <col min="10" max="17" width="12" customWidth="1"/>
    <col min="18" max="18" width="29.5703125" customWidth="1"/>
  </cols>
  <sheetData>
    <row r="1" spans="1:19" s="473" customFormat="1" ht="37.5" customHeight="1" x14ac:dyDescent="0.4">
      <c r="A1" s="667" t="s">
        <v>55</v>
      </c>
      <c r="B1" s="668"/>
      <c r="C1" s="668"/>
      <c r="D1" s="668"/>
      <c r="E1" s="668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70"/>
      <c r="S1" s="472"/>
    </row>
    <row r="2" spans="1:19" s="473" customFormat="1" ht="52.5" customHeight="1" thickBot="1" x14ac:dyDescent="0.25">
      <c r="A2" s="671" t="s">
        <v>78</v>
      </c>
      <c r="B2" s="672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4"/>
      <c r="S2" s="474"/>
    </row>
    <row r="3" spans="1:19" s="473" customFormat="1" ht="22.5" x14ac:dyDescent="0.45">
      <c r="A3" s="720" t="s">
        <v>0</v>
      </c>
      <c r="B3" s="721"/>
      <c r="C3" s="721"/>
      <c r="D3" s="722"/>
      <c r="E3" s="681" t="str">
        <f>'Licht vervoer'!E3</f>
        <v>-</v>
      </c>
      <c r="F3" s="682"/>
      <c r="G3" s="682"/>
      <c r="H3" s="683"/>
      <c r="I3" s="494" t="s">
        <v>5</v>
      </c>
      <c r="J3" s="713" t="str">
        <f>'Licht vervoer'!J3</f>
        <v>N26 / E314 Zuid</v>
      </c>
      <c r="K3" s="714"/>
      <c r="L3" s="714"/>
      <c r="M3" s="715"/>
      <c r="N3" s="494" t="s">
        <v>13</v>
      </c>
      <c r="O3" s="498"/>
      <c r="P3" s="723">
        <f>'Licht vervoer'!P3</f>
        <v>43207</v>
      </c>
      <c r="Q3" s="724"/>
      <c r="R3" s="725"/>
    </row>
    <row r="4" spans="1:19" s="473" customFormat="1" ht="22.5" x14ac:dyDescent="0.45">
      <c r="A4" s="702" t="s">
        <v>1</v>
      </c>
      <c r="B4" s="703"/>
      <c r="C4" s="703"/>
      <c r="D4" s="704"/>
      <c r="E4" s="684" t="str">
        <f>'Licht vervoer'!E4</f>
        <v>-</v>
      </c>
      <c r="F4" s="685"/>
      <c r="G4" s="685"/>
      <c r="H4" s="686"/>
      <c r="I4" s="495"/>
      <c r="J4" s="688"/>
      <c r="K4" s="688"/>
      <c r="L4" s="688"/>
      <c r="M4" s="689"/>
      <c r="N4" s="494" t="s">
        <v>22</v>
      </c>
      <c r="O4" s="490"/>
      <c r="P4" s="684" t="str">
        <f>'Licht vervoer'!P4</f>
        <v>-</v>
      </c>
      <c r="Q4" s="726"/>
      <c r="R4" s="727"/>
    </row>
    <row r="5" spans="1:19" s="473" customFormat="1" ht="22.5" x14ac:dyDescent="0.45">
      <c r="A5" s="702" t="s">
        <v>6</v>
      </c>
      <c r="B5" s="703"/>
      <c r="C5" s="703"/>
      <c r="D5" s="704"/>
      <c r="E5" s="684" t="str">
        <f>'Licht vervoer'!E5</f>
        <v>Limburg</v>
      </c>
      <c r="F5" s="685"/>
      <c r="G5" s="685"/>
      <c r="H5" s="686"/>
      <c r="I5" s="494" t="s">
        <v>7</v>
      </c>
      <c r="J5" s="684" t="str">
        <f>'Licht vervoer'!J5</f>
        <v>Afrit E314 Zuid (West)</v>
      </c>
      <c r="K5" s="692"/>
      <c r="L5" s="692"/>
      <c r="M5" s="693"/>
      <c r="N5" s="494" t="s">
        <v>57</v>
      </c>
      <c r="O5" s="490"/>
      <c r="P5" s="684" t="str">
        <f>'Licht vervoer'!P5</f>
        <v>Dufec</v>
      </c>
      <c r="Q5" s="726"/>
      <c r="R5" s="727"/>
    </row>
    <row r="6" spans="1:19" s="473" customFormat="1" ht="22.5" x14ac:dyDescent="0.45">
      <c r="A6" s="702" t="s">
        <v>3</v>
      </c>
      <c r="B6" s="703"/>
      <c r="C6" s="703"/>
      <c r="D6" s="704"/>
      <c r="E6" s="684" t="str">
        <f>'Licht vervoer'!E6</f>
        <v>Leuven</v>
      </c>
      <c r="F6" s="685"/>
      <c r="G6" s="685"/>
      <c r="H6" s="686"/>
      <c r="I6" s="494" t="s">
        <v>8</v>
      </c>
      <c r="J6" s="694" t="str">
        <f>'Licht vervoer'!J6</f>
        <v>N26 komende van N26a</v>
      </c>
      <c r="K6" s="692"/>
      <c r="L6" s="692"/>
      <c r="M6" s="693"/>
      <c r="N6" s="494" t="s">
        <v>56</v>
      </c>
      <c r="O6" s="499"/>
      <c r="P6" s="728" t="str">
        <f>'Licht vervoer'!P6</f>
        <v>Half bewolkt, geen neerslag</v>
      </c>
      <c r="Q6" s="726"/>
      <c r="R6" s="727"/>
    </row>
    <row r="7" spans="1:19" s="473" customFormat="1" ht="22.5" customHeight="1" x14ac:dyDescent="0.45">
      <c r="A7" s="702" t="s">
        <v>4</v>
      </c>
      <c r="B7" s="703"/>
      <c r="C7" s="703"/>
      <c r="D7" s="709"/>
      <c r="E7" s="687" t="str">
        <f>'Licht vervoer'!E7</f>
        <v>Leuven</v>
      </c>
      <c r="F7" s="688"/>
      <c r="G7" s="688"/>
      <c r="H7" s="689"/>
      <c r="I7" s="496" t="s">
        <v>9</v>
      </c>
      <c r="J7" s="684" t="str">
        <f>'Licht vervoer'!J7</f>
        <v>Toerit E314 Zuid (Oost)</v>
      </c>
      <c r="K7" s="692"/>
      <c r="L7" s="692"/>
      <c r="M7" s="693"/>
      <c r="N7" s="500" t="s">
        <v>12</v>
      </c>
      <c r="O7" s="499"/>
      <c r="P7" s="716" t="str">
        <f>'Licht vervoer'!P7</f>
        <v>Op het kruispunt zijn ook wachtrijmetingen uitgevoerd.</v>
      </c>
      <c r="Q7" s="716"/>
      <c r="R7" s="717"/>
    </row>
    <row r="8" spans="1:19" s="473" customFormat="1" ht="22.5" customHeight="1" thickBot="1" x14ac:dyDescent="0.5">
      <c r="A8" s="491"/>
      <c r="B8" s="492"/>
      <c r="C8" s="492"/>
      <c r="D8" s="492"/>
      <c r="E8" s="690"/>
      <c r="F8" s="690"/>
      <c r="G8" s="690"/>
      <c r="H8" s="691"/>
      <c r="I8" s="497" t="s">
        <v>10</v>
      </c>
      <c r="J8" s="706" t="str">
        <f>'Licht vervoer'!J8</f>
        <v>N26 komende van E314 Noord</v>
      </c>
      <c r="K8" s="707"/>
      <c r="L8" s="707"/>
      <c r="M8" s="708"/>
      <c r="N8" s="501"/>
      <c r="O8" s="502"/>
      <c r="P8" s="718"/>
      <c r="Q8" s="718"/>
      <c r="R8" s="719"/>
    </row>
    <row r="9" spans="1:19" s="473" customFormat="1" ht="17.25" customHeight="1" thickBot="1" x14ac:dyDescent="0.4">
      <c r="A9" s="614"/>
      <c r="B9" s="614"/>
      <c r="C9" s="614"/>
      <c r="D9" s="614"/>
      <c r="E9" s="614"/>
      <c r="F9" s="493"/>
      <c r="G9" s="615"/>
      <c r="H9" s="615"/>
      <c r="I9" s="616"/>
      <c r="J9" s="617"/>
      <c r="K9" s="617"/>
      <c r="L9" s="617"/>
      <c r="M9" s="615"/>
      <c r="N9" s="616"/>
      <c r="O9" s="618"/>
      <c r="P9" s="615"/>
      <c r="Q9" s="615"/>
      <c r="R9" s="619"/>
    </row>
    <row r="10" spans="1:19" s="473" customFormat="1" ht="22.5" customHeight="1" x14ac:dyDescent="0.4">
      <c r="A10" s="503" t="s">
        <v>25</v>
      </c>
      <c r="B10" s="705">
        <f>'Licht vervoer'!B10</f>
        <v>0.29166666666666669</v>
      </c>
      <c r="C10" s="705"/>
      <c r="D10" s="504" t="s">
        <v>26</v>
      </c>
      <c r="E10" s="505">
        <f>'Licht vervoer'!E10</f>
        <v>0.37500000000000017</v>
      </c>
      <c r="F10" s="695" t="s">
        <v>14</v>
      </c>
      <c r="G10" s="696"/>
      <c r="H10" s="697"/>
      <c r="I10" s="679" t="s">
        <v>15</v>
      </c>
      <c r="J10" s="675"/>
      <c r="K10" s="680"/>
      <c r="L10" s="679" t="s">
        <v>16</v>
      </c>
      <c r="M10" s="675"/>
      <c r="N10" s="680"/>
      <c r="O10" s="675" t="s">
        <v>17</v>
      </c>
      <c r="P10" s="675"/>
      <c r="Q10" s="675"/>
      <c r="R10" s="676" t="s">
        <v>21</v>
      </c>
    </row>
    <row r="11" spans="1:19" s="473" customFormat="1" ht="30" customHeight="1" x14ac:dyDescent="0.45">
      <c r="A11" s="698" t="str">
        <f>'Licht vervoer'!A11:C12</f>
        <v>Periode 1:</v>
      </c>
      <c r="B11" s="699"/>
      <c r="C11" s="699"/>
      <c r="D11" s="699" t="str">
        <f>'Licht vervoer'!D11</f>
        <v>Ochtend</v>
      </c>
      <c r="E11" s="700"/>
      <c r="F11" s="523" t="str">
        <f>'Licht vervoer'!F11</f>
        <v>=</v>
      </c>
      <c r="G11" s="524" t="str">
        <f>'Licht vervoer'!G11</f>
        <v>"</v>
      </c>
      <c r="H11" s="525" t="str">
        <f>'Licht vervoer'!H11</f>
        <v>?</v>
      </c>
      <c r="I11" s="523"/>
      <c r="J11" s="524" t="str">
        <f>'Licht vervoer'!J11</f>
        <v>#</v>
      </c>
      <c r="K11" s="525" t="str">
        <f>'Licht vervoer'!K11</f>
        <v>;</v>
      </c>
      <c r="L11" s="523"/>
      <c r="M11" s="524"/>
      <c r="N11" s="525"/>
      <c r="O11" s="526">
        <f>'Licht vervoer'!O11</f>
        <v>9</v>
      </c>
      <c r="P11" s="524" t="str">
        <f>'Licht vervoer'!P11</f>
        <v>$</v>
      </c>
      <c r="Q11" s="527"/>
      <c r="R11" s="677"/>
    </row>
    <row r="12" spans="1:19" s="473" customFormat="1" ht="20.25" thickBot="1" x14ac:dyDescent="0.45">
      <c r="A12" s="642"/>
      <c r="B12" s="643"/>
      <c r="C12" s="643"/>
      <c r="D12" s="643"/>
      <c r="E12" s="701"/>
      <c r="F12" s="528" t="s">
        <v>18</v>
      </c>
      <c r="G12" s="529" t="s">
        <v>19</v>
      </c>
      <c r="H12" s="530" t="s">
        <v>20</v>
      </c>
      <c r="I12" s="531"/>
      <c r="J12" s="529" t="s">
        <v>19</v>
      </c>
      <c r="K12" s="530" t="s">
        <v>20</v>
      </c>
      <c r="L12" s="528"/>
      <c r="M12" s="529"/>
      <c r="N12" s="530"/>
      <c r="O12" s="532" t="s">
        <v>18</v>
      </c>
      <c r="P12" s="529" t="s">
        <v>19</v>
      </c>
      <c r="Q12" s="533"/>
      <c r="R12" s="678"/>
    </row>
    <row r="13" spans="1:19" ht="19.5" x14ac:dyDescent="0.4">
      <c r="A13" s="767">
        <f>'Licht vervoer'!A13</f>
        <v>0.29166666666666669</v>
      </c>
      <c r="B13" s="749"/>
      <c r="C13" s="347" t="s">
        <v>23</v>
      </c>
      <c r="D13" s="749">
        <f>'Licht vervoer'!D13</f>
        <v>0.30208333333333337</v>
      </c>
      <c r="E13" s="750"/>
      <c r="F13" s="548">
        <v>6</v>
      </c>
      <c r="G13" s="549">
        <v>0</v>
      </c>
      <c r="H13" s="550">
        <v>8</v>
      </c>
      <c r="I13" s="551"/>
      <c r="J13" s="549">
        <v>16</v>
      </c>
      <c r="K13" s="550">
        <v>2</v>
      </c>
      <c r="L13" s="551"/>
      <c r="M13" s="549"/>
      <c r="N13" s="550"/>
      <c r="O13" s="551">
        <v>7</v>
      </c>
      <c r="P13" s="549">
        <v>15</v>
      </c>
      <c r="Q13" s="550"/>
      <c r="R13" s="322">
        <f>SUM(F13:Q13)</f>
        <v>54</v>
      </c>
    </row>
    <row r="14" spans="1:19" ht="19.5" x14ac:dyDescent="0.4">
      <c r="A14" s="766">
        <f>'Licht vervoer'!A14</f>
        <v>0.30208333333333337</v>
      </c>
      <c r="B14" s="751"/>
      <c r="C14" s="345" t="s">
        <v>23</v>
      </c>
      <c r="D14" s="751">
        <f>'Licht vervoer'!D14</f>
        <v>0.31250000000000006</v>
      </c>
      <c r="E14" s="752"/>
      <c r="F14" s="552">
        <v>1</v>
      </c>
      <c r="G14" s="553">
        <v>0</v>
      </c>
      <c r="H14" s="554">
        <v>6</v>
      </c>
      <c r="I14" s="555"/>
      <c r="J14" s="553">
        <v>15</v>
      </c>
      <c r="K14" s="554">
        <v>6</v>
      </c>
      <c r="L14" s="555"/>
      <c r="M14" s="553"/>
      <c r="N14" s="554"/>
      <c r="O14" s="555">
        <v>8</v>
      </c>
      <c r="P14" s="553">
        <v>20</v>
      </c>
      <c r="Q14" s="554"/>
      <c r="R14" s="323">
        <f t="shared" ref="R14:R20" si="0">SUM(F14:Q14)</f>
        <v>56</v>
      </c>
    </row>
    <row r="15" spans="1:19" ht="19.5" x14ac:dyDescent="0.4">
      <c r="A15" s="766">
        <f>'Licht vervoer'!A15</f>
        <v>0.31250000000000006</v>
      </c>
      <c r="B15" s="751"/>
      <c r="C15" s="345" t="s">
        <v>23</v>
      </c>
      <c r="D15" s="751">
        <f>'Licht vervoer'!D15</f>
        <v>0.32291666666666674</v>
      </c>
      <c r="E15" s="752"/>
      <c r="F15" s="552">
        <v>2</v>
      </c>
      <c r="G15" s="553">
        <v>0</v>
      </c>
      <c r="H15" s="554">
        <v>3</v>
      </c>
      <c r="I15" s="555"/>
      <c r="J15" s="553">
        <v>15</v>
      </c>
      <c r="K15" s="554">
        <v>3</v>
      </c>
      <c r="L15" s="555"/>
      <c r="M15" s="553"/>
      <c r="N15" s="554"/>
      <c r="O15" s="555">
        <v>6</v>
      </c>
      <c r="P15" s="553">
        <v>20</v>
      </c>
      <c r="Q15" s="554"/>
      <c r="R15" s="323">
        <f t="shared" si="0"/>
        <v>49</v>
      </c>
    </row>
    <row r="16" spans="1:19" ht="19.5" x14ac:dyDescent="0.4">
      <c r="A16" s="766">
        <f>'Licht vervoer'!A16</f>
        <v>0.32291666666666674</v>
      </c>
      <c r="B16" s="751"/>
      <c r="C16" s="345" t="s">
        <v>23</v>
      </c>
      <c r="D16" s="751">
        <f>'Licht vervoer'!D16</f>
        <v>0.33333333333333343</v>
      </c>
      <c r="E16" s="752"/>
      <c r="F16" s="552">
        <v>6</v>
      </c>
      <c r="G16" s="553">
        <v>0</v>
      </c>
      <c r="H16" s="554">
        <v>5</v>
      </c>
      <c r="I16" s="555"/>
      <c r="J16" s="553">
        <v>8</v>
      </c>
      <c r="K16" s="554">
        <v>4</v>
      </c>
      <c r="L16" s="555"/>
      <c r="M16" s="553"/>
      <c r="N16" s="554"/>
      <c r="O16" s="555">
        <v>4</v>
      </c>
      <c r="P16" s="553">
        <v>25</v>
      </c>
      <c r="Q16" s="554"/>
      <c r="R16" s="323">
        <f t="shared" si="0"/>
        <v>52</v>
      </c>
    </row>
    <row r="17" spans="1:18" ht="19.5" x14ac:dyDescent="0.4">
      <c r="A17" s="766">
        <f>'Licht vervoer'!A17</f>
        <v>0.33333333333333343</v>
      </c>
      <c r="B17" s="751"/>
      <c r="C17" s="345" t="s">
        <v>23</v>
      </c>
      <c r="D17" s="751">
        <f>'Licht vervoer'!D17</f>
        <v>0.34375000000000011</v>
      </c>
      <c r="E17" s="752"/>
      <c r="F17" s="552">
        <v>5</v>
      </c>
      <c r="G17" s="553">
        <v>0</v>
      </c>
      <c r="H17" s="554">
        <v>4</v>
      </c>
      <c r="I17" s="555"/>
      <c r="J17" s="553">
        <v>12</v>
      </c>
      <c r="K17" s="554">
        <v>6</v>
      </c>
      <c r="L17" s="555"/>
      <c r="M17" s="553"/>
      <c r="N17" s="554"/>
      <c r="O17" s="555">
        <v>7</v>
      </c>
      <c r="P17" s="553">
        <v>6</v>
      </c>
      <c r="Q17" s="554"/>
      <c r="R17" s="323">
        <f t="shared" si="0"/>
        <v>40</v>
      </c>
    </row>
    <row r="18" spans="1:18" ht="19.5" x14ac:dyDescent="0.4">
      <c r="A18" s="766">
        <f>'Licht vervoer'!A18</f>
        <v>0.34375000000000011</v>
      </c>
      <c r="B18" s="751"/>
      <c r="C18" s="345" t="s">
        <v>23</v>
      </c>
      <c r="D18" s="751">
        <f>'Licht vervoer'!D18</f>
        <v>0.3541666666666668</v>
      </c>
      <c r="E18" s="752"/>
      <c r="F18" s="552">
        <v>4</v>
      </c>
      <c r="G18" s="553">
        <v>0</v>
      </c>
      <c r="H18" s="554">
        <v>5</v>
      </c>
      <c r="I18" s="555"/>
      <c r="J18" s="553">
        <v>13</v>
      </c>
      <c r="K18" s="554">
        <v>2</v>
      </c>
      <c r="L18" s="555"/>
      <c r="M18" s="553"/>
      <c r="N18" s="554"/>
      <c r="O18" s="555">
        <v>3</v>
      </c>
      <c r="P18" s="553">
        <v>22</v>
      </c>
      <c r="Q18" s="554"/>
      <c r="R18" s="323">
        <f t="shared" si="0"/>
        <v>49</v>
      </c>
    </row>
    <row r="19" spans="1:18" ht="19.5" x14ac:dyDescent="0.4">
      <c r="A19" s="766">
        <f>'Licht vervoer'!A19</f>
        <v>0.3541666666666668</v>
      </c>
      <c r="B19" s="751"/>
      <c r="C19" s="345" t="s">
        <v>23</v>
      </c>
      <c r="D19" s="751">
        <f>'Licht vervoer'!D19</f>
        <v>0.36458333333333348</v>
      </c>
      <c r="E19" s="752"/>
      <c r="F19" s="552">
        <v>7</v>
      </c>
      <c r="G19" s="553">
        <v>0</v>
      </c>
      <c r="H19" s="554">
        <v>8</v>
      </c>
      <c r="I19" s="555"/>
      <c r="J19" s="553">
        <v>18</v>
      </c>
      <c r="K19" s="554">
        <v>8</v>
      </c>
      <c r="L19" s="555"/>
      <c r="M19" s="553"/>
      <c r="N19" s="554"/>
      <c r="O19" s="555">
        <v>3</v>
      </c>
      <c r="P19" s="553">
        <v>9</v>
      </c>
      <c r="Q19" s="554"/>
      <c r="R19" s="323">
        <f t="shared" si="0"/>
        <v>53</v>
      </c>
    </row>
    <row r="20" spans="1:18" ht="20.25" thickBot="1" x14ac:dyDescent="0.45">
      <c r="A20" s="768">
        <f>'Licht vervoer'!A20</f>
        <v>0.36458333333333348</v>
      </c>
      <c r="B20" s="731"/>
      <c r="C20" s="346" t="s">
        <v>23</v>
      </c>
      <c r="D20" s="731">
        <f>'Licht vervoer'!D20</f>
        <v>0.37500000000000017</v>
      </c>
      <c r="E20" s="732"/>
      <c r="F20" s="556">
        <v>8</v>
      </c>
      <c r="G20" s="557">
        <v>0</v>
      </c>
      <c r="H20" s="558">
        <v>6</v>
      </c>
      <c r="I20" s="559"/>
      <c r="J20" s="557">
        <v>13</v>
      </c>
      <c r="K20" s="558">
        <v>12</v>
      </c>
      <c r="L20" s="559"/>
      <c r="M20" s="557"/>
      <c r="N20" s="558"/>
      <c r="O20" s="559">
        <v>6</v>
      </c>
      <c r="P20" s="557">
        <v>9</v>
      </c>
      <c r="Q20" s="558"/>
      <c r="R20" s="326">
        <f t="shared" si="0"/>
        <v>54</v>
      </c>
    </row>
    <row r="21" spans="1:18" ht="19.5" customHeight="1" thickBot="1" x14ac:dyDescent="0.45">
      <c r="A21" s="764" t="s">
        <v>21</v>
      </c>
      <c r="B21" s="765"/>
      <c r="C21" s="765"/>
      <c r="D21" s="765"/>
      <c r="E21" s="765"/>
      <c r="F21" s="327">
        <f>SUM(F13:F20)</f>
        <v>39</v>
      </c>
      <c r="G21" s="317">
        <f t="shared" ref="G21:P21" si="1">SUM(G13:G20)</f>
        <v>0</v>
      </c>
      <c r="H21" s="328">
        <f t="shared" si="1"/>
        <v>45</v>
      </c>
      <c r="I21" s="327"/>
      <c r="J21" s="317">
        <f t="shared" si="1"/>
        <v>110</v>
      </c>
      <c r="K21" s="328">
        <f t="shared" si="1"/>
        <v>43</v>
      </c>
      <c r="L21" s="327"/>
      <c r="M21" s="317"/>
      <c r="N21" s="328"/>
      <c r="O21" s="327">
        <f t="shared" si="1"/>
        <v>44</v>
      </c>
      <c r="P21" s="317">
        <f t="shared" si="1"/>
        <v>126</v>
      </c>
      <c r="Q21" s="328"/>
      <c r="R21" s="64">
        <f xml:space="preserve"> SUM(R13:R20)</f>
        <v>407</v>
      </c>
    </row>
    <row r="22" spans="1:18" ht="20.25" thickBot="1" x14ac:dyDescent="0.45">
      <c r="A22" s="133"/>
      <c r="B22" s="133"/>
      <c r="C22" s="133"/>
      <c r="D22" s="133"/>
      <c r="E22" s="133"/>
      <c r="F22" s="318"/>
      <c r="G22" s="61">
        <f>SUM(F21:H21)</f>
        <v>84</v>
      </c>
      <c r="H22" s="62"/>
      <c r="I22" s="63"/>
      <c r="J22" s="61">
        <f>SUM(I21:K21)</f>
        <v>153</v>
      </c>
      <c r="K22" s="62"/>
      <c r="L22" s="63"/>
      <c r="M22" s="61">
        <f>SUM(L21:N21)</f>
        <v>0</v>
      </c>
      <c r="N22" s="62"/>
      <c r="O22" s="63"/>
      <c r="P22" s="61">
        <f>SUM(O21:Q21)</f>
        <v>170</v>
      </c>
      <c r="Q22" s="62"/>
      <c r="R22" s="308"/>
    </row>
    <row r="23" spans="1:18" ht="20.25" thickBot="1" x14ac:dyDescent="0.45">
      <c r="A23" s="133"/>
      <c r="B23" s="133"/>
      <c r="C23" s="133"/>
      <c r="D23" s="133"/>
      <c r="E23" s="133"/>
      <c r="F23" s="32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</row>
    <row r="24" spans="1:18" ht="22.5" x14ac:dyDescent="0.4">
      <c r="A24" s="308" t="s">
        <v>25</v>
      </c>
      <c r="B24" s="743">
        <f>'Licht vervoer'!B24</f>
        <v>0.66666666666666663</v>
      </c>
      <c r="C24" s="743"/>
      <c r="D24" s="309" t="s">
        <v>26</v>
      </c>
      <c r="E24" s="321">
        <f>'Licht vervoer'!E24</f>
        <v>0.74999999999999967</v>
      </c>
      <c r="F24" s="758" t="s">
        <v>14</v>
      </c>
      <c r="G24" s="759"/>
      <c r="H24" s="760"/>
      <c r="I24" s="761" t="s">
        <v>15</v>
      </c>
      <c r="J24" s="762"/>
      <c r="K24" s="763"/>
      <c r="L24" s="761" t="s">
        <v>16</v>
      </c>
      <c r="M24" s="762"/>
      <c r="N24" s="763"/>
      <c r="O24" s="762" t="s">
        <v>17</v>
      </c>
      <c r="P24" s="762"/>
      <c r="Q24" s="762"/>
      <c r="R24" s="755" t="s">
        <v>21</v>
      </c>
    </row>
    <row r="25" spans="1:18" ht="30" customHeight="1" x14ac:dyDescent="0.45">
      <c r="A25" s="739" t="str">
        <f>'Licht vervoer'!A25</f>
        <v>Periode 2:</v>
      </c>
      <c r="B25" s="740"/>
      <c r="C25" s="740"/>
      <c r="D25" s="735" t="str">
        <f>'Licht vervoer'!D25</f>
        <v>Avond</v>
      </c>
      <c r="E25" s="736"/>
      <c r="F25" s="450" t="str">
        <f>'Licht vervoer'!F11</f>
        <v>=</v>
      </c>
      <c r="G25" s="446" t="str">
        <f>'Licht vervoer'!G11</f>
        <v>"</v>
      </c>
      <c r="H25" s="447" t="str">
        <f>'Licht vervoer'!H11</f>
        <v>?</v>
      </c>
      <c r="I25" s="445"/>
      <c r="J25" s="446" t="str">
        <f>'Licht vervoer'!J11</f>
        <v>#</v>
      </c>
      <c r="K25" s="447" t="str">
        <f>'Licht vervoer'!K11</f>
        <v>;</v>
      </c>
      <c r="L25" s="445"/>
      <c r="M25" s="446"/>
      <c r="N25" s="447"/>
      <c r="O25" s="448">
        <f>'Licht vervoer'!O11</f>
        <v>9</v>
      </c>
      <c r="P25" s="446" t="str">
        <f>'Licht vervoer'!P11</f>
        <v>$</v>
      </c>
      <c r="Q25" s="449"/>
      <c r="R25" s="756"/>
    </row>
    <row r="26" spans="1:18" ht="20.25" thickBot="1" x14ac:dyDescent="0.45">
      <c r="A26" s="741"/>
      <c r="B26" s="742"/>
      <c r="C26" s="742"/>
      <c r="D26" s="737"/>
      <c r="E26" s="738"/>
      <c r="F26" s="311" t="s">
        <v>18</v>
      </c>
      <c r="G26" s="312" t="s">
        <v>19</v>
      </c>
      <c r="H26" s="313" t="s">
        <v>20</v>
      </c>
      <c r="I26" s="314"/>
      <c r="J26" s="312" t="s">
        <v>19</v>
      </c>
      <c r="K26" s="313" t="s">
        <v>20</v>
      </c>
      <c r="L26" s="311"/>
      <c r="M26" s="312"/>
      <c r="N26" s="313"/>
      <c r="O26" s="315" t="s">
        <v>18</v>
      </c>
      <c r="P26" s="312" t="s">
        <v>19</v>
      </c>
      <c r="Q26" s="316"/>
      <c r="R26" s="757"/>
    </row>
    <row r="27" spans="1:18" ht="19.5" x14ac:dyDescent="0.4">
      <c r="A27" s="747">
        <f>'Licht vervoer'!A27</f>
        <v>0.66666666666666663</v>
      </c>
      <c r="B27" s="748"/>
      <c r="C27" s="343" t="s">
        <v>23</v>
      </c>
      <c r="D27" s="748">
        <f>'Licht vervoer'!D27</f>
        <v>0.67708333333333326</v>
      </c>
      <c r="E27" s="754"/>
      <c r="F27" s="548">
        <v>2</v>
      </c>
      <c r="G27" s="549">
        <v>0</v>
      </c>
      <c r="H27" s="550">
        <v>2</v>
      </c>
      <c r="I27" s="551"/>
      <c r="J27" s="549">
        <v>17</v>
      </c>
      <c r="K27" s="550">
        <v>5</v>
      </c>
      <c r="L27" s="551"/>
      <c r="M27" s="549"/>
      <c r="N27" s="550"/>
      <c r="O27" s="551">
        <v>4</v>
      </c>
      <c r="P27" s="549">
        <v>5</v>
      </c>
      <c r="Q27" s="550"/>
      <c r="R27" s="322">
        <f>SUM(F27:Q27)</f>
        <v>35</v>
      </c>
    </row>
    <row r="28" spans="1:18" ht="19.5" x14ac:dyDescent="0.4">
      <c r="A28" s="733">
        <f>'Licht vervoer'!A28</f>
        <v>0.67708333333333326</v>
      </c>
      <c r="B28" s="734"/>
      <c r="C28" s="342" t="s">
        <v>23</v>
      </c>
      <c r="D28" s="734">
        <f>'Licht vervoer'!D28</f>
        <v>0.68749999999999989</v>
      </c>
      <c r="E28" s="744"/>
      <c r="F28" s="552">
        <v>4</v>
      </c>
      <c r="G28" s="553">
        <v>0</v>
      </c>
      <c r="H28" s="554">
        <v>2</v>
      </c>
      <c r="I28" s="555"/>
      <c r="J28" s="553">
        <v>17</v>
      </c>
      <c r="K28" s="554">
        <v>8</v>
      </c>
      <c r="L28" s="555"/>
      <c r="M28" s="553"/>
      <c r="N28" s="554"/>
      <c r="O28" s="555">
        <v>8</v>
      </c>
      <c r="P28" s="553">
        <v>4</v>
      </c>
      <c r="Q28" s="554"/>
      <c r="R28" s="323">
        <f t="shared" ref="R28:R34" si="2">SUM(F28:Q28)</f>
        <v>43</v>
      </c>
    </row>
    <row r="29" spans="1:18" ht="19.5" x14ac:dyDescent="0.4">
      <c r="A29" s="733">
        <f>'Licht vervoer'!A29</f>
        <v>0.68749999999999989</v>
      </c>
      <c r="B29" s="734"/>
      <c r="C29" s="342" t="s">
        <v>23</v>
      </c>
      <c r="D29" s="734">
        <f>'Licht vervoer'!D29</f>
        <v>0.69791666666666652</v>
      </c>
      <c r="E29" s="744"/>
      <c r="F29" s="552">
        <v>7</v>
      </c>
      <c r="G29" s="553">
        <v>0</v>
      </c>
      <c r="H29" s="554">
        <v>6</v>
      </c>
      <c r="I29" s="555"/>
      <c r="J29" s="553">
        <v>4</v>
      </c>
      <c r="K29" s="554">
        <v>9</v>
      </c>
      <c r="L29" s="555"/>
      <c r="M29" s="553"/>
      <c r="N29" s="554"/>
      <c r="O29" s="555">
        <v>4</v>
      </c>
      <c r="P29" s="553">
        <v>9</v>
      </c>
      <c r="Q29" s="554"/>
      <c r="R29" s="323">
        <f t="shared" si="2"/>
        <v>39</v>
      </c>
    </row>
    <row r="30" spans="1:18" ht="19.5" x14ac:dyDescent="0.4">
      <c r="A30" s="733">
        <f>'Licht vervoer'!A30</f>
        <v>0.69791666666666652</v>
      </c>
      <c r="B30" s="734"/>
      <c r="C30" s="342" t="s">
        <v>23</v>
      </c>
      <c r="D30" s="734">
        <f>'Licht vervoer'!D30</f>
        <v>0.70833333333333315</v>
      </c>
      <c r="E30" s="744"/>
      <c r="F30" s="552">
        <v>1</v>
      </c>
      <c r="G30" s="553">
        <v>0</v>
      </c>
      <c r="H30" s="554">
        <v>0</v>
      </c>
      <c r="I30" s="555"/>
      <c r="J30" s="553">
        <v>7</v>
      </c>
      <c r="K30" s="554">
        <v>4</v>
      </c>
      <c r="L30" s="555"/>
      <c r="M30" s="553"/>
      <c r="N30" s="554"/>
      <c r="O30" s="555">
        <v>4</v>
      </c>
      <c r="P30" s="553">
        <v>10</v>
      </c>
      <c r="Q30" s="554"/>
      <c r="R30" s="323">
        <f t="shared" si="2"/>
        <v>26</v>
      </c>
    </row>
    <row r="31" spans="1:18" ht="19.5" x14ac:dyDescent="0.4">
      <c r="A31" s="733">
        <f>'Licht vervoer'!A31</f>
        <v>0.70833333333333315</v>
      </c>
      <c r="B31" s="734"/>
      <c r="C31" s="342" t="s">
        <v>23</v>
      </c>
      <c r="D31" s="734">
        <f>'Licht vervoer'!D31</f>
        <v>0.71874999999999978</v>
      </c>
      <c r="E31" s="744"/>
      <c r="F31" s="552">
        <v>0</v>
      </c>
      <c r="G31" s="553">
        <v>0</v>
      </c>
      <c r="H31" s="554">
        <v>2</v>
      </c>
      <c r="I31" s="555"/>
      <c r="J31" s="553">
        <v>6</v>
      </c>
      <c r="K31" s="554">
        <v>3</v>
      </c>
      <c r="L31" s="555"/>
      <c r="M31" s="553"/>
      <c r="N31" s="554"/>
      <c r="O31" s="555">
        <v>3</v>
      </c>
      <c r="P31" s="553">
        <v>15</v>
      </c>
      <c r="Q31" s="554"/>
      <c r="R31" s="323">
        <f t="shared" si="2"/>
        <v>29</v>
      </c>
    </row>
    <row r="32" spans="1:18" ht="19.5" x14ac:dyDescent="0.4">
      <c r="A32" s="733">
        <f>'Licht vervoer'!A32</f>
        <v>0.71874999999999978</v>
      </c>
      <c r="B32" s="734"/>
      <c r="C32" s="342" t="s">
        <v>23</v>
      </c>
      <c r="D32" s="734">
        <f>'Licht vervoer'!D32</f>
        <v>0.72916666666666641</v>
      </c>
      <c r="E32" s="744"/>
      <c r="F32" s="552">
        <v>3</v>
      </c>
      <c r="G32" s="553">
        <v>0</v>
      </c>
      <c r="H32" s="554">
        <v>0</v>
      </c>
      <c r="I32" s="555"/>
      <c r="J32" s="553">
        <v>9</v>
      </c>
      <c r="K32" s="554">
        <v>2</v>
      </c>
      <c r="L32" s="555"/>
      <c r="M32" s="553"/>
      <c r="N32" s="554"/>
      <c r="O32" s="555">
        <v>4</v>
      </c>
      <c r="P32" s="553">
        <v>4</v>
      </c>
      <c r="Q32" s="554"/>
      <c r="R32" s="323">
        <f t="shared" si="2"/>
        <v>22</v>
      </c>
    </row>
    <row r="33" spans="1:18" ht="19.5" x14ac:dyDescent="0.4">
      <c r="A33" s="733">
        <f>'Licht vervoer'!A33</f>
        <v>0.72916666666666641</v>
      </c>
      <c r="B33" s="734"/>
      <c r="C33" s="342" t="s">
        <v>23</v>
      </c>
      <c r="D33" s="734">
        <f>'Licht vervoer'!D33</f>
        <v>0.73958333333333304</v>
      </c>
      <c r="E33" s="744"/>
      <c r="F33" s="552">
        <v>2</v>
      </c>
      <c r="G33" s="553">
        <v>0</v>
      </c>
      <c r="H33" s="554">
        <v>1</v>
      </c>
      <c r="I33" s="555"/>
      <c r="J33" s="553">
        <v>13</v>
      </c>
      <c r="K33" s="554">
        <v>5</v>
      </c>
      <c r="L33" s="555"/>
      <c r="M33" s="553"/>
      <c r="N33" s="554"/>
      <c r="O33" s="555">
        <v>3</v>
      </c>
      <c r="P33" s="553">
        <v>6</v>
      </c>
      <c r="Q33" s="554"/>
      <c r="R33" s="323">
        <f t="shared" si="2"/>
        <v>30</v>
      </c>
    </row>
    <row r="34" spans="1:18" ht="20.25" thickBot="1" x14ac:dyDescent="0.45">
      <c r="A34" s="753">
        <f>'Licht vervoer'!A34</f>
        <v>0.73958333333333304</v>
      </c>
      <c r="B34" s="729"/>
      <c r="C34" s="344" t="s">
        <v>23</v>
      </c>
      <c r="D34" s="729">
        <f>'Licht vervoer'!D34</f>
        <v>0.74999999999999967</v>
      </c>
      <c r="E34" s="730"/>
      <c r="F34" s="556">
        <v>2</v>
      </c>
      <c r="G34" s="557">
        <v>0</v>
      </c>
      <c r="H34" s="558">
        <v>2</v>
      </c>
      <c r="I34" s="559"/>
      <c r="J34" s="557">
        <v>8</v>
      </c>
      <c r="K34" s="558">
        <v>5</v>
      </c>
      <c r="L34" s="559"/>
      <c r="M34" s="557"/>
      <c r="N34" s="558"/>
      <c r="O34" s="559">
        <v>3</v>
      </c>
      <c r="P34" s="557">
        <v>4</v>
      </c>
      <c r="Q34" s="558"/>
      <c r="R34" s="326">
        <f t="shared" si="2"/>
        <v>24</v>
      </c>
    </row>
    <row r="35" spans="1:18" ht="20.25" thickBot="1" x14ac:dyDescent="0.45">
      <c r="A35" s="745" t="s">
        <v>21</v>
      </c>
      <c r="B35" s="746"/>
      <c r="C35" s="746"/>
      <c r="D35" s="746"/>
      <c r="E35" s="746"/>
      <c r="F35" s="329">
        <f>SUM(F27:F34)</f>
        <v>21</v>
      </c>
      <c r="G35" s="324">
        <f t="shared" ref="G35:P35" si="3">SUM(G27:G34)</f>
        <v>0</v>
      </c>
      <c r="H35" s="330">
        <f t="shared" si="3"/>
        <v>15</v>
      </c>
      <c r="I35" s="329"/>
      <c r="J35" s="324">
        <f t="shared" si="3"/>
        <v>81</v>
      </c>
      <c r="K35" s="330">
        <f t="shared" si="3"/>
        <v>41</v>
      </c>
      <c r="L35" s="329"/>
      <c r="M35" s="324"/>
      <c r="N35" s="330"/>
      <c r="O35" s="329">
        <f t="shared" si="3"/>
        <v>33</v>
      </c>
      <c r="P35" s="324">
        <f t="shared" si="3"/>
        <v>57</v>
      </c>
      <c r="Q35" s="330"/>
      <c r="R35" s="64">
        <f xml:space="preserve"> SUM(R27:R34)</f>
        <v>248</v>
      </c>
    </row>
    <row r="36" spans="1:18" ht="20.25" thickBot="1" x14ac:dyDescent="0.45">
      <c r="A36" s="133"/>
      <c r="B36" s="133"/>
      <c r="C36" s="133"/>
      <c r="D36" s="133"/>
      <c r="E36" s="133"/>
      <c r="F36" s="318"/>
      <c r="G36" s="61">
        <f xml:space="preserve"> SUM(F35:H35)</f>
        <v>36</v>
      </c>
      <c r="H36" s="62"/>
      <c r="I36" s="63"/>
      <c r="J36" s="61">
        <f>SUM(I35:K35)</f>
        <v>122</v>
      </c>
      <c r="K36" s="62"/>
      <c r="L36" s="63"/>
      <c r="M36" s="61">
        <f>SUM(L35:N35)</f>
        <v>0</v>
      </c>
      <c r="N36" s="62"/>
      <c r="O36" s="63"/>
      <c r="P36" s="61">
        <f>SUM(O35:Q35)</f>
        <v>90</v>
      </c>
      <c r="Q36" s="319"/>
      <c r="R36" s="308"/>
    </row>
    <row r="37" spans="1:18" ht="13.5" thickBot="1" x14ac:dyDescent="0.25"/>
    <row r="38" spans="1:18" ht="60" customHeight="1" thickBot="1" x14ac:dyDescent="0.25">
      <c r="A38" s="631" t="s">
        <v>81</v>
      </c>
      <c r="B38" s="632"/>
      <c r="C38" s="633"/>
      <c r="D38" s="633"/>
      <c r="E38" s="634"/>
      <c r="F38" s="635"/>
      <c r="G38" s="636"/>
      <c r="H38" s="637"/>
      <c r="I38" s="635"/>
      <c r="J38" s="636"/>
      <c r="K38" s="637"/>
      <c r="L38" s="635"/>
      <c r="M38" s="636"/>
      <c r="N38" s="637"/>
      <c r="O38" s="635"/>
      <c r="P38" s="636"/>
      <c r="Q38" s="637"/>
    </row>
    <row r="40" spans="1:18" ht="16.5" x14ac:dyDescent="0.35">
      <c r="B40" s="25"/>
      <c r="C40" s="25"/>
    </row>
    <row r="41" spans="1:18" ht="16.5" x14ac:dyDescent="0.35">
      <c r="B41" s="26"/>
      <c r="C41" s="26"/>
    </row>
  </sheetData>
  <sheetProtection selectLockedCells="1"/>
  <mergeCells count="77">
    <mergeCell ref="A1:R1"/>
    <mergeCell ref="A2:R2"/>
    <mergeCell ref="A3:D3"/>
    <mergeCell ref="J3:M4"/>
    <mergeCell ref="P3:R3"/>
    <mergeCell ref="A4:D4"/>
    <mergeCell ref="P4:R4"/>
    <mergeCell ref="E3:H3"/>
    <mergeCell ref="E4:H4"/>
    <mergeCell ref="A5:D5"/>
    <mergeCell ref="P5:R5"/>
    <mergeCell ref="A6:D6"/>
    <mergeCell ref="P6:R6"/>
    <mergeCell ref="J5:M5"/>
    <mergeCell ref="J6:M6"/>
    <mergeCell ref="E5:H5"/>
    <mergeCell ref="E6:H6"/>
    <mergeCell ref="P7:R8"/>
    <mergeCell ref="F10:H10"/>
    <mergeCell ref="I10:K10"/>
    <mergeCell ref="L10:N10"/>
    <mergeCell ref="O10:Q10"/>
    <mergeCell ref="R10:R12"/>
    <mergeCell ref="J7:M7"/>
    <mergeCell ref="J8:M8"/>
    <mergeCell ref="A7:D7"/>
    <mergeCell ref="A21:E21"/>
    <mergeCell ref="E7:H8"/>
    <mergeCell ref="A17:B17"/>
    <mergeCell ref="A18:B18"/>
    <mergeCell ref="A19:B19"/>
    <mergeCell ref="B10:C10"/>
    <mergeCell ref="D11:E12"/>
    <mergeCell ref="D16:E16"/>
    <mergeCell ref="D17:E17"/>
    <mergeCell ref="A13:B13"/>
    <mergeCell ref="A14:B14"/>
    <mergeCell ref="A15:B15"/>
    <mergeCell ref="A16:B16"/>
    <mergeCell ref="A11:C12"/>
    <mergeCell ref="A20:B20"/>
    <mergeCell ref="R24:R26"/>
    <mergeCell ref="F24:H24"/>
    <mergeCell ref="I24:K24"/>
    <mergeCell ref="L24:N24"/>
    <mergeCell ref="O24:Q24"/>
    <mergeCell ref="D27:E27"/>
    <mergeCell ref="D33:E33"/>
    <mergeCell ref="D30:E30"/>
    <mergeCell ref="D31:E31"/>
    <mergeCell ref="D32:E32"/>
    <mergeCell ref="A29:B29"/>
    <mergeCell ref="A30:B30"/>
    <mergeCell ref="A32:B32"/>
    <mergeCell ref="A33:B33"/>
    <mergeCell ref="A34:B34"/>
    <mergeCell ref="D13:E13"/>
    <mergeCell ref="D14:E14"/>
    <mergeCell ref="D15:E15"/>
    <mergeCell ref="D18:E18"/>
    <mergeCell ref="D19:E19"/>
    <mergeCell ref="L38:N38"/>
    <mergeCell ref="O38:Q38"/>
    <mergeCell ref="D34:E34"/>
    <mergeCell ref="D20:E20"/>
    <mergeCell ref="A31:B31"/>
    <mergeCell ref="A38:E38"/>
    <mergeCell ref="F38:H38"/>
    <mergeCell ref="I38:K38"/>
    <mergeCell ref="D25:E26"/>
    <mergeCell ref="A25:C26"/>
    <mergeCell ref="B24:C24"/>
    <mergeCell ref="D28:E28"/>
    <mergeCell ref="D29:E29"/>
    <mergeCell ref="A35:E35"/>
    <mergeCell ref="A27:B27"/>
    <mergeCell ref="A28:B28"/>
  </mergeCells>
  <phoneticPr fontId="2" type="noConversion"/>
  <conditionalFormatting sqref="F13:Q20 F27:Q34">
    <cfRule type="cellIs" dxfId="68" priority="1" stopIfTrue="1" operator="notBetween">
      <formula>0</formula>
      <formula>1000</formula>
    </cfRule>
  </conditionalFormatting>
  <pageMargins left="0.56999999999999995" right="0.16" top="0.65" bottom="0.25" header="0.5" footer="0.28000000000000003"/>
  <pageSetup paperSize="9" scale="65" orientation="landscape" r:id="rId1"/>
  <headerFooter alignWithMargins="0">
    <oddFooter>&amp;LKwaliteitssysteem AWV
F-EVT-PP03-11 Geldig vanaf 01-05-2011 Versie 1.0</oddFooter>
  </headerFooter>
  <colBreaks count="1" manualBreakCount="1">
    <brk id="1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V46"/>
  <sheetViews>
    <sheetView zoomScale="70" zoomScaleNormal="70" workbookViewId="0">
      <selection sqref="A1:R1"/>
    </sheetView>
  </sheetViews>
  <sheetFormatPr defaultRowHeight="12.75" x14ac:dyDescent="0.2"/>
  <cols>
    <col min="1" max="1" width="10.7109375" customWidth="1"/>
    <col min="2" max="4" width="5.7109375" customWidth="1"/>
    <col min="5" max="5" width="10.7109375" customWidth="1"/>
    <col min="6" max="7" width="12" customWidth="1"/>
    <col min="8" max="8" width="13.7109375" customWidth="1"/>
    <col min="9" max="17" width="12" customWidth="1"/>
    <col min="18" max="18" width="29.5703125" customWidth="1"/>
    <col min="19" max="22" width="9.140625" hidden="1" customWidth="1"/>
  </cols>
  <sheetData>
    <row r="1" spans="1:22" s="473" customFormat="1" ht="37.5" customHeight="1" x14ac:dyDescent="0.4">
      <c r="A1" s="667" t="s">
        <v>55</v>
      </c>
      <c r="B1" s="668"/>
      <c r="C1" s="668"/>
      <c r="D1" s="668"/>
      <c r="E1" s="668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70"/>
      <c r="S1" s="472"/>
    </row>
    <row r="2" spans="1:22" s="473" customFormat="1" ht="52.5" customHeight="1" thickBot="1" x14ac:dyDescent="0.25">
      <c r="A2" s="671" t="s">
        <v>80</v>
      </c>
      <c r="B2" s="672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4"/>
      <c r="S2" s="474"/>
    </row>
    <row r="3" spans="1:22" ht="22.5" customHeight="1" x14ac:dyDescent="0.45">
      <c r="A3" s="720" t="s">
        <v>0</v>
      </c>
      <c r="B3" s="721"/>
      <c r="C3" s="721"/>
      <c r="D3" s="795" t="str">
        <f>'Licht vervoer'!E3</f>
        <v>-</v>
      </c>
      <c r="E3" s="795"/>
      <c r="F3" s="795"/>
      <c r="G3" s="796"/>
      <c r="H3" s="563" t="s">
        <v>5</v>
      </c>
      <c r="I3" s="795" t="str">
        <f>'Licht vervoer'!J3</f>
        <v>N26 / E314 Zuid</v>
      </c>
      <c r="J3" s="795"/>
      <c r="K3" s="795"/>
      <c r="L3" s="795"/>
      <c r="M3" s="795"/>
      <c r="N3" s="796"/>
      <c r="O3" s="797" t="s">
        <v>13</v>
      </c>
      <c r="P3" s="798"/>
      <c r="Q3" s="799">
        <f>'Licht vervoer'!P3</f>
        <v>43207</v>
      </c>
      <c r="R3" s="800"/>
    </row>
    <row r="4" spans="1:22" ht="22.5" customHeight="1" x14ac:dyDescent="0.4">
      <c r="A4" s="702" t="s">
        <v>1</v>
      </c>
      <c r="B4" s="703"/>
      <c r="C4" s="703"/>
      <c r="D4" s="776" t="str">
        <f>'Licht vervoer'!E4</f>
        <v>-</v>
      </c>
      <c r="E4" s="776"/>
      <c r="F4" s="776"/>
      <c r="G4" s="777"/>
      <c r="H4" s="564"/>
      <c r="I4" s="776"/>
      <c r="J4" s="776"/>
      <c r="K4" s="776"/>
      <c r="L4" s="776"/>
      <c r="M4" s="776"/>
      <c r="N4" s="777"/>
      <c r="O4" s="792" t="s">
        <v>22</v>
      </c>
      <c r="P4" s="793"/>
      <c r="Q4" s="778" t="str">
        <f>'Licht vervoer'!P4</f>
        <v>-</v>
      </c>
      <c r="R4" s="794"/>
    </row>
    <row r="5" spans="1:22" ht="22.5" customHeight="1" x14ac:dyDescent="0.45">
      <c r="A5" s="702" t="s">
        <v>6</v>
      </c>
      <c r="B5" s="703"/>
      <c r="C5" s="703"/>
      <c r="D5" s="776" t="str">
        <f>'Licht vervoer'!E5</f>
        <v>Limburg</v>
      </c>
      <c r="E5" s="776"/>
      <c r="F5" s="776"/>
      <c r="G5" s="777"/>
      <c r="H5" s="500" t="s">
        <v>7</v>
      </c>
      <c r="I5" s="776" t="str">
        <f>'Licht vervoer'!J5</f>
        <v>Afrit E314 Zuid (West)</v>
      </c>
      <c r="J5" s="776"/>
      <c r="K5" s="777"/>
      <c r="L5" s="769" t="s">
        <v>72</v>
      </c>
      <c r="M5" s="770"/>
      <c r="N5" s="771"/>
      <c r="O5" s="792" t="s">
        <v>57</v>
      </c>
      <c r="P5" s="793"/>
      <c r="Q5" s="778" t="str">
        <f>'Licht vervoer'!P5</f>
        <v>Dufec</v>
      </c>
      <c r="R5" s="794"/>
      <c r="S5" s="473" t="b">
        <v>0</v>
      </c>
    </row>
    <row r="6" spans="1:22" ht="22.5" customHeight="1" x14ac:dyDescent="0.45">
      <c r="A6" s="702" t="s">
        <v>3</v>
      </c>
      <c r="B6" s="703"/>
      <c r="C6" s="703"/>
      <c r="D6" s="776" t="str">
        <f>'Licht vervoer'!E6</f>
        <v>Leuven</v>
      </c>
      <c r="E6" s="776"/>
      <c r="F6" s="776"/>
      <c r="G6" s="777"/>
      <c r="H6" s="500" t="s">
        <v>8</v>
      </c>
      <c r="I6" s="776" t="str">
        <f>'Licht vervoer'!J6</f>
        <v>N26 komende van N26a</v>
      </c>
      <c r="J6" s="776"/>
      <c r="K6" s="777"/>
      <c r="L6" s="769" t="s">
        <v>72</v>
      </c>
      <c r="M6" s="772"/>
      <c r="N6" s="773"/>
      <c r="O6" s="780" t="s">
        <v>56</v>
      </c>
      <c r="P6" s="781"/>
      <c r="Q6" s="782" t="str">
        <f>'Licht vervoer'!P6</f>
        <v>Half bewolkt, geen neerslag</v>
      </c>
      <c r="R6" s="783"/>
      <c r="S6" s="473" t="b">
        <v>0</v>
      </c>
    </row>
    <row r="7" spans="1:22" ht="22.5" customHeight="1" x14ac:dyDescent="0.45">
      <c r="A7" s="702" t="s">
        <v>4</v>
      </c>
      <c r="B7" s="703"/>
      <c r="C7" s="703"/>
      <c r="D7" s="778" t="str">
        <f>'Licht vervoer'!E7</f>
        <v>Leuven</v>
      </c>
      <c r="E7" s="778"/>
      <c r="F7" s="778"/>
      <c r="G7" s="779"/>
      <c r="H7" s="500" t="s">
        <v>9</v>
      </c>
      <c r="I7" s="776" t="str">
        <f>'Licht vervoer'!J7</f>
        <v>Toerit E314 Zuid (Oost)</v>
      </c>
      <c r="J7" s="776"/>
      <c r="K7" s="777"/>
      <c r="L7" s="769" t="s">
        <v>72</v>
      </c>
      <c r="M7" s="774"/>
      <c r="N7" s="773"/>
      <c r="O7" s="792"/>
      <c r="P7" s="793"/>
      <c r="Q7" s="782"/>
      <c r="R7" s="783"/>
      <c r="S7" s="473" t="b">
        <v>0</v>
      </c>
    </row>
    <row r="8" spans="1:22" ht="22.5" customHeight="1" x14ac:dyDescent="0.45">
      <c r="A8" s="565"/>
      <c r="B8" s="566"/>
      <c r="C8" s="566"/>
      <c r="D8" s="567"/>
      <c r="E8" s="568"/>
      <c r="F8" s="568"/>
      <c r="G8" s="568"/>
      <c r="H8" s="500" t="s">
        <v>10</v>
      </c>
      <c r="I8" s="776" t="str">
        <f>'Licht vervoer'!J8</f>
        <v>N26 komende van E314 Noord</v>
      </c>
      <c r="J8" s="776"/>
      <c r="K8" s="777"/>
      <c r="L8" s="769" t="s">
        <v>72</v>
      </c>
      <c r="M8" s="775"/>
      <c r="N8" s="771"/>
      <c r="O8" s="780" t="s">
        <v>12</v>
      </c>
      <c r="P8" s="781"/>
      <c r="Q8" s="782" t="str">
        <f>'Licht vervoer'!P7</f>
        <v>Op het kruispunt zijn ook wachtrijmetingen uitgevoerd.</v>
      </c>
      <c r="R8" s="783"/>
      <c r="S8" s="473" t="b">
        <v>0</v>
      </c>
    </row>
    <row r="9" spans="1:22" ht="22.5" customHeight="1" thickBot="1" x14ac:dyDescent="0.5">
      <c r="A9" s="491"/>
      <c r="B9" s="492"/>
      <c r="C9" s="492"/>
      <c r="D9" s="569"/>
      <c r="E9" s="570"/>
      <c r="F9" s="570"/>
      <c r="G9" s="570"/>
      <c r="H9" s="497"/>
      <c r="I9" s="571"/>
      <c r="J9" s="571"/>
      <c r="K9" s="571"/>
      <c r="L9" s="560"/>
      <c r="M9" s="561"/>
      <c r="N9" s="562"/>
      <c r="O9" s="572"/>
      <c r="P9" s="572"/>
      <c r="Q9" s="784"/>
      <c r="R9" s="785"/>
    </row>
    <row r="10" spans="1:22" ht="17.25" customHeight="1" thickBot="1" x14ac:dyDescent="0.5">
      <c r="A10" s="335"/>
      <c r="B10" s="335"/>
      <c r="C10" s="335"/>
      <c r="D10" s="335"/>
      <c r="E10" s="300"/>
      <c r="F10" s="444"/>
      <c r="G10" s="300"/>
      <c r="H10" s="336"/>
      <c r="I10" s="300"/>
      <c r="J10" s="300"/>
      <c r="K10" s="300"/>
      <c r="L10" s="337"/>
      <c r="M10" s="338"/>
      <c r="N10" s="339"/>
      <c r="O10" s="340"/>
      <c r="P10" s="340"/>
      <c r="Q10" s="325"/>
      <c r="R10" s="325"/>
    </row>
    <row r="11" spans="1:22" ht="22.5" customHeight="1" x14ac:dyDescent="0.4">
      <c r="A11" s="308" t="s">
        <v>25</v>
      </c>
      <c r="B11" s="786">
        <f>'Licht vervoer'!B10</f>
        <v>0.29166666666666669</v>
      </c>
      <c r="C11" s="786"/>
      <c r="D11" s="309" t="s">
        <v>26</v>
      </c>
      <c r="E11" s="310">
        <f>'Licht vervoer'!E10</f>
        <v>0.37500000000000017</v>
      </c>
      <c r="F11" s="758" t="s">
        <v>14</v>
      </c>
      <c r="G11" s="759"/>
      <c r="H11" s="760"/>
      <c r="I11" s="761" t="s">
        <v>15</v>
      </c>
      <c r="J11" s="762"/>
      <c r="K11" s="763"/>
      <c r="L11" s="761" t="s">
        <v>16</v>
      </c>
      <c r="M11" s="762"/>
      <c r="N11" s="763"/>
      <c r="O11" s="762" t="s">
        <v>17</v>
      </c>
      <c r="P11" s="762"/>
      <c r="Q11" s="762"/>
      <c r="R11" s="755" t="s">
        <v>21</v>
      </c>
    </row>
    <row r="12" spans="1:22" ht="30" customHeight="1" x14ac:dyDescent="0.45">
      <c r="A12" s="791" t="str">
        <f>'Licht vervoer'!A11</f>
        <v>Periode 1:</v>
      </c>
      <c r="B12" s="787"/>
      <c r="C12" s="787"/>
      <c r="D12" s="787" t="str">
        <f>'Licht vervoer'!D11</f>
        <v>Ochtend</v>
      </c>
      <c r="E12" s="788"/>
      <c r="F12" s="573" t="str">
        <f>IF($S$5=TRUE,"=","= ")</f>
        <v xml:space="preserve">= </v>
      </c>
      <c r="G12" s="574" t="str">
        <f>IF($S$5=TRUE,""""," """)</f>
        <v xml:space="preserve"> "</v>
      </c>
      <c r="H12" s="575" t="str">
        <f>IF($S$5=TRUE,"?","? ")</f>
        <v xml:space="preserve">? </v>
      </c>
      <c r="I12" s="573" t="str">
        <f>IF($S$6=TRUE,":",": ")</f>
        <v xml:space="preserve">: </v>
      </c>
      <c r="J12" s="576" t="str">
        <f>IF($S$6=TRUE,"#","# ")</f>
        <v xml:space="preserve"># </v>
      </c>
      <c r="K12" s="575" t="str">
        <f>IF($S$6=TRUE,";","; ")</f>
        <v xml:space="preserve">; </v>
      </c>
      <c r="L12" s="573" t="str">
        <f>IF($S$7=TRUE,"&gt;","&gt; ")</f>
        <v xml:space="preserve">&gt; </v>
      </c>
      <c r="M12" s="574" t="str">
        <f>IF($S$7=TRUE,"!","! ")</f>
        <v xml:space="preserve">! </v>
      </c>
      <c r="N12" s="575" t="str">
        <f>IF($S$7=TRUE,"&lt;","&lt; ")</f>
        <v xml:space="preserve">&lt; </v>
      </c>
      <c r="O12" s="573" t="str">
        <f>IF($S$8=TRUE,"9","9 ")</f>
        <v xml:space="preserve">9 </v>
      </c>
      <c r="P12" s="574" t="str">
        <f>IF($S$8=TRUE,"$","$ ")</f>
        <v xml:space="preserve">$ </v>
      </c>
      <c r="Q12" s="575" t="str">
        <f>IF($S$8=TRUE,"8","8 ")</f>
        <v xml:space="preserve">8 </v>
      </c>
      <c r="R12" s="756"/>
    </row>
    <row r="13" spans="1:22" ht="42.75" customHeight="1" thickBot="1" x14ac:dyDescent="0.25">
      <c r="A13" s="764"/>
      <c r="B13" s="789"/>
      <c r="C13" s="789"/>
      <c r="D13" s="789"/>
      <c r="E13" s="790"/>
      <c r="F13" s="625" t="str">
        <f>IF($S$5=TRUE,"linksaf","linksaf ")</f>
        <v xml:space="preserve">linksaf </v>
      </c>
      <c r="G13" s="624" t="str">
        <f>IF($S$5=TRUE,"rechtdoor","oversteek op tak 2 ")</f>
        <v xml:space="preserve">oversteek op tak 2 </v>
      </c>
      <c r="H13" s="626" t="str">
        <f>IF($S$5=TRUE,"rechtsaf","rechtsaf ")</f>
        <v xml:space="preserve">rechtsaf </v>
      </c>
      <c r="I13" s="625" t="str">
        <f>IF($S$6=TRUE,"linksaf","linksaf ")</f>
        <v xml:space="preserve">linksaf </v>
      </c>
      <c r="J13" s="624" t="str">
        <f>IF($S$6=TRUE,"rechtdoor","oversteek op tak 3 ")</f>
        <v xml:space="preserve">oversteek op tak 3 </v>
      </c>
      <c r="K13" s="626" t="str">
        <f>IF($S$6=TRUE,"rechtsaf","rechtsaf ")</f>
        <v xml:space="preserve">rechtsaf </v>
      </c>
      <c r="L13" s="625" t="str">
        <f>IF($S$7=TRUE,"linksaf","linksaf ")</f>
        <v xml:space="preserve">linksaf </v>
      </c>
      <c r="M13" s="624" t="str">
        <f>IF($S$7=TRUE,"rechtdoor","oversteek op tak 4")</f>
        <v>oversteek op tak 4</v>
      </c>
      <c r="N13" s="626" t="str">
        <f>IF($S$7=TRUE,"rechtsaf","rechtsaf ")</f>
        <v xml:space="preserve">rechtsaf </v>
      </c>
      <c r="O13" s="625" t="str">
        <f>IF($S$8=TRUE,"linksaf","linksaf ")</f>
        <v xml:space="preserve">linksaf </v>
      </c>
      <c r="P13" s="624" t="str">
        <f>IF($S$8=TRUE,"rechtdoor","oversteek op tak 1 ")</f>
        <v xml:space="preserve">oversteek op tak 1 </v>
      </c>
      <c r="Q13" s="626" t="str">
        <f>IF($S$8=TRUE,"rechtsaf","rechtsaf ")</f>
        <v xml:space="preserve">rechtsaf </v>
      </c>
      <c r="R13" s="757"/>
    </row>
    <row r="14" spans="1:22" ht="19.5" x14ac:dyDescent="0.4">
      <c r="A14" s="767">
        <f>'Licht vervoer'!A13</f>
        <v>0.29166666666666669</v>
      </c>
      <c r="B14" s="749"/>
      <c r="C14" s="347" t="s">
        <v>23</v>
      </c>
      <c r="D14" s="749">
        <f>'Licht vervoer'!D13</f>
        <v>0.30208333333333337</v>
      </c>
      <c r="E14" s="750"/>
      <c r="F14" s="480"/>
      <c r="G14" s="549"/>
      <c r="H14" s="482"/>
      <c r="I14" s="483"/>
      <c r="J14" s="549">
        <v>2</v>
      </c>
      <c r="K14" s="482"/>
      <c r="L14" s="483"/>
      <c r="M14" s="549"/>
      <c r="N14" s="482"/>
      <c r="O14" s="483"/>
      <c r="P14" s="549">
        <v>11</v>
      </c>
      <c r="Q14" s="482"/>
      <c r="R14" s="238">
        <f>SUM(S14:V14)</f>
        <v>13</v>
      </c>
      <c r="S14" s="122">
        <f>IF($S$5=TRUE,SUM(F14:H14),G14)</f>
        <v>0</v>
      </c>
      <c r="T14" s="122">
        <f>IF($S$6=TRUE,SUM(I14:K14),J14)</f>
        <v>2</v>
      </c>
      <c r="U14" s="122">
        <f>IF($S$7=TRUE,SUM(L14:N14),M14)</f>
        <v>0</v>
      </c>
      <c r="V14" s="122">
        <f>IF($S$8=TRUE,SUM(O14:Q14),P14)</f>
        <v>11</v>
      </c>
    </row>
    <row r="15" spans="1:22" ht="19.5" x14ac:dyDescent="0.4">
      <c r="A15" s="766">
        <f>'Licht vervoer'!A14</f>
        <v>0.30208333333333337</v>
      </c>
      <c r="B15" s="751"/>
      <c r="C15" s="345" t="s">
        <v>23</v>
      </c>
      <c r="D15" s="751">
        <f>'Licht vervoer'!D14</f>
        <v>0.31250000000000006</v>
      </c>
      <c r="E15" s="752"/>
      <c r="F15" s="480"/>
      <c r="G15" s="553"/>
      <c r="H15" s="482"/>
      <c r="I15" s="483"/>
      <c r="J15" s="553">
        <v>6</v>
      </c>
      <c r="K15" s="482"/>
      <c r="L15" s="483"/>
      <c r="M15" s="553"/>
      <c r="N15" s="482"/>
      <c r="O15" s="483"/>
      <c r="P15" s="553">
        <v>21</v>
      </c>
      <c r="Q15" s="482"/>
      <c r="R15" s="239">
        <f t="shared" ref="R15:R21" si="0">SUM(S15:V15)</f>
        <v>27</v>
      </c>
      <c r="S15" s="122">
        <f>IF($S$5=TRUE,SUM(F15:H15),G15)</f>
        <v>0</v>
      </c>
      <c r="T15" s="122">
        <f t="shared" ref="T15:T21" si="1">IF($S$6=TRUE,SUM(I15:K15),J15)</f>
        <v>6</v>
      </c>
      <c r="U15" s="122">
        <f t="shared" ref="U15:U21" si="2">IF($S$7=TRUE,SUM(L15:N15),M15)</f>
        <v>0</v>
      </c>
      <c r="V15" s="122">
        <f t="shared" ref="V15:V21" si="3">IF($S$8=TRUE,SUM(O15:Q15),P15)</f>
        <v>21</v>
      </c>
    </row>
    <row r="16" spans="1:22" ht="19.5" x14ac:dyDescent="0.4">
      <c r="A16" s="766">
        <f>'Licht vervoer'!A15</f>
        <v>0.31250000000000006</v>
      </c>
      <c r="B16" s="751"/>
      <c r="C16" s="345" t="s">
        <v>23</v>
      </c>
      <c r="D16" s="751">
        <f>'Licht vervoer'!D15</f>
        <v>0.32291666666666674</v>
      </c>
      <c r="E16" s="752"/>
      <c r="F16" s="480"/>
      <c r="G16" s="553"/>
      <c r="H16" s="482"/>
      <c r="I16" s="483"/>
      <c r="J16" s="553">
        <v>3</v>
      </c>
      <c r="K16" s="482"/>
      <c r="L16" s="483"/>
      <c r="M16" s="553"/>
      <c r="N16" s="482"/>
      <c r="O16" s="483"/>
      <c r="P16" s="553">
        <v>73</v>
      </c>
      <c r="Q16" s="482"/>
      <c r="R16" s="239">
        <f t="shared" si="0"/>
        <v>76</v>
      </c>
      <c r="S16" s="122">
        <f t="shared" ref="S16:S21" si="4">IF($S$5=TRUE,SUM(F16:H16),G16)</f>
        <v>0</v>
      </c>
      <c r="T16" s="122">
        <f t="shared" si="1"/>
        <v>3</v>
      </c>
      <c r="U16" s="122">
        <f t="shared" si="2"/>
        <v>0</v>
      </c>
      <c r="V16" s="122">
        <f t="shared" si="3"/>
        <v>73</v>
      </c>
    </row>
    <row r="17" spans="1:22" ht="19.5" x14ac:dyDescent="0.4">
      <c r="A17" s="766">
        <f>'Licht vervoer'!A16</f>
        <v>0.32291666666666674</v>
      </c>
      <c r="B17" s="751"/>
      <c r="C17" s="345" t="s">
        <v>23</v>
      </c>
      <c r="D17" s="751">
        <f>'Licht vervoer'!D16</f>
        <v>0.33333333333333343</v>
      </c>
      <c r="E17" s="752"/>
      <c r="F17" s="480"/>
      <c r="G17" s="553"/>
      <c r="H17" s="482"/>
      <c r="I17" s="483"/>
      <c r="J17" s="553">
        <v>4</v>
      </c>
      <c r="K17" s="482"/>
      <c r="L17" s="483"/>
      <c r="M17" s="553"/>
      <c r="N17" s="482"/>
      <c r="O17" s="483"/>
      <c r="P17" s="553">
        <v>93</v>
      </c>
      <c r="Q17" s="482"/>
      <c r="R17" s="239">
        <f t="shared" si="0"/>
        <v>97</v>
      </c>
      <c r="S17" s="122">
        <f t="shared" si="4"/>
        <v>0</v>
      </c>
      <c r="T17" s="122">
        <f t="shared" si="1"/>
        <v>4</v>
      </c>
      <c r="U17" s="122">
        <f t="shared" si="2"/>
        <v>0</v>
      </c>
      <c r="V17" s="122">
        <f t="shared" si="3"/>
        <v>93</v>
      </c>
    </row>
    <row r="18" spans="1:22" ht="19.5" x14ac:dyDescent="0.4">
      <c r="A18" s="766">
        <f>'Licht vervoer'!A17</f>
        <v>0.33333333333333343</v>
      </c>
      <c r="B18" s="751"/>
      <c r="C18" s="345" t="s">
        <v>23</v>
      </c>
      <c r="D18" s="751">
        <f>'Licht vervoer'!D17</f>
        <v>0.34375000000000011</v>
      </c>
      <c r="E18" s="752"/>
      <c r="F18" s="480"/>
      <c r="G18" s="553"/>
      <c r="H18" s="482"/>
      <c r="I18" s="483"/>
      <c r="J18" s="553">
        <v>14</v>
      </c>
      <c r="K18" s="482"/>
      <c r="L18" s="483"/>
      <c r="M18" s="553"/>
      <c r="N18" s="482"/>
      <c r="O18" s="483"/>
      <c r="P18" s="553">
        <v>125</v>
      </c>
      <c r="Q18" s="482"/>
      <c r="R18" s="239">
        <f t="shared" si="0"/>
        <v>139</v>
      </c>
      <c r="S18" s="122">
        <f t="shared" si="4"/>
        <v>0</v>
      </c>
      <c r="T18" s="122">
        <f t="shared" si="1"/>
        <v>14</v>
      </c>
      <c r="U18" s="122">
        <f t="shared" si="2"/>
        <v>0</v>
      </c>
      <c r="V18" s="122">
        <f t="shared" si="3"/>
        <v>125</v>
      </c>
    </row>
    <row r="19" spans="1:22" ht="19.5" x14ac:dyDescent="0.4">
      <c r="A19" s="766">
        <f>'Licht vervoer'!A18</f>
        <v>0.34375000000000011</v>
      </c>
      <c r="B19" s="751"/>
      <c r="C19" s="345" t="s">
        <v>23</v>
      </c>
      <c r="D19" s="751">
        <f>'Licht vervoer'!D18</f>
        <v>0.3541666666666668</v>
      </c>
      <c r="E19" s="752"/>
      <c r="F19" s="480"/>
      <c r="G19" s="553"/>
      <c r="H19" s="482"/>
      <c r="I19" s="483"/>
      <c r="J19" s="553">
        <v>13</v>
      </c>
      <c r="K19" s="482"/>
      <c r="L19" s="483"/>
      <c r="M19" s="553"/>
      <c r="N19" s="482"/>
      <c r="O19" s="483"/>
      <c r="P19" s="553">
        <v>63</v>
      </c>
      <c r="Q19" s="482"/>
      <c r="R19" s="239">
        <f t="shared" si="0"/>
        <v>76</v>
      </c>
      <c r="S19" s="122">
        <f t="shared" si="4"/>
        <v>0</v>
      </c>
      <c r="T19" s="122">
        <f t="shared" si="1"/>
        <v>13</v>
      </c>
      <c r="U19" s="122">
        <f>IF($S$7=TRUE,SUM(L19:N19),M19)</f>
        <v>0</v>
      </c>
      <c r="V19" s="122">
        <f t="shared" si="3"/>
        <v>63</v>
      </c>
    </row>
    <row r="20" spans="1:22" ht="19.5" x14ac:dyDescent="0.4">
      <c r="A20" s="766">
        <f>'Licht vervoer'!A19</f>
        <v>0.3541666666666668</v>
      </c>
      <c r="B20" s="751"/>
      <c r="C20" s="345" t="s">
        <v>23</v>
      </c>
      <c r="D20" s="751">
        <f>'Licht vervoer'!D19</f>
        <v>0.36458333333333348</v>
      </c>
      <c r="E20" s="752"/>
      <c r="F20" s="480"/>
      <c r="G20" s="553"/>
      <c r="H20" s="482"/>
      <c r="I20" s="483"/>
      <c r="J20" s="553">
        <v>6</v>
      </c>
      <c r="K20" s="482"/>
      <c r="L20" s="483"/>
      <c r="M20" s="553"/>
      <c r="N20" s="482"/>
      <c r="O20" s="483"/>
      <c r="P20" s="553">
        <v>66</v>
      </c>
      <c r="Q20" s="482"/>
      <c r="R20" s="239">
        <f t="shared" si="0"/>
        <v>72</v>
      </c>
      <c r="S20" s="122">
        <f>IF($S$5=TRUE,SUM(F20:H20),G20)</f>
        <v>0</v>
      </c>
      <c r="T20" s="122">
        <f t="shared" si="1"/>
        <v>6</v>
      </c>
      <c r="U20" s="122">
        <f>IF($S$7=TRUE,SUM(L20:N20),M20)</f>
        <v>0</v>
      </c>
      <c r="V20" s="122">
        <f t="shared" si="3"/>
        <v>66</v>
      </c>
    </row>
    <row r="21" spans="1:22" ht="20.25" thickBot="1" x14ac:dyDescent="0.45">
      <c r="A21" s="768">
        <f>'Licht vervoer'!A20</f>
        <v>0.36458333333333348</v>
      </c>
      <c r="B21" s="731"/>
      <c r="C21" s="346" t="s">
        <v>23</v>
      </c>
      <c r="D21" s="731">
        <f>'Licht vervoer'!D20</f>
        <v>0.37500000000000017</v>
      </c>
      <c r="E21" s="732"/>
      <c r="F21" s="480"/>
      <c r="G21" s="557"/>
      <c r="H21" s="482"/>
      <c r="I21" s="483"/>
      <c r="J21" s="557">
        <v>2</v>
      </c>
      <c r="K21" s="482"/>
      <c r="L21" s="483"/>
      <c r="M21" s="557"/>
      <c r="N21" s="482"/>
      <c r="O21" s="483"/>
      <c r="P21" s="557">
        <v>37</v>
      </c>
      <c r="Q21" s="482"/>
      <c r="R21" s="240">
        <f t="shared" si="0"/>
        <v>39</v>
      </c>
      <c r="S21" s="122">
        <f t="shared" si="4"/>
        <v>0</v>
      </c>
      <c r="T21" s="122">
        <f t="shared" si="1"/>
        <v>2</v>
      </c>
      <c r="U21" s="122">
        <f t="shared" si="2"/>
        <v>0</v>
      </c>
      <c r="V21" s="122">
        <f t="shared" si="3"/>
        <v>37</v>
      </c>
    </row>
    <row r="22" spans="1:22" ht="20.25" thickBot="1" x14ac:dyDescent="0.45">
      <c r="A22" s="764" t="s">
        <v>21</v>
      </c>
      <c r="B22" s="765"/>
      <c r="C22" s="765"/>
      <c r="D22" s="765"/>
      <c r="E22" s="765"/>
      <c r="F22" s="577" t="str">
        <f>IF($S$5=TRUE,SUM(F14:F21)," ")</f>
        <v xml:space="preserve"> </v>
      </c>
      <c r="G22" s="578">
        <f>IF($S$5=TRUE,SUM(G14:G21),SUM(G14:G21))</f>
        <v>0</v>
      </c>
      <c r="H22" s="579" t="str">
        <f>IF($S$5=TRUE,SUM(H14:H21)," ")</f>
        <v xml:space="preserve"> </v>
      </c>
      <c r="I22" s="580" t="str">
        <f>IF($S$6=TRUE,SUM(I14:I21)," ")</f>
        <v xml:space="preserve"> </v>
      </c>
      <c r="J22" s="581">
        <f>IF($S$6=TRUE,SUM(J14:J21),SUM(J14:J21))</f>
        <v>50</v>
      </c>
      <c r="K22" s="579" t="str">
        <f>IF($S$6=TRUE,SUM(K14:K21)," ")</f>
        <v xml:space="preserve"> </v>
      </c>
      <c r="L22" s="580" t="str">
        <f>IF($S$7=TRUE,SUM(L14:L21)," ")</f>
        <v xml:space="preserve"> </v>
      </c>
      <c r="M22" s="580">
        <f>IF($S$7=TRUE,SUM(M14:M21),SUM(M14:M21))</f>
        <v>0</v>
      </c>
      <c r="N22" s="579" t="str">
        <f>IF($S$7=TRUE,SUM(N14:N21)," ")</f>
        <v xml:space="preserve"> </v>
      </c>
      <c r="O22" s="580" t="str">
        <f>IF($S$8=TRUE,SUM(O14:O21)," ")</f>
        <v xml:space="preserve"> </v>
      </c>
      <c r="P22" s="581">
        <f>IF($S$8=TRUE,SUM(P14:P21),SUM(P14:P21))</f>
        <v>489</v>
      </c>
      <c r="Q22" s="582" t="str">
        <f>IF($S$8=TRUE,SUM(Q14:Q21)," ")</f>
        <v xml:space="preserve"> </v>
      </c>
      <c r="R22" s="104">
        <f>SUM(R14:R21)</f>
        <v>539</v>
      </c>
    </row>
    <row r="23" spans="1:22" ht="20.25" thickBot="1" x14ac:dyDescent="0.45">
      <c r="A23" s="133"/>
      <c r="B23" s="133"/>
      <c r="C23" s="133"/>
      <c r="D23" s="133"/>
      <c r="E23" s="133"/>
      <c r="F23" s="801" t="str">
        <f>IF($S$5=TRUE, SUM(F22:H22)," ")</f>
        <v xml:space="preserve"> </v>
      </c>
      <c r="G23" s="802"/>
      <c r="H23" s="803"/>
      <c r="I23" s="801" t="str">
        <f>IF($S$6=TRUE,SUM(I22:K22)," ")</f>
        <v xml:space="preserve"> </v>
      </c>
      <c r="J23" s="802"/>
      <c r="K23" s="803"/>
      <c r="L23" s="801" t="str">
        <f>IF($S$7=TRUE, SUM(L22:N22)," ")</f>
        <v xml:space="preserve"> </v>
      </c>
      <c r="M23" s="802"/>
      <c r="N23" s="803"/>
      <c r="O23" s="801" t="str">
        <f>IF($S$8=TRUE, SUM(O22:Q22)," ")</f>
        <v xml:space="preserve"> </v>
      </c>
      <c r="P23" s="802"/>
      <c r="Q23" s="803"/>
      <c r="R23" s="123"/>
    </row>
    <row r="24" spans="1:22" ht="19.5" hidden="1" x14ac:dyDescent="0.4">
      <c r="A24" s="133"/>
      <c r="B24" s="133"/>
      <c r="C24" s="133"/>
      <c r="D24" s="133"/>
      <c r="E24" s="133"/>
      <c r="F24" s="148"/>
      <c r="G24" s="134">
        <f>IF(AND(SUM($R14:$R17)&gt;=SUM($R15:$R18),SUM($R14:$R17)&gt;=SUM(R16:R19),SUM($R14:$R17)&gt;=SUM($R17:$R20),SUM($R14:$R17)&gt;=SUM($R18:$R21)),SUM(G$14:G$17),0)</f>
        <v>0</v>
      </c>
      <c r="H24" s="134"/>
      <c r="I24" s="134"/>
      <c r="J24" s="134">
        <f>IF(AND(SUM($R14:$R17)&gt;=SUM($R15:$R18),SUM($R14:$R17)&gt;=SUM($R16:$R19),SUM($R14:$R17)&gt;=SUM($R17:$R20),SUM($R14:$R17)&gt;=SUM($R18:$R21)),SUM(J14:J17),0)</f>
        <v>0</v>
      </c>
      <c r="K24" s="134"/>
      <c r="L24" s="134"/>
      <c r="M24" s="134">
        <f>IF(AND(SUM($R14:$R17)&gt;=SUM($R15:$R18),SUM($R14:$R17)&gt;=SUM($R16:$R19),SUM($R14:$R17)&gt;=SUM($R17:$R20),SUM($R14:$R17)&gt;=SUM($R18:$R21)),SUM(M14:M17),0)</f>
        <v>0</v>
      </c>
      <c r="N24" s="134"/>
      <c r="O24" s="134"/>
      <c r="P24" s="134">
        <f>IF(AND(SUM($R14:$R17)&gt;=SUM($R15:$R18),SUM($R14:$R17)&gt;=SUM($R16:$R19),SUM($R14:$R17)&gt;=SUM($R17:$R20),SUM($R14:$R17)&gt;=SUM($R18:$R21)),SUM(P14:P17),0)</f>
        <v>0</v>
      </c>
      <c r="Q24" s="148"/>
      <c r="R24" s="149"/>
    </row>
    <row r="25" spans="1:22" ht="19.5" hidden="1" x14ac:dyDescent="0.4">
      <c r="A25" s="133"/>
      <c r="B25" s="133"/>
      <c r="C25" s="133"/>
      <c r="D25" s="133"/>
      <c r="E25" s="331" t="s">
        <v>37</v>
      </c>
      <c r="F25" s="148"/>
      <c r="G25" s="134">
        <f>IF(AND(SUM($R15:$R18)&gt;=SUM($R16:$R19),SUM($R15:$R18)&gt;=SUM(R17:R20),SUM($R15:$R18)&gt;=SUM($R18:$R21),SUM($R15:$R18)&gt;SUM(R14:R17)),SUM(G$15:G$18),0)</f>
        <v>0</v>
      </c>
      <c r="H25" s="134"/>
      <c r="I25" s="134"/>
      <c r="J25" s="134">
        <f>IF(AND(SUM($R15:$R18)&gt;=SUM($R16:$R19),SUM($R15:$R18)&gt;=SUM($R17:$R20),SUM($R15:$R18)&gt;=SUM($R18:$R21),SUM($R15:$R18)&gt;SUM($R14:$R17)),SUM(J15:J18),0)</f>
        <v>0</v>
      </c>
      <c r="K25" s="134"/>
      <c r="L25" s="134"/>
      <c r="M25" s="134">
        <f>IF(AND(SUM($R15:$R18)&gt;=SUM($R16:$R19),SUM($R15:$R18)&gt;=SUM($R17:$R20),SUM($R15:$R18)&gt;=SUM($R18:$R21),SUM($R15:$R18)&gt;SUM($R14:$R17)),SUM(M15:M18),0)</f>
        <v>0</v>
      </c>
      <c r="N25" s="134"/>
      <c r="O25" s="134"/>
      <c r="P25" s="134">
        <f>IF(AND(SUM($R15:$R18)&gt;=SUM($R16:$R19),SUM($R15:$R18)&gt;=SUM($R17:$R20),SUM($R15:$R18)&gt;=SUM($R18:$R21),SUM($R15:$R18)&gt;SUM($R14:$R17)),SUM(P15:P18),0)</f>
        <v>0</v>
      </c>
      <c r="Q25" s="148"/>
      <c r="R25" s="149"/>
    </row>
    <row r="26" spans="1:22" ht="19.5" hidden="1" x14ac:dyDescent="0.4">
      <c r="A26" s="133"/>
      <c r="B26" s="133"/>
      <c r="C26" s="133"/>
      <c r="D26" s="133"/>
      <c r="E26" s="133"/>
      <c r="F26" s="148"/>
      <c r="G26" s="134">
        <f>IF(AND(SUM($R16:$R19)&gt;=SUM($R17:$R20),SUM($R16:$R19)&gt;=SUM(R18:R21),SUM($R16:$R19)&gt;SUM($R14:$R17),SUM($R16:$R19)&gt;SUM($R15:$R18)),SUM(G$16:G$19),0)</f>
        <v>0</v>
      </c>
      <c r="H26" s="134"/>
      <c r="I26" s="134"/>
      <c r="J26" s="134">
        <f>IF(AND(SUM($R16:$R19)&gt;=SUM($R17:$R20),SUM($R16:$R19)&gt;=SUM($R18:$R21),SUM($R16:$R19)&gt;SUM($R14:$R17),SUM($R16:$R19)&gt;SUM($R15:$R18)),SUM(J16:J19),0)</f>
        <v>34</v>
      </c>
      <c r="K26" s="134"/>
      <c r="L26" s="134"/>
      <c r="M26" s="134">
        <f>IF(AND(SUM($R16:$R19)&gt;=SUM($R17:$R20),SUM($R16:$R19)&gt;=SUM($R18:$R21),SUM($R16:$R19)&gt;SUM($R14:$R17),SUM($R16:$R19)&gt;SUM($R15:$R18)),SUM(M16:M19),0)</f>
        <v>0</v>
      </c>
      <c r="N26" s="134"/>
      <c r="O26" s="134"/>
      <c r="P26" s="134">
        <f>IF(AND(SUM($R16:$R19)&gt;=SUM($R17:$R20),SUM($R16:$R19)&gt;=SUM($R18:$R21),SUM($R16:$R19)&gt;SUM($R14:$R17),SUM($R16:$R19)&gt;SUM($R15:$R18)),SUM(P16:P19),0)</f>
        <v>354</v>
      </c>
      <c r="Q26" s="148"/>
      <c r="R26" s="149"/>
    </row>
    <row r="27" spans="1:22" ht="19.5" hidden="1" x14ac:dyDescent="0.4">
      <c r="A27" s="133"/>
      <c r="B27" s="133"/>
      <c r="C27" s="133"/>
      <c r="D27" s="133"/>
      <c r="E27" s="133"/>
      <c r="F27" s="148"/>
      <c r="G27" s="134">
        <f>IF(AND(SUM($R17:$R20)&gt;=SUM($R18:$R21),SUM($R17:$R20)&gt;SUM($R14:$R17),SUM($R17:$R20)&gt;SUM($R15:$R18),SUM($R17:$R20)&gt;SUM(R16:R19)),SUM(G$17:G$20),0)</f>
        <v>0</v>
      </c>
      <c r="H27" s="134"/>
      <c r="I27" s="134"/>
      <c r="J27" s="134">
        <f>IF(AND(SUM($R17:$R20)&gt;=SUM($R18:$R21),SUM($R17:$R20)&gt;SUM($R14:$R17),SUM($R17:$R20)&gt;SUM($R15:$R18),SUM($R17:$R20)&gt;SUM($R16:$R19)),SUM(J17:J20),0)</f>
        <v>0</v>
      </c>
      <c r="K27" s="134"/>
      <c r="L27" s="134"/>
      <c r="M27" s="134">
        <f>IF(AND(SUM($R17:$R20)&gt;=SUM($R18:$R21),SUM($R17:$R20)&gt;SUM($R14:$R17),SUM($R17:$R20)&gt;SUM($R15:$R18),SUM($R17:$R20)&gt;SUM($R16:$R19)),SUM(M17:M19),0)</f>
        <v>0</v>
      </c>
      <c r="N27" s="134"/>
      <c r="O27" s="134"/>
      <c r="P27" s="134">
        <f>IF(AND(SUM($R17:$R20)&gt;=SUM($R18:$R21),SUM($R17:$R20)&gt;SUM($R14:$R17),SUM($R17:$R20)&gt;SUM($R15:$R18),SUM($R17:$R20)&gt;SUM($R16:$R19)),SUM(P17:P20),0)</f>
        <v>0</v>
      </c>
      <c r="Q27" s="148"/>
      <c r="R27" s="149"/>
    </row>
    <row r="28" spans="1:22" ht="19.5" hidden="1" x14ac:dyDescent="0.4">
      <c r="A28" s="133"/>
      <c r="B28" s="133"/>
      <c r="C28" s="133"/>
      <c r="D28" s="133"/>
      <c r="E28" s="133"/>
      <c r="F28" s="148"/>
      <c r="G28" s="134">
        <f>IF(AND(SUM($R18:$R21)&gt;SUM($R14:$R17),SUM($R18:$R21)&gt;SUM($R15:$R18),SUM($R18:$R21)&gt;SUM($R16:$R19),SUM($R18:$R21)&gt;SUM(R17:R20)),SUM(G$18:G$21),0)</f>
        <v>0</v>
      </c>
      <c r="H28" s="134"/>
      <c r="I28" s="134"/>
      <c r="J28" s="134">
        <f>IF(AND(SUM($R18:$R21)&gt;SUM($R14:$R17),SUM($R18:$R21)&gt;SUM($R15:$R18),SUM($R18:$R21)&gt;SUM($R16:$R19),SUM($R18:$R21)&gt;SUM($R17:$R20)),SUM(J18:J21),0)</f>
        <v>0</v>
      </c>
      <c r="K28" s="134"/>
      <c r="L28" s="134"/>
      <c r="M28" s="134">
        <f>IF(AND(SUM($R18:$R21)&gt;SUM($R14:$R17),SUM($R18:$R21)&gt;SUM($R15:$R18),SUM($R18:$R21)&gt;SUM($R16:$R19),SUM($R18:$R21)&gt;SUM($R17:$R20)),SUM(M18:M21),0)</f>
        <v>0</v>
      </c>
      <c r="N28" s="134"/>
      <c r="O28" s="134"/>
      <c r="P28" s="134">
        <f>IF(AND(SUM($R18:$R21)&gt;SUM($R14:$R17),SUM($R18:$R21)&gt;SUM($R15:$R18),SUM($R18:$R21)&gt;SUM($R16:$R19),SUM($R18:$R21)&gt;SUM($R17:$R20)),SUM(P18:P21),0)</f>
        <v>0</v>
      </c>
      <c r="Q28" s="148"/>
      <c r="R28" s="149"/>
    </row>
    <row r="29" spans="1:22" ht="19.5" hidden="1" x14ac:dyDescent="0.4">
      <c r="A29" s="133"/>
      <c r="B29" s="133"/>
      <c r="C29" s="133"/>
      <c r="D29" s="133"/>
      <c r="E29" s="133"/>
      <c r="F29" s="148"/>
      <c r="G29" s="332">
        <f>SUM(G24:G28)</f>
        <v>0</v>
      </c>
      <c r="H29" s="148"/>
      <c r="I29" s="148"/>
      <c r="J29" s="332">
        <f>SUM(J24:J28)</f>
        <v>34</v>
      </c>
      <c r="K29" s="148"/>
      <c r="L29" s="148"/>
      <c r="M29" s="332">
        <f>SUM(M24:M28)</f>
        <v>0</v>
      </c>
      <c r="N29" s="148"/>
      <c r="O29" s="148"/>
      <c r="P29" s="332">
        <f>SUM(P24:P28)</f>
        <v>354</v>
      </c>
      <c r="Q29" s="148"/>
      <c r="R29" s="149"/>
    </row>
    <row r="30" spans="1:22" ht="15.75" thickBot="1" x14ac:dyDescent="0.25">
      <c r="A30" s="333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</row>
    <row r="31" spans="1:22" ht="22.5" x14ac:dyDescent="0.4">
      <c r="A31" s="308" t="s">
        <v>25</v>
      </c>
      <c r="B31" s="743">
        <f>'Licht vervoer'!B24</f>
        <v>0.66666666666666663</v>
      </c>
      <c r="C31" s="743"/>
      <c r="D31" s="309" t="s">
        <v>26</v>
      </c>
      <c r="E31" s="321">
        <f>'Licht vervoer'!E24</f>
        <v>0.74999999999999967</v>
      </c>
      <c r="F31" s="758" t="s">
        <v>14</v>
      </c>
      <c r="G31" s="759"/>
      <c r="H31" s="760"/>
      <c r="I31" s="761" t="s">
        <v>15</v>
      </c>
      <c r="J31" s="762"/>
      <c r="K31" s="763"/>
      <c r="L31" s="761" t="s">
        <v>16</v>
      </c>
      <c r="M31" s="762"/>
      <c r="N31" s="763"/>
      <c r="O31" s="762" t="s">
        <v>17</v>
      </c>
      <c r="P31" s="762"/>
      <c r="Q31" s="762"/>
      <c r="R31" s="755" t="s">
        <v>21</v>
      </c>
    </row>
    <row r="32" spans="1:22" ht="30" customHeight="1" x14ac:dyDescent="0.45">
      <c r="A32" s="739" t="str">
        <f>'Licht vervoer'!A25</f>
        <v>Periode 2:</v>
      </c>
      <c r="B32" s="740"/>
      <c r="C32" s="740"/>
      <c r="D32" s="735" t="str">
        <f>'Licht vervoer'!D25</f>
        <v>Avond</v>
      </c>
      <c r="E32" s="736"/>
      <c r="F32" s="573" t="str">
        <f t="shared" ref="F32:Q32" si="5">F12</f>
        <v xml:space="preserve">= </v>
      </c>
      <c r="G32" s="574" t="str">
        <f t="shared" si="5"/>
        <v xml:space="preserve"> "</v>
      </c>
      <c r="H32" s="575" t="str">
        <f t="shared" si="5"/>
        <v xml:space="preserve">? </v>
      </c>
      <c r="I32" s="573" t="str">
        <f t="shared" si="5"/>
        <v xml:space="preserve">: </v>
      </c>
      <c r="J32" s="574" t="str">
        <f t="shared" si="5"/>
        <v xml:space="preserve"># </v>
      </c>
      <c r="K32" s="575" t="str">
        <f t="shared" si="5"/>
        <v xml:space="preserve">; </v>
      </c>
      <c r="L32" s="573" t="str">
        <f t="shared" si="5"/>
        <v xml:space="preserve">&gt; </v>
      </c>
      <c r="M32" s="574" t="str">
        <f t="shared" si="5"/>
        <v xml:space="preserve">! </v>
      </c>
      <c r="N32" s="575" t="str">
        <f t="shared" si="5"/>
        <v xml:space="preserve">&lt; </v>
      </c>
      <c r="O32" s="573" t="str">
        <f t="shared" si="5"/>
        <v xml:space="preserve">9 </v>
      </c>
      <c r="P32" s="574" t="str">
        <f t="shared" si="5"/>
        <v xml:space="preserve">$ </v>
      </c>
      <c r="Q32" s="575" t="str">
        <f t="shared" si="5"/>
        <v xml:space="preserve">8 </v>
      </c>
      <c r="R32" s="756"/>
    </row>
    <row r="33" spans="1:22" ht="42.75" customHeight="1" thickBot="1" x14ac:dyDescent="0.25">
      <c r="A33" s="741"/>
      <c r="B33" s="742"/>
      <c r="C33" s="742"/>
      <c r="D33" s="737"/>
      <c r="E33" s="738"/>
      <c r="F33" s="625" t="str">
        <f>IF($S$5=TRUE,"linksaf","linksaf ")</f>
        <v xml:space="preserve">linksaf </v>
      </c>
      <c r="G33" s="628" t="str">
        <f>IF($S$5=TRUE,"rechtdoor","oversteek op tak 2")</f>
        <v>oversteek op tak 2</v>
      </c>
      <c r="H33" s="626" t="str">
        <f>IF($S$5=TRUE,"rechtsaf","rechtsaf ")</f>
        <v xml:space="preserve">rechtsaf </v>
      </c>
      <c r="I33" s="625" t="str">
        <f>IF($S$6=TRUE,"linksaf","linksaf ")</f>
        <v xml:space="preserve">linksaf </v>
      </c>
      <c r="J33" s="624" t="str">
        <f>IF($S$6=TRUE,"rechtdoor","oversteek op tak 3 ")</f>
        <v xml:space="preserve">oversteek op tak 3 </v>
      </c>
      <c r="K33" s="626" t="str">
        <f>IF($S$6=TRUE,"rechtsaf","rechtsaf ")</f>
        <v xml:space="preserve">rechtsaf </v>
      </c>
      <c r="L33" s="627" t="str">
        <f>IF($S$7=TRUE,"linksaf","linksaf ")</f>
        <v xml:space="preserve">linksaf </v>
      </c>
      <c r="M33" s="624" t="str">
        <f>IF($S$7=TRUE,"rechtdoor","oversteek op tak 4 ")</f>
        <v xml:space="preserve">oversteek op tak 4 </v>
      </c>
      <c r="N33" s="626" t="str">
        <f>IF($S$7=TRUE,"rechtsaf","rechtsaf ")</f>
        <v xml:space="preserve">rechtsaf </v>
      </c>
      <c r="O33" s="627" t="str">
        <f>IF($S$8=TRUE,"linksaf","linksaf ")</f>
        <v xml:space="preserve">linksaf </v>
      </c>
      <c r="P33" s="624" t="str">
        <f>IF($S$8=TRUE,"rechtdoor","oversteek op tak 1 ")</f>
        <v xml:space="preserve">oversteek op tak 1 </v>
      </c>
      <c r="Q33" s="626" t="str">
        <f>IF($S$8=TRUE,"rechtsaf","rechtsaf ")</f>
        <v xml:space="preserve">rechtsaf </v>
      </c>
      <c r="R33" s="757"/>
    </row>
    <row r="34" spans="1:22" ht="19.5" x14ac:dyDescent="0.4">
      <c r="A34" s="747">
        <f>'Licht vervoer'!A27</f>
        <v>0.66666666666666663</v>
      </c>
      <c r="B34" s="748"/>
      <c r="C34" s="343" t="s">
        <v>23</v>
      </c>
      <c r="D34" s="748">
        <f>'Licht vervoer'!D27</f>
        <v>0.67708333333333326</v>
      </c>
      <c r="E34" s="754"/>
      <c r="F34" s="480"/>
      <c r="G34" s="549"/>
      <c r="H34" s="482"/>
      <c r="I34" s="476"/>
      <c r="J34" s="549">
        <v>57</v>
      </c>
      <c r="K34" s="478"/>
      <c r="L34" s="476"/>
      <c r="M34" s="549"/>
      <c r="N34" s="478"/>
      <c r="O34" s="476"/>
      <c r="P34" s="549">
        <v>13</v>
      </c>
      <c r="Q34" s="478"/>
      <c r="R34" s="322">
        <f>SUM(S34:V34)</f>
        <v>70</v>
      </c>
      <c r="S34" s="122">
        <f>IF($S$5=TRUE,SUM(F34:H34),G34)</f>
        <v>0</v>
      </c>
      <c r="T34" s="122">
        <f>IF($S$6=TRUE,SUM(I34:K34),J34)</f>
        <v>57</v>
      </c>
      <c r="U34" s="122">
        <f>IF($S$7=TRUE,SUM(L34:N34),M34)</f>
        <v>0</v>
      </c>
      <c r="V34" s="122">
        <f>IF($S$8=TRUE,SUM(O34:Q34),P34)</f>
        <v>13</v>
      </c>
    </row>
    <row r="35" spans="1:22" ht="19.5" x14ac:dyDescent="0.4">
      <c r="A35" s="733">
        <f>'Licht vervoer'!A28</f>
        <v>0.67708333333333326</v>
      </c>
      <c r="B35" s="734"/>
      <c r="C35" s="342" t="s">
        <v>23</v>
      </c>
      <c r="D35" s="734">
        <f>'Licht vervoer'!D28</f>
        <v>0.68749999999999989</v>
      </c>
      <c r="E35" s="744"/>
      <c r="F35" s="480"/>
      <c r="G35" s="553"/>
      <c r="H35" s="482"/>
      <c r="I35" s="480"/>
      <c r="J35" s="553">
        <v>41</v>
      </c>
      <c r="K35" s="482"/>
      <c r="L35" s="480"/>
      <c r="M35" s="553"/>
      <c r="N35" s="482"/>
      <c r="O35" s="480"/>
      <c r="P35" s="553">
        <v>3</v>
      </c>
      <c r="Q35" s="482"/>
      <c r="R35" s="323">
        <f t="shared" ref="R35:R41" si="6">SUM(S35:V35)</f>
        <v>44</v>
      </c>
      <c r="S35" s="122">
        <f t="shared" ref="S35:S41" si="7">IF($S$5=TRUE,SUM(F35:H35),G35)</f>
        <v>0</v>
      </c>
      <c r="T35" s="122">
        <f t="shared" ref="T35:T41" si="8">IF($S$6=TRUE,SUM(I35:K35),J35)</f>
        <v>41</v>
      </c>
      <c r="U35" s="122">
        <f t="shared" ref="U35:U41" si="9">IF($S$7=TRUE,SUM(L35:N35),M35)</f>
        <v>0</v>
      </c>
      <c r="V35" s="122">
        <f t="shared" ref="V35:V41" si="10">IF($S$8=TRUE,SUM(O35:Q35),P35)</f>
        <v>3</v>
      </c>
    </row>
    <row r="36" spans="1:22" ht="19.5" x14ac:dyDescent="0.4">
      <c r="A36" s="733">
        <f>'Licht vervoer'!A29</f>
        <v>0.68749999999999989</v>
      </c>
      <c r="B36" s="734"/>
      <c r="C36" s="342" t="s">
        <v>23</v>
      </c>
      <c r="D36" s="734">
        <f>'Licht vervoer'!D29</f>
        <v>0.69791666666666652</v>
      </c>
      <c r="E36" s="744"/>
      <c r="F36" s="480"/>
      <c r="G36" s="553"/>
      <c r="H36" s="482"/>
      <c r="I36" s="480"/>
      <c r="J36" s="553">
        <v>40</v>
      </c>
      <c r="K36" s="482"/>
      <c r="L36" s="480"/>
      <c r="M36" s="553"/>
      <c r="N36" s="482"/>
      <c r="O36" s="480"/>
      <c r="P36" s="553">
        <v>14</v>
      </c>
      <c r="Q36" s="482"/>
      <c r="R36" s="323">
        <f t="shared" si="6"/>
        <v>54</v>
      </c>
      <c r="S36" s="122">
        <f t="shared" si="7"/>
        <v>0</v>
      </c>
      <c r="T36" s="122">
        <f t="shared" si="8"/>
        <v>40</v>
      </c>
      <c r="U36" s="122">
        <f t="shared" si="9"/>
        <v>0</v>
      </c>
      <c r="V36" s="122">
        <f t="shared" si="10"/>
        <v>14</v>
      </c>
    </row>
    <row r="37" spans="1:22" ht="19.5" x14ac:dyDescent="0.4">
      <c r="A37" s="733">
        <f>'Licht vervoer'!A30</f>
        <v>0.69791666666666652</v>
      </c>
      <c r="B37" s="734"/>
      <c r="C37" s="342" t="s">
        <v>23</v>
      </c>
      <c r="D37" s="734">
        <f>'Licht vervoer'!D30</f>
        <v>0.70833333333333315</v>
      </c>
      <c r="E37" s="744"/>
      <c r="F37" s="480"/>
      <c r="G37" s="553"/>
      <c r="H37" s="482"/>
      <c r="I37" s="480"/>
      <c r="J37" s="553">
        <v>59</v>
      </c>
      <c r="K37" s="482"/>
      <c r="L37" s="480"/>
      <c r="M37" s="553"/>
      <c r="N37" s="482"/>
      <c r="O37" s="480"/>
      <c r="P37" s="553">
        <v>10</v>
      </c>
      <c r="Q37" s="482"/>
      <c r="R37" s="323">
        <f t="shared" si="6"/>
        <v>69</v>
      </c>
      <c r="S37" s="122">
        <f t="shared" si="7"/>
        <v>0</v>
      </c>
      <c r="T37" s="122">
        <f t="shared" si="8"/>
        <v>59</v>
      </c>
      <c r="U37" s="122">
        <f t="shared" si="9"/>
        <v>0</v>
      </c>
      <c r="V37" s="122">
        <f t="shared" si="10"/>
        <v>10</v>
      </c>
    </row>
    <row r="38" spans="1:22" ht="19.5" x14ac:dyDescent="0.4">
      <c r="A38" s="733">
        <f>'Licht vervoer'!A31</f>
        <v>0.70833333333333315</v>
      </c>
      <c r="B38" s="734"/>
      <c r="C38" s="342" t="s">
        <v>23</v>
      </c>
      <c r="D38" s="734">
        <f>'Licht vervoer'!D31</f>
        <v>0.71874999999999978</v>
      </c>
      <c r="E38" s="744"/>
      <c r="F38" s="480"/>
      <c r="G38" s="553"/>
      <c r="H38" s="482"/>
      <c r="I38" s="480"/>
      <c r="J38" s="553">
        <v>26</v>
      </c>
      <c r="K38" s="482"/>
      <c r="L38" s="480"/>
      <c r="M38" s="553"/>
      <c r="N38" s="482"/>
      <c r="O38" s="480"/>
      <c r="P38" s="553">
        <v>16</v>
      </c>
      <c r="Q38" s="482"/>
      <c r="R38" s="323">
        <f t="shared" si="6"/>
        <v>42</v>
      </c>
      <c r="S38" s="122">
        <f t="shared" si="7"/>
        <v>0</v>
      </c>
      <c r="T38" s="122">
        <f t="shared" si="8"/>
        <v>26</v>
      </c>
      <c r="U38" s="122">
        <f t="shared" si="9"/>
        <v>0</v>
      </c>
      <c r="V38" s="122">
        <f>IF($S$8=TRUE,SUM(O38:Q38),P38)</f>
        <v>16</v>
      </c>
    </row>
    <row r="39" spans="1:22" ht="19.5" x14ac:dyDescent="0.4">
      <c r="A39" s="733">
        <f>'Licht vervoer'!A32</f>
        <v>0.71874999999999978</v>
      </c>
      <c r="B39" s="734"/>
      <c r="C39" s="342" t="s">
        <v>23</v>
      </c>
      <c r="D39" s="734">
        <f>'Licht vervoer'!D32</f>
        <v>0.72916666666666641</v>
      </c>
      <c r="E39" s="744"/>
      <c r="F39" s="480"/>
      <c r="G39" s="553"/>
      <c r="H39" s="482"/>
      <c r="I39" s="480"/>
      <c r="J39" s="553">
        <v>42</v>
      </c>
      <c r="K39" s="482"/>
      <c r="L39" s="480"/>
      <c r="M39" s="553"/>
      <c r="N39" s="482"/>
      <c r="O39" s="480"/>
      <c r="P39" s="553">
        <v>12</v>
      </c>
      <c r="Q39" s="482"/>
      <c r="R39" s="323">
        <f t="shared" si="6"/>
        <v>54</v>
      </c>
      <c r="S39" s="122">
        <f t="shared" si="7"/>
        <v>0</v>
      </c>
      <c r="T39" s="122">
        <f t="shared" si="8"/>
        <v>42</v>
      </c>
      <c r="U39" s="122">
        <f t="shared" si="9"/>
        <v>0</v>
      </c>
      <c r="V39" s="122">
        <f t="shared" si="10"/>
        <v>12</v>
      </c>
    </row>
    <row r="40" spans="1:22" ht="19.5" x14ac:dyDescent="0.4">
      <c r="A40" s="733">
        <f>'Licht vervoer'!A33</f>
        <v>0.72916666666666641</v>
      </c>
      <c r="B40" s="734"/>
      <c r="C40" s="342" t="s">
        <v>23</v>
      </c>
      <c r="D40" s="734">
        <f>'Licht vervoer'!D33</f>
        <v>0.73958333333333304</v>
      </c>
      <c r="E40" s="744"/>
      <c r="F40" s="480"/>
      <c r="G40" s="553"/>
      <c r="H40" s="482"/>
      <c r="I40" s="480"/>
      <c r="J40" s="553">
        <v>46</v>
      </c>
      <c r="K40" s="482"/>
      <c r="L40" s="480"/>
      <c r="M40" s="553"/>
      <c r="N40" s="482"/>
      <c r="O40" s="480"/>
      <c r="P40" s="553">
        <v>8</v>
      </c>
      <c r="Q40" s="482"/>
      <c r="R40" s="323">
        <f t="shared" si="6"/>
        <v>54</v>
      </c>
      <c r="S40" s="122">
        <f t="shared" si="7"/>
        <v>0</v>
      </c>
      <c r="T40" s="122">
        <f t="shared" si="8"/>
        <v>46</v>
      </c>
      <c r="U40" s="122">
        <f t="shared" si="9"/>
        <v>0</v>
      </c>
      <c r="V40" s="122">
        <f t="shared" si="10"/>
        <v>8</v>
      </c>
    </row>
    <row r="41" spans="1:22" ht="20.25" thickBot="1" x14ac:dyDescent="0.45">
      <c r="A41" s="753">
        <f>'Licht vervoer'!A34</f>
        <v>0.73958333333333304</v>
      </c>
      <c r="B41" s="729"/>
      <c r="C41" s="344" t="s">
        <v>23</v>
      </c>
      <c r="D41" s="729">
        <f>'Licht vervoer'!D34</f>
        <v>0.74999999999999967</v>
      </c>
      <c r="E41" s="730"/>
      <c r="F41" s="480"/>
      <c r="G41" s="557"/>
      <c r="H41" s="482"/>
      <c r="I41" s="484"/>
      <c r="J41" s="557">
        <v>29</v>
      </c>
      <c r="K41" s="486"/>
      <c r="L41" s="484"/>
      <c r="M41" s="557"/>
      <c r="N41" s="486"/>
      <c r="O41" s="484"/>
      <c r="P41" s="557">
        <v>10</v>
      </c>
      <c r="Q41" s="486"/>
      <c r="R41" s="326">
        <f t="shared" si="6"/>
        <v>39</v>
      </c>
      <c r="S41" s="122">
        <f t="shared" si="7"/>
        <v>0</v>
      </c>
      <c r="T41" s="122">
        <f t="shared" si="8"/>
        <v>29</v>
      </c>
      <c r="U41" s="122">
        <f t="shared" si="9"/>
        <v>0</v>
      </c>
      <c r="V41" s="122">
        <f t="shared" si="10"/>
        <v>10</v>
      </c>
    </row>
    <row r="42" spans="1:22" ht="20.25" thickBot="1" x14ac:dyDescent="0.45">
      <c r="A42" s="745" t="s">
        <v>21</v>
      </c>
      <c r="B42" s="746"/>
      <c r="C42" s="746"/>
      <c r="D42" s="746"/>
      <c r="E42" s="746"/>
      <c r="F42" s="583" t="str">
        <f>IF($S$5=TRUE,SUM(F34:F41)," ")</f>
        <v xml:space="preserve"> </v>
      </c>
      <c r="G42" s="584">
        <f>IF($S$5=TRUE,SUM(G34:G41),SUM(G34:G41))</f>
        <v>0</v>
      </c>
      <c r="H42" s="582" t="str">
        <f>IF($S$5=TRUE,SUM(H34:H41)," ")</f>
        <v xml:space="preserve"> </v>
      </c>
      <c r="I42" s="583" t="str">
        <f>IF($S$6=TRUE,SUM(I34:I41)," ")</f>
        <v xml:space="preserve"> </v>
      </c>
      <c r="J42" s="584">
        <f>IF($S$6=TRUE,SUM(J34:J41),SUM(J34:J41))</f>
        <v>340</v>
      </c>
      <c r="K42" s="582" t="str">
        <f>IF($S$6=TRUE,SUM(K34:K41)," ")</f>
        <v xml:space="preserve"> </v>
      </c>
      <c r="L42" s="583" t="str">
        <f>IF($S$7=TRUE,SUM(L34:L41)," ")</f>
        <v xml:space="preserve"> </v>
      </c>
      <c r="M42" s="584">
        <f>IF($S$7=TRUE,SUM(M34:M41),SUM(M34:M41))</f>
        <v>0</v>
      </c>
      <c r="N42" s="582" t="str">
        <f>IF($S$7=TRUE,SUM(N34:N41)," ")</f>
        <v xml:space="preserve"> </v>
      </c>
      <c r="O42" s="583" t="str">
        <f>IF($S$8=TRUE,SUM(O34:O41)," ")</f>
        <v xml:space="preserve"> </v>
      </c>
      <c r="P42" s="584">
        <f>IF($S$8=TRUE,SUM(P34:P41),SUM(P34:P41))</f>
        <v>86</v>
      </c>
      <c r="Q42" s="582" t="str">
        <f>IF($S$8=TRUE,SUM(Q34:Q41)," ")</f>
        <v xml:space="preserve"> </v>
      </c>
      <c r="R42" s="64">
        <f>SUM(R34:R41)</f>
        <v>426</v>
      </c>
    </row>
    <row r="43" spans="1:22" ht="20.25" thickBot="1" x14ac:dyDescent="0.45">
      <c r="A43" s="133"/>
      <c r="B43" s="133"/>
      <c r="C43" s="133"/>
      <c r="D43" s="133"/>
      <c r="E43" s="133"/>
      <c r="F43" s="801" t="str">
        <f>IF($S$5=TRUE, SUM(F42:H42)," ")</f>
        <v xml:space="preserve"> </v>
      </c>
      <c r="G43" s="802"/>
      <c r="H43" s="803"/>
      <c r="I43" s="801" t="str">
        <f>IF($S$6=TRUE, SUM(I42:K42)," ")</f>
        <v xml:space="preserve"> </v>
      </c>
      <c r="J43" s="802"/>
      <c r="K43" s="803"/>
      <c r="L43" s="801" t="str">
        <f>IF($S$7=TRUE, SUM(L42:N42)," ")</f>
        <v xml:space="preserve"> </v>
      </c>
      <c r="M43" s="802"/>
      <c r="N43" s="803"/>
      <c r="O43" s="801" t="str">
        <f>IF($S$8=TRUE, SUM(O42:Q42)," ")</f>
        <v xml:space="preserve"> </v>
      </c>
      <c r="P43" s="802"/>
      <c r="Q43" s="803"/>
      <c r="R43" s="334"/>
    </row>
    <row r="44" spans="1:22" ht="13.5" thickBot="1" x14ac:dyDescent="0.25"/>
    <row r="45" spans="1:22" ht="60" customHeight="1" thickBot="1" x14ac:dyDescent="0.25">
      <c r="A45" s="631" t="s">
        <v>81</v>
      </c>
      <c r="B45" s="632"/>
      <c r="C45" s="633"/>
      <c r="D45" s="633"/>
      <c r="E45" s="634"/>
      <c r="F45" s="635"/>
      <c r="G45" s="636"/>
      <c r="H45" s="637"/>
      <c r="I45" s="635"/>
      <c r="J45" s="636"/>
      <c r="K45" s="637"/>
      <c r="L45" s="635"/>
      <c r="M45" s="636"/>
      <c r="N45" s="637"/>
      <c r="O45" s="635"/>
      <c r="P45" s="636"/>
      <c r="Q45" s="637"/>
    </row>
    <row r="46" spans="1:22" ht="16.5" x14ac:dyDescent="0.35">
      <c r="B46" s="26"/>
      <c r="C46" s="26"/>
      <c r="G46" s="124"/>
    </row>
  </sheetData>
  <sheetProtection selectLockedCells="1"/>
  <mergeCells count="95">
    <mergeCell ref="L43:N43"/>
    <mergeCell ref="O43:Q43"/>
    <mergeCell ref="L31:N31"/>
    <mergeCell ref="O31:Q31"/>
    <mergeCell ref="L23:N23"/>
    <mergeCell ref="F43:H43"/>
    <mergeCell ref="I43:K43"/>
    <mergeCell ref="F23:H23"/>
    <mergeCell ref="I23:K23"/>
    <mergeCell ref="F31:H31"/>
    <mergeCell ref="I31:K31"/>
    <mergeCell ref="A1:R1"/>
    <mergeCell ref="A2:R2"/>
    <mergeCell ref="I3:N4"/>
    <mergeCell ref="O3:P3"/>
    <mergeCell ref="Q3:R3"/>
    <mergeCell ref="Q4:R4"/>
    <mergeCell ref="O4:P4"/>
    <mergeCell ref="A3:C3"/>
    <mergeCell ref="A4:C4"/>
    <mergeCell ref="D3:G3"/>
    <mergeCell ref="D4:G4"/>
    <mergeCell ref="A42:E42"/>
    <mergeCell ref="D6:G6"/>
    <mergeCell ref="O5:P5"/>
    <mergeCell ref="Q5:R5"/>
    <mergeCell ref="F11:H11"/>
    <mergeCell ref="O6:P6"/>
    <mergeCell ref="I5:K5"/>
    <mergeCell ref="I6:K6"/>
    <mergeCell ref="R31:R33"/>
    <mergeCell ref="B31:C31"/>
    <mergeCell ref="A32:C33"/>
    <mergeCell ref="A34:B34"/>
    <mergeCell ref="I8:K8"/>
    <mergeCell ref="O7:P7"/>
    <mergeCell ref="O23:Q23"/>
    <mergeCell ref="A21:B21"/>
    <mergeCell ref="D14:E14"/>
    <mergeCell ref="D15:E15"/>
    <mergeCell ref="Q6:R7"/>
    <mergeCell ref="R11:R13"/>
    <mergeCell ref="O8:P8"/>
    <mergeCell ref="Q8:R9"/>
    <mergeCell ref="B11:C11"/>
    <mergeCell ref="I7:K7"/>
    <mergeCell ref="D32:E33"/>
    <mergeCell ref="I11:K11"/>
    <mergeCell ref="A22:E22"/>
    <mergeCell ref="D12:E13"/>
    <mergeCell ref="A12:C13"/>
    <mergeCell ref="A14:B14"/>
    <mergeCell ref="A15:B15"/>
    <mergeCell ref="A16:B16"/>
    <mergeCell ref="A17:B17"/>
    <mergeCell ref="A18:B18"/>
    <mergeCell ref="A19:B19"/>
    <mergeCell ref="A20:B20"/>
    <mergeCell ref="D36:E36"/>
    <mergeCell ref="D37:E37"/>
    <mergeCell ref="D38:E38"/>
    <mergeCell ref="L11:N11"/>
    <mergeCell ref="O11:Q11"/>
    <mergeCell ref="A7:C7"/>
    <mergeCell ref="D40:E40"/>
    <mergeCell ref="D41:E41"/>
    <mergeCell ref="A35:B35"/>
    <mergeCell ref="A36:B36"/>
    <mergeCell ref="A37:B37"/>
    <mergeCell ref="A38:B38"/>
    <mergeCell ref="A39:B39"/>
    <mergeCell ref="D39:E39"/>
    <mergeCell ref="D16:E16"/>
    <mergeCell ref="D17:E17"/>
    <mergeCell ref="D18:E18"/>
    <mergeCell ref="D19:E19"/>
    <mergeCell ref="D20:E20"/>
    <mergeCell ref="D34:E34"/>
    <mergeCell ref="D35:E35"/>
    <mergeCell ref="A40:B40"/>
    <mergeCell ref="I45:K45"/>
    <mergeCell ref="L45:N45"/>
    <mergeCell ref="O45:Q45"/>
    <mergeCell ref="L5:N5"/>
    <mergeCell ref="L6:N6"/>
    <mergeCell ref="L7:N7"/>
    <mergeCell ref="L8:N8"/>
    <mergeCell ref="D5:G5"/>
    <mergeCell ref="D7:G7"/>
    <mergeCell ref="D21:E21"/>
    <mergeCell ref="A45:E45"/>
    <mergeCell ref="F45:H45"/>
    <mergeCell ref="A41:B41"/>
    <mergeCell ref="A5:C5"/>
    <mergeCell ref="A6:C6"/>
  </mergeCells>
  <phoneticPr fontId="2" type="noConversion"/>
  <conditionalFormatting sqref="G22 M22">
    <cfRule type="cellIs" dxfId="67" priority="4" stopIfTrue="1" operator="equal">
      <formula>SUM(G14:G21)</formula>
    </cfRule>
  </conditionalFormatting>
  <conditionalFormatting sqref="J22 P22">
    <cfRule type="cellIs" dxfId="66" priority="5" stopIfTrue="1" operator="equal">
      <formula>SUM(J14:J21)</formula>
    </cfRule>
  </conditionalFormatting>
  <conditionalFormatting sqref="I50">
    <cfRule type="cellIs" dxfId="65" priority="6" stopIfTrue="1" operator="equal">
      <formula>$I$50</formula>
    </cfRule>
  </conditionalFormatting>
  <conditionalFormatting sqref="I22 K22:L22 N22:O22 Q22:Q29 I23:P23 I29:P29">
    <cfRule type="cellIs" dxfId="64" priority="7" stopIfTrue="1" operator="equal">
      <formula>" "</formula>
    </cfRule>
  </conditionalFormatting>
  <conditionalFormatting sqref="F13 I13 L13 O13">
    <cfRule type="cellIs" dxfId="63" priority="8" stopIfTrue="1" operator="equal">
      <formula>"linksaf "</formula>
    </cfRule>
  </conditionalFormatting>
  <conditionalFormatting sqref="H13 K13 N13 Q13">
    <cfRule type="cellIs" dxfId="62" priority="9" stopIfTrue="1" operator="equal">
      <formula>"rechtsaf "</formula>
    </cfRule>
  </conditionalFormatting>
  <conditionalFormatting sqref="O12">
    <cfRule type="cellIs" dxfId="61" priority="10" stopIfTrue="1" operator="equal">
      <formula>"9 "</formula>
    </cfRule>
  </conditionalFormatting>
  <conditionalFormatting sqref="Q12">
    <cfRule type="cellIs" dxfId="60" priority="11" stopIfTrue="1" operator="equal">
      <formula>"8 "</formula>
    </cfRule>
  </conditionalFormatting>
  <conditionalFormatting sqref="F33 I33 L33 O33">
    <cfRule type="cellIs" dxfId="59" priority="12" stopIfTrue="1" operator="equal">
      <formula>"linksaf "</formula>
    </cfRule>
  </conditionalFormatting>
  <conditionalFormatting sqref="F42 H42:I42 K42:L42 N42:O42 F43:Q43 Q42">
    <cfRule type="cellIs" dxfId="58" priority="13" stopIfTrue="1" operator="equal">
      <formula>" "</formula>
    </cfRule>
  </conditionalFormatting>
  <conditionalFormatting sqref="H33 K33 N33 Q33">
    <cfRule type="cellIs" dxfId="57" priority="14" stopIfTrue="1" operator="equal">
      <formula>"rechtsaf "</formula>
    </cfRule>
  </conditionalFormatting>
  <conditionalFormatting sqref="O32">
    <cfRule type="cellIs" dxfId="56" priority="15" stopIfTrue="1" operator="equal">
      <formula>"9 "</formula>
    </cfRule>
  </conditionalFormatting>
  <conditionalFormatting sqref="Q32">
    <cfRule type="cellIs" dxfId="55" priority="16" stopIfTrue="1" operator="equal">
      <formula>"8 "</formula>
    </cfRule>
  </conditionalFormatting>
  <conditionalFormatting sqref="R14:R21">
    <cfRule type="cellIs" dxfId="54" priority="17" stopIfTrue="1" operator="equal">
      <formula>""</formula>
    </cfRule>
  </conditionalFormatting>
  <conditionalFormatting sqref="G42 J42 M42 P42">
    <cfRule type="cellIs" dxfId="53" priority="18" stopIfTrue="1" operator="equal">
      <formula>""</formula>
    </cfRule>
  </conditionalFormatting>
  <conditionalFormatting sqref="F22:F29 G23:G29 H22:H23 H29 H24:P28">
    <cfRule type="cellIs" dxfId="52" priority="19" stopIfTrue="1" operator="equal">
      <formula>" "</formula>
    </cfRule>
  </conditionalFormatting>
  <conditionalFormatting sqref="F12">
    <cfRule type="cellIs" dxfId="51" priority="20" stopIfTrue="1" operator="equal">
      <formula>"= "</formula>
    </cfRule>
  </conditionalFormatting>
  <conditionalFormatting sqref="H12">
    <cfRule type="cellIs" dxfId="50" priority="21" stopIfTrue="1" operator="equal">
      <formula>"? "</formula>
    </cfRule>
  </conditionalFormatting>
  <conditionalFormatting sqref="I12">
    <cfRule type="cellIs" dxfId="49" priority="22" stopIfTrue="1" operator="equal">
      <formula>": "</formula>
    </cfRule>
  </conditionalFormatting>
  <conditionalFormatting sqref="J12">
    <cfRule type="cellIs" dxfId="48" priority="23" stopIfTrue="1" operator="equal">
      <formula>"# "</formula>
    </cfRule>
  </conditionalFormatting>
  <conditionalFormatting sqref="K12">
    <cfRule type="cellIs" dxfId="47" priority="24" stopIfTrue="1" operator="equal">
      <formula>"; "</formula>
    </cfRule>
  </conditionalFormatting>
  <conditionalFormatting sqref="L12">
    <cfRule type="cellIs" dxfId="46" priority="25" stopIfTrue="1" operator="equal">
      <formula>"&gt; "</formula>
    </cfRule>
  </conditionalFormatting>
  <conditionalFormatting sqref="M12">
    <cfRule type="cellIs" dxfId="45" priority="26" stopIfTrue="1" operator="equal">
      <formula>"! "</formula>
    </cfRule>
  </conditionalFormatting>
  <conditionalFormatting sqref="N12">
    <cfRule type="cellIs" dxfId="44" priority="27" stopIfTrue="1" operator="equal">
      <formula>"&lt; "</formula>
    </cfRule>
  </conditionalFormatting>
  <conditionalFormatting sqref="P12">
    <cfRule type="cellIs" dxfId="43" priority="28" stopIfTrue="1" operator="equal">
      <formula>"$ "</formula>
    </cfRule>
  </conditionalFormatting>
  <conditionalFormatting sqref="G12">
    <cfRule type="cellIs" dxfId="42" priority="29" stopIfTrue="1" operator="equal">
      <formula>" """</formula>
    </cfRule>
  </conditionalFormatting>
  <conditionalFormatting sqref="F32">
    <cfRule type="cellIs" dxfId="41" priority="30" stopIfTrue="1" operator="equal">
      <formula>"= "</formula>
    </cfRule>
  </conditionalFormatting>
  <conditionalFormatting sqref="G32">
    <cfRule type="cellIs" dxfId="40" priority="31" stopIfTrue="1" operator="equal">
      <formula>" """</formula>
    </cfRule>
  </conditionalFormatting>
  <conditionalFormatting sqref="H32">
    <cfRule type="cellIs" dxfId="39" priority="32" stopIfTrue="1" operator="equal">
      <formula>"? "</formula>
    </cfRule>
  </conditionalFormatting>
  <conditionalFormatting sqref="I32">
    <cfRule type="cellIs" dxfId="38" priority="33" stopIfTrue="1" operator="equal">
      <formula>": "</formula>
    </cfRule>
  </conditionalFormatting>
  <conditionalFormatting sqref="J32">
    <cfRule type="cellIs" dxfId="37" priority="34" stopIfTrue="1" operator="equal">
      <formula>"# "</formula>
    </cfRule>
  </conditionalFormatting>
  <conditionalFormatting sqref="K32">
    <cfRule type="cellIs" dxfId="36" priority="35" stopIfTrue="1" operator="equal">
      <formula>"; "</formula>
    </cfRule>
  </conditionalFormatting>
  <conditionalFormatting sqref="L32">
    <cfRule type="cellIs" dxfId="35" priority="36" stopIfTrue="1" operator="equal">
      <formula>"&gt; "</formula>
    </cfRule>
  </conditionalFormatting>
  <conditionalFormatting sqref="M32">
    <cfRule type="cellIs" dxfId="34" priority="37" stopIfTrue="1" operator="equal">
      <formula>"! "</formula>
    </cfRule>
  </conditionalFormatting>
  <conditionalFormatting sqref="N32">
    <cfRule type="cellIs" dxfId="33" priority="38" stopIfTrue="1" operator="equal">
      <formula>"&lt; "</formula>
    </cfRule>
  </conditionalFormatting>
  <conditionalFormatting sqref="P32">
    <cfRule type="cellIs" dxfId="32" priority="39" stopIfTrue="1" operator="equal">
      <formula>"$ "</formula>
    </cfRule>
  </conditionalFormatting>
  <conditionalFormatting sqref="F14:F21">
    <cfRule type="cellIs" dxfId="31" priority="40" stopIfTrue="1" operator="equal">
      <formula>" "</formula>
    </cfRule>
    <cfRule type="cellIs" dxfId="30" priority="41" stopIfTrue="1" operator="equal">
      <formula>0</formula>
    </cfRule>
    <cfRule type="cellIs" dxfId="29" priority="42" stopIfTrue="1" operator="notBetween">
      <formula>0</formula>
      <formula>2000</formula>
    </cfRule>
  </conditionalFormatting>
  <conditionalFormatting sqref="H14:H21">
    <cfRule type="cellIs" dxfId="28" priority="43" stopIfTrue="1" operator="equal">
      <formula>" "</formula>
    </cfRule>
    <cfRule type="cellIs" dxfId="27" priority="44" stopIfTrue="1" operator="equal">
      <formula>0</formula>
    </cfRule>
    <cfRule type="cellIs" dxfId="26" priority="45" stopIfTrue="1" operator="notBetween">
      <formula>0</formula>
      <formula>2000</formula>
    </cfRule>
  </conditionalFormatting>
  <conditionalFormatting sqref="N14:O21 K14:L21 Q14:Q21 I14:I21">
    <cfRule type="cellIs" dxfId="25" priority="46" stopIfTrue="1" operator="equal">
      <formula>" "</formula>
    </cfRule>
    <cfRule type="cellIs" dxfId="24" priority="47" stopIfTrue="1" operator="equal">
      <formula>0</formula>
    </cfRule>
    <cfRule type="cellIs" dxfId="23" priority="48" stopIfTrue="1" operator="notBetween">
      <formula>0</formula>
      <formula>2000</formula>
    </cfRule>
  </conditionalFormatting>
  <conditionalFormatting sqref="Q34:Q41 I34:I41 K34:L41 F34:F41 N34:O41">
    <cfRule type="cellIs" dxfId="22" priority="49" stopIfTrue="1" operator="equal">
      <formula>" "</formula>
    </cfRule>
    <cfRule type="cellIs" dxfId="21" priority="50" stopIfTrue="1" operator="equal">
      <formula>0</formula>
    </cfRule>
    <cfRule type="cellIs" dxfId="20" priority="51" stopIfTrue="1" operator="notBetween">
      <formula>0</formula>
      <formula>2000</formula>
    </cfRule>
  </conditionalFormatting>
  <conditionalFormatting sqref="G34:G41 J34:J41 M34:M41 P34:P41 P14:P21 G14:G21 J14:J21 M21 M14:M19">
    <cfRule type="cellIs" dxfId="19" priority="52" stopIfTrue="1" operator="notBetween">
      <formula>0</formula>
      <formula>2000</formula>
    </cfRule>
  </conditionalFormatting>
  <conditionalFormatting sqref="H34:H41">
    <cfRule type="cellIs" dxfId="18" priority="53" stopIfTrue="1" operator="equal">
      <formula>" "</formula>
    </cfRule>
    <cfRule type="cellIs" dxfId="17" priority="54" stopIfTrue="1" operator="equal">
      <formula>0</formula>
    </cfRule>
    <cfRule type="cellIs" dxfId="16" priority="55" stopIfTrue="1" operator="notBetween">
      <formula>0</formula>
      <formula>2000</formula>
    </cfRule>
  </conditionalFormatting>
  <conditionalFormatting sqref="G13">
    <cfRule type="cellIs" dxfId="15" priority="56" stopIfTrue="1" operator="equal">
      <formula>"oversteek op tak 2 "</formula>
    </cfRule>
  </conditionalFormatting>
  <conditionalFormatting sqref="J13 J33">
    <cfRule type="cellIs" dxfId="14" priority="57" stopIfTrue="1" operator="equal">
      <formula>"oversteek op tak 3 "</formula>
    </cfRule>
  </conditionalFormatting>
  <conditionalFormatting sqref="M13">
    <cfRule type="cellIs" dxfId="13" priority="58" stopIfTrue="1" operator="equal">
      <formula>"oversteek op tak 4"</formula>
    </cfRule>
  </conditionalFormatting>
  <conditionalFormatting sqref="P13 P33">
    <cfRule type="cellIs" dxfId="12" priority="59" stopIfTrue="1" operator="equal">
      <formula>"oversteek op tak 1 "</formula>
    </cfRule>
  </conditionalFormatting>
  <conditionalFormatting sqref="M20">
    <cfRule type="cellIs" dxfId="11" priority="3" stopIfTrue="1" operator="notBetween">
      <formula>0</formula>
      <formula>2000</formula>
    </cfRule>
  </conditionalFormatting>
  <conditionalFormatting sqref="M33">
    <cfRule type="cellIs" dxfId="10" priority="2" stopIfTrue="1" operator="equal">
      <formula>"oversteek op tak 4 "</formula>
    </cfRule>
  </conditionalFormatting>
  <conditionalFormatting sqref="G33">
    <cfRule type="cellIs" dxfId="9" priority="1" stopIfTrue="1" operator="equal">
      <formula>"oversteek op tak 3 "</formula>
    </cfRule>
  </conditionalFormatting>
  <pageMargins left="0.69" right="0.16" top="0.57999999999999996" bottom="0.43" header="0.5" footer="0.5"/>
  <pageSetup paperSize="9" scale="60" orientation="landscape" r:id="rId1"/>
  <headerFooter alignWithMargins="0">
    <oddFooter>&amp;LKwaliteitssysteem AWV
F-EVT-PP03-11 Geldig vanaf 01-05-2011 Versie 1.0</oddFooter>
  </headerFooter>
  <ignoredErrors>
    <ignoredError sqref="G22 J22 M22 P22 G42 J42 M42 P4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locked="0" defaultSize="0" autoFill="0" autoLine="0" autoPict="0">
                <anchor moveWithCells="1">
                  <from>
                    <xdr:col>10</xdr:col>
                    <xdr:colOff>790575</xdr:colOff>
                    <xdr:row>4</xdr:row>
                    <xdr:rowOff>28575</xdr:rowOff>
                  </from>
                  <to>
                    <xdr:col>11</xdr:col>
                    <xdr:colOff>295275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5</xdr:row>
                    <xdr:rowOff>47625</xdr:rowOff>
                  </from>
                  <to>
                    <xdr:col>11</xdr:col>
                    <xdr:colOff>304800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Check Box 4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6</xdr:row>
                    <xdr:rowOff>38100</xdr:rowOff>
                  </from>
                  <to>
                    <xdr:col>11</xdr:col>
                    <xdr:colOff>304800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7" name="Check Box 5">
              <controlPr locked="0" defaultSize="0" autoFill="0" autoLine="0" autoPict="0">
                <anchor moveWithCells="1">
                  <from>
                    <xdr:col>11</xdr:col>
                    <xdr:colOff>0</xdr:colOff>
                    <xdr:row>7</xdr:row>
                    <xdr:rowOff>9525</xdr:rowOff>
                  </from>
                  <to>
                    <xdr:col>11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S44"/>
  <sheetViews>
    <sheetView zoomScale="70" zoomScaleNormal="70" workbookViewId="0">
      <selection sqref="A1:R1"/>
    </sheetView>
  </sheetViews>
  <sheetFormatPr defaultRowHeight="12.75" x14ac:dyDescent="0.2"/>
  <cols>
    <col min="1" max="1" width="10.7109375" customWidth="1"/>
    <col min="2" max="4" width="5.7109375" customWidth="1"/>
    <col min="5" max="5" width="10.7109375" customWidth="1"/>
    <col min="6" max="8" width="12" customWidth="1"/>
    <col min="9" max="9" width="13.5703125" customWidth="1"/>
    <col min="10" max="17" width="12" customWidth="1"/>
    <col min="18" max="18" width="29.5703125" customWidth="1"/>
  </cols>
  <sheetData>
    <row r="1" spans="1:19" s="473" customFormat="1" ht="37.5" customHeight="1" x14ac:dyDescent="0.4">
      <c r="A1" s="667" t="s">
        <v>55</v>
      </c>
      <c r="B1" s="668"/>
      <c r="C1" s="668"/>
      <c r="D1" s="668"/>
      <c r="E1" s="668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70"/>
      <c r="S1" s="472"/>
    </row>
    <row r="2" spans="1:19" s="473" customFormat="1" ht="52.5" customHeight="1" thickBot="1" x14ac:dyDescent="0.25">
      <c r="A2" s="671" t="s">
        <v>79</v>
      </c>
      <c r="B2" s="672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4"/>
      <c r="S2" s="474"/>
    </row>
    <row r="3" spans="1:19" ht="22.5" x14ac:dyDescent="0.45">
      <c r="A3" s="831" t="s">
        <v>0</v>
      </c>
      <c r="B3" s="832"/>
      <c r="C3" s="832"/>
      <c r="D3" s="833"/>
      <c r="E3" s="834" t="str">
        <f>'Licht vervoer'!E3</f>
        <v>-</v>
      </c>
      <c r="F3" s="835"/>
      <c r="G3" s="835"/>
      <c r="H3" s="836"/>
      <c r="I3" s="296" t="s">
        <v>5</v>
      </c>
      <c r="J3" s="837" t="str">
        <f>'Licht vervoer'!J3</f>
        <v>N26 / E314 Zuid</v>
      </c>
      <c r="K3" s="838"/>
      <c r="L3" s="838"/>
      <c r="M3" s="839"/>
      <c r="N3" s="296" t="s">
        <v>13</v>
      </c>
      <c r="O3" s="297"/>
      <c r="P3" s="723">
        <f>'Licht vervoer'!P3</f>
        <v>43207</v>
      </c>
      <c r="Q3" s="724"/>
      <c r="R3" s="725"/>
    </row>
    <row r="4" spans="1:19" ht="22.5" x14ac:dyDescent="0.45">
      <c r="A4" s="808" t="s">
        <v>1</v>
      </c>
      <c r="B4" s="809"/>
      <c r="C4" s="809"/>
      <c r="D4" s="810"/>
      <c r="E4" s="811" t="str">
        <f>'Licht vervoer'!E4</f>
        <v>-</v>
      </c>
      <c r="F4" s="812"/>
      <c r="G4" s="812"/>
      <c r="H4" s="813"/>
      <c r="I4" s="298"/>
      <c r="J4" s="840"/>
      <c r="K4" s="840"/>
      <c r="L4" s="840"/>
      <c r="M4" s="841"/>
      <c r="N4" s="296" t="s">
        <v>22</v>
      </c>
      <c r="O4" s="295"/>
      <c r="P4" s="811" t="str">
        <f>'Licht vervoer'!P4</f>
        <v>-</v>
      </c>
      <c r="Q4" s="816"/>
      <c r="R4" s="817"/>
    </row>
    <row r="5" spans="1:19" ht="22.5" x14ac:dyDescent="0.45">
      <c r="A5" s="808" t="s">
        <v>6</v>
      </c>
      <c r="B5" s="809"/>
      <c r="C5" s="809"/>
      <c r="D5" s="810"/>
      <c r="E5" s="811" t="str">
        <f>'Licht vervoer'!E5</f>
        <v>Limburg</v>
      </c>
      <c r="F5" s="812"/>
      <c r="G5" s="812"/>
      <c r="H5" s="813"/>
      <c r="I5" s="296" t="s">
        <v>7</v>
      </c>
      <c r="J5" s="811" t="str">
        <f>'Licht vervoer'!J5</f>
        <v>Afrit E314 Zuid (West)</v>
      </c>
      <c r="K5" s="814"/>
      <c r="L5" s="814"/>
      <c r="M5" s="815"/>
      <c r="N5" s="296" t="s">
        <v>57</v>
      </c>
      <c r="O5" s="295"/>
      <c r="P5" s="811" t="str">
        <f>'Licht vervoer'!P5</f>
        <v>Dufec</v>
      </c>
      <c r="Q5" s="816"/>
      <c r="R5" s="817"/>
    </row>
    <row r="6" spans="1:19" ht="22.5" x14ac:dyDescent="0.45">
      <c r="A6" s="808" t="s">
        <v>3</v>
      </c>
      <c r="B6" s="809"/>
      <c r="C6" s="809"/>
      <c r="D6" s="810"/>
      <c r="E6" s="811" t="str">
        <f>'Licht vervoer'!E6</f>
        <v>Leuven</v>
      </c>
      <c r="F6" s="812"/>
      <c r="G6" s="812"/>
      <c r="H6" s="813"/>
      <c r="I6" s="296" t="s">
        <v>8</v>
      </c>
      <c r="J6" s="827" t="str">
        <f>'Licht vervoer'!J6</f>
        <v>N26 komende van N26a</v>
      </c>
      <c r="K6" s="814"/>
      <c r="L6" s="814"/>
      <c r="M6" s="815"/>
      <c r="N6" s="296" t="s">
        <v>56</v>
      </c>
      <c r="O6" s="299"/>
      <c r="P6" s="828" t="str">
        <f>'Licht vervoer'!P6</f>
        <v>Half bewolkt, geen neerslag</v>
      </c>
      <c r="Q6" s="816"/>
      <c r="R6" s="817"/>
    </row>
    <row r="7" spans="1:19" ht="22.5" x14ac:dyDescent="0.45">
      <c r="A7" s="808" t="s">
        <v>4</v>
      </c>
      <c r="B7" s="809"/>
      <c r="C7" s="809"/>
      <c r="D7" s="829"/>
      <c r="E7" s="830" t="str">
        <f>'Licht vervoer'!E7</f>
        <v>Leuven</v>
      </c>
      <c r="F7" s="818"/>
      <c r="G7" s="818"/>
      <c r="H7" s="815"/>
      <c r="I7" s="301" t="s">
        <v>9</v>
      </c>
      <c r="J7" s="811" t="str">
        <f>'Licht vervoer'!J7</f>
        <v>Toerit E314 Zuid (Oost)</v>
      </c>
      <c r="K7" s="818"/>
      <c r="L7" s="818"/>
      <c r="M7" s="815"/>
      <c r="N7" s="302" t="s">
        <v>12</v>
      </c>
      <c r="O7" s="299"/>
      <c r="P7" s="819" t="str">
        <f>'Licht vervoer'!P7</f>
        <v>Op het kruispunt zijn ook wachtrijmetingen uitgevoerd.</v>
      </c>
      <c r="Q7" s="820"/>
      <c r="R7" s="821"/>
    </row>
    <row r="8" spans="1:19" ht="23.25" thickBot="1" x14ac:dyDescent="0.5">
      <c r="A8" s="303"/>
      <c r="B8" s="304"/>
      <c r="C8" s="304"/>
      <c r="D8" s="304"/>
      <c r="E8" s="825"/>
      <c r="F8" s="825"/>
      <c r="G8" s="825"/>
      <c r="H8" s="826"/>
      <c r="I8" s="305" t="s">
        <v>10</v>
      </c>
      <c r="J8" s="824" t="str">
        <f>'Licht vervoer'!J8</f>
        <v>N26 komende van E314 Noord</v>
      </c>
      <c r="K8" s="825"/>
      <c r="L8" s="825"/>
      <c r="M8" s="826"/>
      <c r="N8" s="306"/>
      <c r="O8" s="307"/>
      <c r="P8" s="822"/>
      <c r="Q8" s="822"/>
      <c r="R8" s="823"/>
    </row>
    <row r="9" spans="1:19" ht="13.5" thickBot="1" x14ac:dyDescent="0.25"/>
    <row r="10" spans="1:19" ht="22.5" customHeight="1" x14ac:dyDescent="0.4">
      <c r="A10" s="308" t="s">
        <v>25</v>
      </c>
      <c r="B10" s="786">
        <f>'Licht vervoer'!B10</f>
        <v>0.29166666666666669</v>
      </c>
      <c r="C10" s="786"/>
      <c r="D10" s="309" t="s">
        <v>26</v>
      </c>
      <c r="E10" s="310">
        <f>'Licht vervoer'!E10</f>
        <v>0.37500000000000017</v>
      </c>
      <c r="F10" s="758" t="s">
        <v>14</v>
      </c>
      <c r="G10" s="806"/>
      <c r="H10" s="807"/>
      <c r="I10" s="758" t="s">
        <v>15</v>
      </c>
      <c r="J10" s="806"/>
      <c r="K10" s="807"/>
      <c r="L10" s="758" t="s">
        <v>16</v>
      </c>
      <c r="M10" s="806"/>
      <c r="N10" s="807"/>
      <c r="O10" s="758" t="s">
        <v>17</v>
      </c>
      <c r="P10" s="806"/>
      <c r="Q10" s="807"/>
      <c r="R10" s="755" t="s">
        <v>21</v>
      </c>
    </row>
    <row r="11" spans="1:19" ht="30" customHeight="1" x14ac:dyDescent="0.2">
      <c r="A11" s="791" t="str">
        <f>'Licht vervoer'!A11:C12</f>
        <v>Periode 1:</v>
      </c>
      <c r="B11" s="787"/>
      <c r="C11" s="787"/>
      <c r="D11" s="787" t="str">
        <f>'Licht vervoer'!D11:E12</f>
        <v>Ochtend</v>
      </c>
      <c r="E11" s="788"/>
      <c r="F11" s="455"/>
      <c r="G11" s="804" t="s">
        <v>37</v>
      </c>
      <c r="H11" s="457"/>
      <c r="I11" s="455"/>
      <c r="J11" s="804" t="s">
        <v>37</v>
      </c>
      <c r="K11" s="457"/>
      <c r="L11" s="455"/>
      <c r="M11" s="804" t="s">
        <v>37</v>
      </c>
      <c r="N11" s="457"/>
      <c r="O11" s="455"/>
      <c r="P11" s="804" t="s">
        <v>37</v>
      </c>
      <c r="Q11" s="457"/>
      <c r="R11" s="756"/>
    </row>
    <row r="12" spans="1:19" ht="13.5" customHeight="1" thickBot="1" x14ac:dyDescent="0.25">
      <c r="A12" s="764"/>
      <c r="B12" s="789"/>
      <c r="C12" s="789"/>
      <c r="D12" s="789"/>
      <c r="E12" s="790"/>
      <c r="F12" s="456"/>
      <c r="G12" s="805"/>
      <c r="H12" s="458"/>
      <c r="I12" s="456"/>
      <c r="J12" s="805"/>
      <c r="K12" s="458"/>
      <c r="L12" s="456"/>
      <c r="M12" s="805"/>
      <c r="N12" s="458"/>
      <c r="O12" s="456"/>
      <c r="P12" s="805"/>
      <c r="Q12" s="458"/>
      <c r="R12" s="757"/>
    </row>
    <row r="13" spans="1:19" ht="19.5" x14ac:dyDescent="0.4">
      <c r="A13" s="767">
        <f>'Licht vervoer'!A13</f>
        <v>0.29166666666666669</v>
      </c>
      <c r="B13" s="749"/>
      <c r="C13" s="347" t="s">
        <v>23</v>
      </c>
      <c r="D13" s="749">
        <f>'Licht vervoer'!D13</f>
        <v>0.30208333333333337</v>
      </c>
      <c r="E13" s="750"/>
      <c r="F13" s="597"/>
      <c r="G13" s="585">
        <v>0</v>
      </c>
      <c r="H13" s="600"/>
      <c r="I13" s="604"/>
      <c r="J13" s="585"/>
      <c r="K13" s="607"/>
      <c r="L13" s="604"/>
      <c r="M13" s="585">
        <v>2</v>
      </c>
      <c r="N13" s="607"/>
      <c r="O13" s="604"/>
      <c r="P13" s="585"/>
      <c r="Q13" s="607"/>
      <c r="R13" s="322">
        <f>G13+J13+M13+P13</f>
        <v>2</v>
      </c>
    </row>
    <row r="14" spans="1:19" ht="19.5" x14ac:dyDescent="0.4">
      <c r="A14" s="766">
        <f>'Licht vervoer'!A14</f>
        <v>0.30208333333333337</v>
      </c>
      <c r="B14" s="751"/>
      <c r="C14" s="345" t="s">
        <v>23</v>
      </c>
      <c r="D14" s="751">
        <f>'Licht vervoer'!D14</f>
        <v>0.31250000000000006</v>
      </c>
      <c r="E14" s="752"/>
      <c r="F14" s="598"/>
      <c r="G14" s="586">
        <v>0</v>
      </c>
      <c r="H14" s="601"/>
      <c r="I14" s="605"/>
      <c r="J14" s="586"/>
      <c r="K14" s="608"/>
      <c r="L14" s="605"/>
      <c r="M14" s="586">
        <v>1</v>
      </c>
      <c r="N14" s="608"/>
      <c r="O14" s="605"/>
      <c r="P14" s="586"/>
      <c r="Q14" s="608"/>
      <c r="R14" s="323">
        <f t="shared" ref="R14:R20" si="0">G14+J14+M14+P14</f>
        <v>1</v>
      </c>
    </row>
    <row r="15" spans="1:19" ht="19.5" x14ac:dyDescent="0.4">
      <c r="A15" s="766">
        <f>'Licht vervoer'!A15</f>
        <v>0.31250000000000006</v>
      </c>
      <c r="B15" s="751"/>
      <c r="C15" s="345" t="s">
        <v>23</v>
      </c>
      <c r="D15" s="751">
        <f>'Licht vervoer'!D15</f>
        <v>0.32291666666666674</v>
      </c>
      <c r="E15" s="752"/>
      <c r="F15" s="598"/>
      <c r="G15" s="586">
        <v>2</v>
      </c>
      <c r="H15" s="601"/>
      <c r="I15" s="605"/>
      <c r="J15" s="586"/>
      <c r="K15" s="608"/>
      <c r="L15" s="605"/>
      <c r="M15" s="586">
        <v>1</v>
      </c>
      <c r="N15" s="608"/>
      <c r="O15" s="605"/>
      <c r="P15" s="586"/>
      <c r="Q15" s="608"/>
      <c r="R15" s="323">
        <f t="shared" si="0"/>
        <v>3</v>
      </c>
    </row>
    <row r="16" spans="1:19" ht="19.5" x14ac:dyDescent="0.4">
      <c r="A16" s="766">
        <f>'Licht vervoer'!A16</f>
        <v>0.32291666666666674</v>
      </c>
      <c r="B16" s="751"/>
      <c r="C16" s="345" t="s">
        <v>23</v>
      </c>
      <c r="D16" s="751">
        <f>'Licht vervoer'!D16</f>
        <v>0.33333333333333343</v>
      </c>
      <c r="E16" s="752"/>
      <c r="F16" s="598"/>
      <c r="G16" s="586">
        <v>1</v>
      </c>
      <c r="H16" s="601"/>
      <c r="I16" s="605"/>
      <c r="J16" s="586"/>
      <c r="K16" s="608"/>
      <c r="L16" s="605"/>
      <c r="M16" s="586">
        <v>2</v>
      </c>
      <c r="N16" s="608"/>
      <c r="O16" s="605"/>
      <c r="P16" s="586"/>
      <c r="Q16" s="608"/>
      <c r="R16" s="323">
        <f t="shared" si="0"/>
        <v>3</v>
      </c>
    </row>
    <row r="17" spans="1:18" ht="19.5" x14ac:dyDescent="0.4">
      <c r="A17" s="766">
        <f>'Licht vervoer'!A17</f>
        <v>0.33333333333333343</v>
      </c>
      <c r="B17" s="751"/>
      <c r="C17" s="345" t="s">
        <v>23</v>
      </c>
      <c r="D17" s="751">
        <f>'Licht vervoer'!D17</f>
        <v>0.34375000000000011</v>
      </c>
      <c r="E17" s="752"/>
      <c r="F17" s="598"/>
      <c r="G17" s="586">
        <v>1</v>
      </c>
      <c r="H17" s="601"/>
      <c r="I17" s="605"/>
      <c r="J17" s="586"/>
      <c r="K17" s="608"/>
      <c r="L17" s="605"/>
      <c r="M17" s="586">
        <v>0</v>
      </c>
      <c r="N17" s="608"/>
      <c r="O17" s="605"/>
      <c r="P17" s="586"/>
      <c r="Q17" s="608"/>
      <c r="R17" s="323">
        <f t="shared" si="0"/>
        <v>1</v>
      </c>
    </row>
    <row r="18" spans="1:18" ht="19.5" x14ac:dyDescent="0.4">
      <c r="A18" s="766">
        <f>'Licht vervoer'!A18</f>
        <v>0.34375000000000011</v>
      </c>
      <c r="B18" s="751"/>
      <c r="C18" s="345" t="s">
        <v>23</v>
      </c>
      <c r="D18" s="751">
        <f>'Licht vervoer'!D18</f>
        <v>0.3541666666666668</v>
      </c>
      <c r="E18" s="752"/>
      <c r="F18" s="598"/>
      <c r="G18" s="586">
        <v>2</v>
      </c>
      <c r="H18" s="602"/>
      <c r="I18" s="605"/>
      <c r="J18" s="586"/>
      <c r="K18" s="609"/>
      <c r="L18" s="605"/>
      <c r="M18" s="586">
        <v>0</v>
      </c>
      <c r="N18" s="609"/>
      <c r="O18" s="605"/>
      <c r="P18" s="586"/>
      <c r="Q18" s="609"/>
      <c r="R18" s="323">
        <f t="shared" si="0"/>
        <v>2</v>
      </c>
    </row>
    <row r="19" spans="1:18" ht="19.5" x14ac:dyDescent="0.4">
      <c r="A19" s="766">
        <f>'Licht vervoer'!A19</f>
        <v>0.3541666666666668</v>
      </c>
      <c r="B19" s="751"/>
      <c r="C19" s="345" t="s">
        <v>23</v>
      </c>
      <c r="D19" s="751">
        <f>'Licht vervoer'!D19</f>
        <v>0.36458333333333348</v>
      </c>
      <c r="E19" s="752"/>
      <c r="F19" s="598"/>
      <c r="G19" s="586">
        <v>3</v>
      </c>
      <c r="H19" s="602"/>
      <c r="I19" s="605"/>
      <c r="J19" s="586"/>
      <c r="K19" s="609"/>
      <c r="L19" s="605"/>
      <c r="M19" s="586">
        <v>1</v>
      </c>
      <c r="N19" s="609"/>
      <c r="O19" s="605"/>
      <c r="P19" s="586"/>
      <c r="Q19" s="609"/>
      <c r="R19" s="323">
        <f t="shared" si="0"/>
        <v>4</v>
      </c>
    </row>
    <row r="20" spans="1:18" ht="20.25" thickBot="1" x14ac:dyDescent="0.45">
      <c r="A20" s="768">
        <f>'Licht vervoer'!A20</f>
        <v>0.36458333333333348</v>
      </c>
      <c r="B20" s="731"/>
      <c r="C20" s="346" t="s">
        <v>23</v>
      </c>
      <c r="D20" s="731">
        <f>'Licht vervoer'!D20</f>
        <v>0.37500000000000017</v>
      </c>
      <c r="E20" s="732"/>
      <c r="F20" s="599"/>
      <c r="G20" s="587">
        <v>1</v>
      </c>
      <c r="H20" s="603"/>
      <c r="I20" s="606"/>
      <c r="J20" s="587"/>
      <c r="K20" s="610"/>
      <c r="L20" s="606"/>
      <c r="M20" s="587">
        <v>3</v>
      </c>
      <c r="N20" s="610"/>
      <c r="O20" s="606"/>
      <c r="P20" s="587"/>
      <c r="Q20" s="610"/>
      <c r="R20" s="471">
        <f t="shared" si="0"/>
        <v>4</v>
      </c>
    </row>
    <row r="21" spans="1:18" ht="20.25" thickBot="1" x14ac:dyDescent="0.45">
      <c r="A21" s="764" t="s">
        <v>21</v>
      </c>
      <c r="B21" s="765"/>
      <c r="C21" s="765"/>
      <c r="D21" s="765"/>
      <c r="E21" s="765"/>
      <c r="F21" s="460"/>
      <c r="G21" s="452">
        <f>SUM(G13:G20)</f>
        <v>10</v>
      </c>
      <c r="H21" s="459"/>
      <c r="I21" s="460"/>
      <c r="J21" s="452">
        <f>SUM(J13:J20)</f>
        <v>0</v>
      </c>
      <c r="K21" s="459"/>
      <c r="L21" s="460"/>
      <c r="M21" s="452">
        <f>SUM(M13:M20)</f>
        <v>10</v>
      </c>
      <c r="N21" s="459"/>
      <c r="O21" s="460"/>
      <c r="P21" s="452">
        <f>SUM(P13:P20)</f>
        <v>0</v>
      </c>
      <c r="Q21" s="459"/>
      <c r="R21" s="104">
        <f>SUM(R13:R20)</f>
        <v>20</v>
      </c>
    </row>
    <row r="22" spans="1:18" ht="19.5" hidden="1" x14ac:dyDescent="0.4">
      <c r="A22" s="341"/>
      <c r="B22" s="348"/>
      <c r="C22" s="348"/>
      <c r="D22" s="348"/>
      <c r="E22" s="348"/>
      <c r="F22" s="134"/>
      <c r="G22" s="134">
        <f>IF(AND(SUM($R13:$R16)&gt;=SUM($R14:$R17),SUM($R13:$R16)&gt;=SUM($R15:$R18),SUM($R13:$R16)&gt;=SUM($R16:$R19),SUM($R13:$R16)&gt;=SUM($R17:$R20)),SUM(F13:H16),0)</f>
        <v>0</v>
      </c>
      <c r="H22" s="134"/>
      <c r="I22" s="134"/>
      <c r="J22" s="134">
        <f>IF(AND(SUM($R13:$R16)&gt;=SUM($R14:$R17),SUM($R13:$R16)&gt;=SUM($R15:$R18),SUM($R13:$R16)&gt;=SUM($R16:$R19),SUM($R13:$R16)&gt;=SUM($R17:$R20)),SUM(I13:K16),0)</f>
        <v>0</v>
      </c>
      <c r="K22" s="134"/>
      <c r="L22" s="134"/>
      <c r="M22" s="134">
        <f>IF(AND(SUM($R13:$R16)&gt;=SUM($R14:$R17),SUM($R13:$R16)&gt;=SUM($R15:$R18),SUM($R13:$R16)&gt;=SUM($R16:$R19),SUM($R13:$R16)&gt;=SUM($R17:$R20)),SUM(L13:N16),0)</f>
        <v>0</v>
      </c>
      <c r="N22" s="134"/>
      <c r="O22" s="134"/>
      <c r="P22" s="134">
        <f>IF(AND(SUM($R13:$R16)&gt;=SUM($R14:$R17),SUM($R13:$R16)&gt;=SUM($R15:$R18),SUM($R13:$R16)&gt;=SUM($R16:$R19),SUM($R13:$R16)&gt;=SUM($R17:$R20)),SUM(O13:Q16),0)</f>
        <v>0</v>
      </c>
      <c r="Q22" s="134"/>
      <c r="R22" s="134">
        <f>IF(AND(SUM($R13:$R16)&gt;=SUM($R14:$R17),SUM($R13:$R16)&gt;=SUM($R15:$R18),SUM($R13:$R16)&gt;=SUM($R16:$R19),SUM($R13:$R16)&gt;=SUM($R17:$R20)),SUM(R13:R16),0)</f>
        <v>0</v>
      </c>
    </row>
    <row r="23" spans="1:18" ht="19.5" hidden="1" x14ac:dyDescent="0.4">
      <c r="A23" s="341"/>
      <c r="B23" s="348"/>
      <c r="C23" s="348"/>
      <c r="D23" s="348"/>
      <c r="E23" s="348"/>
      <c r="F23" s="134"/>
      <c r="G23" s="134">
        <f>IF(AND(SUM($R14:$R17)&gt;=SUM($R15:$R18),SUM($R14:$R17)&gt;=SUM($R16:$R19),SUM($R14:$R17)&gt;=SUM($R17:$R20),SUM($R14:$R17)&gt;SUM($R13:$R16)),SUM(F14:H17),0)</f>
        <v>0</v>
      </c>
      <c r="H23" s="134"/>
      <c r="I23" s="134"/>
      <c r="J23" s="134">
        <f>IF(AND(SUM($R14:$R17)&gt;=SUM($R15:$R18),SUM($R14:$R17)&gt;=SUM($R16:$R19),SUM($R14:$R17)&gt;=SUM($R17:$R20),SUM($R14:$R17)&gt;SUM($R13:$R16)),SUM(I14:K17),0)</f>
        <v>0</v>
      </c>
      <c r="K23" s="134"/>
      <c r="L23" s="134"/>
      <c r="M23" s="134">
        <f>IF(AND(SUM($R14:$R17)&gt;=SUM($R15:$R18),SUM($R14:$R17)&gt;=SUM($R16:$R19),SUM($R14:$R17)&gt;=SUM($R17:$R20),SUM($R14:$R17)&gt;SUM($R13:$R16)),SUM(L14:N17),0)</f>
        <v>0</v>
      </c>
      <c r="N23" s="134"/>
      <c r="O23" s="134"/>
      <c r="P23" s="134">
        <f>IF(AND(SUM($R14:$R17)&gt;=SUM($R15:$R18),SUM($R14:$R17)&gt;=SUM($R16:$R19),SUM($R14:$R17)&gt;=SUM($R17:$R20),SUM($R14:$R17)&gt;SUM($R13:$R16)),SUM(O14:Q17),0)</f>
        <v>0</v>
      </c>
      <c r="Q23" s="134"/>
      <c r="R23" s="134">
        <f>IF(AND(SUM($R14:$R17)&gt;=SUM($R15:$R18),SUM($R14:$R17)&gt;=SUM($R16:$R19),SUM($R14:$R17)&gt;=SUM($R17:$R20),SUM($R14:$R17)&gt;SUM($R13:$R16)),SUM(R14:R17),0)</f>
        <v>0</v>
      </c>
    </row>
    <row r="24" spans="1:18" ht="19.5" hidden="1" x14ac:dyDescent="0.4">
      <c r="A24" s="341"/>
      <c r="B24" s="348"/>
      <c r="C24" s="348"/>
      <c r="D24" s="348"/>
      <c r="E24" s="348"/>
      <c r="F24" s="134"/>
      <c r="G24" s="134">
        <f>IF(AND(SUM($R15:$R18)&gt;=SUM($R16:$R19),SUM($R15:$R18)&gt;=SUM($R17:$R20),SUM($R15:$R18)&gt;SUM($R14:$R17),SUM($R15:$R18)&gt;SUM($R13:$R16)),SUM(F15:H18),0)</f>
        <v>0</v>
      </c>
      <c r="H24" s="134"/>
      <c r="I24" s="134"/>
      <c r="J24" s="134">
        <f>IF(AND(SUM($R15:$R18)&gt;=SUM($R16:$R19),SUM($R15:$R18)&gt;=SUM($R17:$R20),SUM($R15:$R18)&gt;SUM($R14:$R17),SUM($R15:$R18)&gt;SUM($R13:$R16)),SUM(I15:K18),0)</f>
        <v>0</v>
      </c>
      <c r="K24" s="134"/>
      <c r="L24" s="134"/>
      <c r="M24" s="134">
        <f>IF(AND(SUM($R15:$R18)&gt;=SUM($R16:$R19),SUM($R15:$R18)&gt;=SUM($R17:$R20),SUM($R15:$R18)&gt;SUM($R14:$R17),SUM($R15:$R18)&gt;SUM($R13:$R16)),SUM(L15:N18),0)</f>
        <v>0</v>
      </c>
      <c r="N24" s="134"/>
      <c r="O24" s="134"/>
      <c r="P24" s="134">
        <f>IF(AND(SUM($R15:$R18)&gt;=SUM($R16:$R19),SUM($R15:$R18)&gt;=SUM($R17:$R20),SUM($R15:$R18)&gt;SUM($R14:$R17),SUM($R15:$R18)&gt;SUM($R13:$R16)),SUM(O15:Q18),0)</f>
        <v>0</v>
      </c>
      <c r="Q24" s="134"/>
      <c r="R24" s="134">
        <f>IF(AND(SUM($R15:$R18)&gt;=SUM($R16:$R19),SUM($R15:$R18)&gt;=SUM($R17:$R20),SUM($R15:$R18)&gt;SUM($R14:$R17),SUM($R15:$R18)&gt;SUM($R13:$R16)),SUM(R15:R18),0)</f>
        <v>0</v>
      </c>
    </row>
    <row r="25" spans="1:18" ht="19.5" hidden="1" x14ac:dyDescent="0.4">
      <c r="A25" s="341"/>
      <c r="B25" s="348"/>
      <c r="C25" s="348"/>
      <c r="D25" s="348"/>
      <c r="E25" s="348"/>
      <c r="F25" s="134"/>
      <c r="G25" s="134">
        <f>IF(AND(SUM($R16:$R19)&gt;=SUM($R17:$R20),SUM($R16:$R19)&gt;SUM($R15:$R18),SUM($R16:$R19)&gt;SUM($R14:$R17),SUM($R16:$R19)&gt;SUM($R13:$R16)),SUM(F16:H19),0)</f>
        <v>0</v>
      </c>
      <c r="H25" s="134"/>
      <c r="I25" s="134"/>
      <c r="J25" s="134">
        <f>IF(AND(SUM($R16:$R19)&gt;=SUM($R17:$R20),SUM($R16:$R19)&gt;SUM($R15:$R18),SUM($R16:$R19)&gt;SUM($R14:$R17),SUM($R16:$R19)&gt;SUM($R13:$R16)),SUM(I16:K19),0)</f>
        <v>0</v>
      </c>
      <c r="K25" s="134"/>
      <c r="L25" s="134"/>
      <c r="M25" s="134">
        <f>IF(AND(SUM($R16:$R19)&gt;=SUM($R17:$R20),SUM($R16:$R19)&gt;SUM($R15:$R18),SUM($R16:$R19)&gt;SUM($R14:$R17),SUM($R16:$R19)&gt;SUM($R13:$R16)),SUM(L16:N19),0)</f>
        <v>0</v>
      </c>
      <c r="N25" s="134"/>
      <c r="O25" s="134"/>
      <c r="P25" s="134">
        <f>IF(AND(SUM($R16:$R19)&gt;=SUM($R17:$R20),SUM($R16:$R19)&gt;SUM($R15:$R18),SUM($R16:$R19)&gt;SUM($R14:$R17),SUM($R16:$R19)&gt;SUM($R13:$R16)),SUM(O16:Q19),0)</f>
        <v>0</v>
      </c>
      <c r="Q25" s="134"/>
      <c r="R25" s="134">
        <f>IF(AND(SUM($R16:$R19)&gt;=SUM($R17:$R20),SUM($R16:$R19)&gt;SUM($R15:$R18),SUM($R16:$R19)&gt;SUM($R14:$R17),SUM($R16:$R19)&gt;SUM($R13:$R16)),SUM(R16:R19),0)</f>
        <v>0</v>
      </c>
    </row>
    <row r="26" spans="1:18" ht="19.5" hidden="1" x14ac:dyDescent="0.4">
      <c r="A26" s="341"/>
      <c r="B26" s="348"/>
      <c r="C26" s="348"/>
      <c r="D26" s="348"/>
      <c r="E26" s="348"/>
      <c r="F26" s="134"/>
      <c r="G26" s="134">
        <f>IF(AND(SUM($R17:$R20)&gt;SUM($R16:$R19),SUM($R17:$R20)&gt;SUM($R15:$R18),SUM($R17:$R20)&gt;SUM($R14:$R17),SUM($R17:$R20)&gt;SUM($R13:$R16)),SUM(F17:H20),0)</f>
        <v>7</v>
      </c>
      <c r="H26" s="134"/>
      <c r="I26" s="134"/>
      <c r="J26" s="134">
        <f>IF(AND(SUM($R17:$R20)&gt;SUM($R16:$R19),SUM($R17:$R20)&gt;SUM($R15:$R18),SUM($R17:$R20)&gt;SUM($R14:$R17),SUM($R17:$R20)&gt;SUM($R13:$R16)),SUM(I17:K20),0)</f>
        <v>0</v>
      </c>
      <c r="K26" s="134"/>
      <c r="L26" s="134"/>
      <c r="M26" s="134">
        <f>IF(AND(SUM($R17:$R20)&gt;SUM($R16:$R19),SUM($R17:$R20)&gt;SUM($R15:$R18),SUM($R17:$R20)&gt;SUM($R14:$R17),SUM($R17:$R20)&gt;SUM($R13:$R16)),SUM(L17:N20),0)</f>
        <v>4</v>
      </c>
      <c r="N26" s="134"/>
      <c r="O26" s="134"/>
      <c r="P26" s="134">
        <f>IF(AND(SUM($R17:$R20)&gt;SUM($R16:$R19),SUM($R17:$R20)&gt;SUM($R15:$R18),SUM($R17:$R20)&gt;SUM($R14:$R17),SUM($R17:$R20)&gt;SUM($R13:$R16)),SUM(O17:Q20),0)</f>
        <v>0</v>
      </c>
      <c r="Q26" s="134"/>
      <c r="R26" s="134">
        <f>IF(AND(SUM($R17:$R20)&gt;SUM($R16:$R19),SUM($R17:$R20)&gt;SUM($R15:$R18),SUM($R17:$R20)&gt;SUM($R14:$R17),SUM($R17:$R20)&gt;SUM($R13:$R16)),SUM(R17:R20),0)</f>
        <v>11</v>
      </c>
    </row>
    <row r="27" spans="1:18" ht="19.5" hidden="1" x14ac:dyDescent="0.4">
      <c r="A27" s="341"/>
      <c r="B27" s="348"/>
      <c r="C27" s="348"/>
      <c r="D27" s="137" t="s">
        <v>36</v>
      </c>
      <c r="E27" s="348"/>
      <c r="F27" s="134"/>
      <c r="G27" s="138">
        <f>SUM(G22:G26)</f>
        <v>7</v>
      </c>
      <c r="H27" s="134"/>
      <c r="I27" s="134"/>
      <c r="J27" s="138">
        <f>SUM(J22:J26)</f>
        <v>0</v>
      </c>
      <c r="K27" s="134"/>
      <c r="L27" s="134"/>
      <c r="M27" s="138">
        <f>SUM(M22:M26)</f>
        <v>4</v>
      </c>
      <c r="N27" s="134"/>
      <c r="O27" s="134"/>
      <c r="P27" s="138">
        <f>SUM(P22:P26)</f>
        <v>0</v>
      </c>
      <c r="Q27" s="134"/>
      <c r="R27" s="138">
        <f>SUM(R22:R26)</f>
        <v>11</v>
      </c>
    </row>
    <row r="28" spans="1:18" ht="20.25" thickBot="1" x14ac:dyDescent="0.45">
      <c r="A28" s="341"/>
      <c r="B28" s="348"/>
      <c r="C28" s="348"/>
      <c r="D28" s="348"/>
      <c r="E28" s="348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6"/>
    </row>
    <row r="29" spans="1:18" ht="22.5" customHeight="1" x14ac:dyDescent="0.4">
      <c r="A29" s="308" t="s">
        <v>25</v>
      </c>
      <c r="B29" s="743">
        <f>'Licht vervoer'!B24</f>
        <v>0.66666666666666663</v>
      </c>
      <c r="C29" s="743"/>
      <c r="D29" s="309" t="s">
        <v>26</v>
      </c>
      <c r="E29" s="321">
        <f>'Licht vervoer'!E24</f>
        <v>0.74999999999999967</v>
      </c>
      <c r="F29" s="758" t="s">
        <v>14</v>
      </c>
      <c r="G29" s="806"/>
      <c r="H29" s="807"/>
      <c r="I29" s="758" t="s">
        <v>15</v>
      </c>
      <c r="J29" s="806"/>
      <c r="K29" s="807"/>
      <c r="L29" s="758" t="s">
        <v>16</v>
      </c>
      <c r="M29" s="806"/>
      <c r="N29" s="807"/>
      <c r="O29" s="758" t="s">
        <v>17</v>
      </c>
      <c r="P29" s="806"/>
      <c r="Q29" s="807"/>
      <c r="R29" s="755" t="s">
        <v>21</v>
      </c>
    </row>
    <row r="30" spans="1:18" ht="30" customHeight="1" x14ac:dyDescent="0.2">
      <c r="A30" s="739" t="str">
        <f>'Licht vervoer'!A25</f>
        <v>Periode 2:</v>
      </c>
      <c r="B30" s="740"/>
      <c r="C30" s="740"/>
      <c r="D30" s="735" t="str">
        <f>'Licht vervoer'!D25</f>
        <v>Avond</v>
      </c>
      <c r="E30" s="736"/>
      <c r="F30" s="461"/>
      <c r="G30" s="804" t="s">
        <v>37</v>
      </c>
      <c r="H30" s="463"/>
      <c r="I30" s="461"/>
      <c r="J30" s="804" t="s">
        <v>37</v>
      </c>
      <c r="K30" s="463"/>
      <c r="L30" s="461"/>
      <c r="M30" s="804" t="s">
        <v>37</v>
      </c>
      <c r="N30" s="463"/>
      <c r="O30" s="461"/>
      <c r="P30" s="804" t="s">
        <v>37</v>
      </c>
      <c r="Q30" s="463"/>
      <c r="R30" s="756"/>
    </row>
    <row r="31" spans="1:18" ht="13.5" customHeight="1" thickBot="1" x14ac:dyDescent="0.25">
      <c r="A31" s="741"/>
      <c r="B31" s="742"/>
      <c r="C31" s="742"/>
      <c r="D31" s="737"/>
      <c r="E31" s="738"/>
      <c r="F31" s="462"/>
      <c r="G31" s="805"/>
      <c r="H31" s="464"/>
      <c r="I31" s="462"/>
      <c r="J31" s="805"/>
      <c r="K31" s="464"/>
      <c r="L31" s="462"/>
      <c r="M31" s="805"/>
      <c r="N31" s="464"/>
      <c r="O31" s="462"/>
      <c r="P31" s="805"/>
      <c r="Q31" s="464"/>
      <c r="R31" s="757"/>
    </row>
    <row r="32" spans="1:18" ht="19.5" x14ac:dyDescent="0.4">
      <c r="A32" s="747">
        <f>'Licht vervoer'!A27</f>
        <v>0.66666666666666663</v>
      </c>
      <c r="B32" s="748"/>
      <c r="C32" s="343" t="s">
        <v>23</v>
      </c>
      <c r="D32" s="748">
        <f>'Licht vervoer'!D27</f>
        <v>0.67708333333333326</v>
      </c>
      <c r="E32" s="754"/>
      <c r="F32" s="588"/>
      <c r="G32" s="585">
        <v>0</v>
      </c>
      <c r="H32" s="591"/>
      <c r="I32" s="594"/>
      <c r="J32" s="585"/>
      <c r="K32" s="591"/>
      <c r="L32" s="594"/>
      <c r="M32" s="585">
        <v>0</v>
      </c>
      <c r="N32" s="591"/>
      <c r="O32" s="594"/>
      <c r="P32" s="585"/>
      <c r="Q32" s="591"/>
      <c r="R32" s="322">
        <f>G32+J32+M32+P32</f>
        <v>0</v>
      </c>
    </row>
    <row r="33" spans="1:18" ht="19.5" x14ac:dyDescent="0.4">
      <c r="A33" s="733">
        <f>'Licht vervoer'!A28</f>
        <v>0.67708333333333326</v>
      </c>
      <c r="B33" s="734"/>
      <c r="C33" s="342" t="s">
        <v>23</v>
      </c>
      <c r="D33" s="734">
        <f>'Licht vervoer'!D28</f>
        <v>0.68749999999999989</v>
      </c>
      <c r="E33" s="744"/>
      <c r="F33" s="589"/>
      <c r="G33" s="586">
        <v>1</v>
      </c>
      <c r="H33" s="592"/>
      <c r="I33" s="595"/>
      <c r="J33" s="586"/>
      <c r="K33" s="592"/>
      <c r="L33" s="595"/>
      <c r="M33" s="586">
        <v>8</v>
      </c>
      <c r="N33" s="592"/>
      <c r="O33" s="595"/>
      <c r="P33" s="586"/>
      <c r="Q33" s="592"/>
      <c r="R33" s="323">
        <f t="shared" ref="R33:R39" si="1">G33+J33+M33+P33</f>
        <v>9</v>
      </c>
    </row>
    <row r="34" spans="1:18" ht="19.5" x14ac:dyDescent="0.4">
      <c r="A34" s="733">
        <f>'Licht vervoer'!A29</f>
        <v>0.68749999999999989</v>
      </c>
      <c r="B34" s="734"/>
      <c r="C34" s="342" t="s">
        <v>23</v>
      </c>
      <c r="D34" s="734">
        <f>'Licht vervoer'!D29</f>
        <v>0.69791666666666652</v>
      </c>
      <c r="E34" s="744"/>
      <c r="F34" s="589"/>
      <c r="G34" s="586">
        <v>2</v>
      </c>
      <c r="H34" s="592"/>
      <c r="I34" s="595"/>
      <c r="J34" s="586"/>
      <c r="K34" s="592"/>
      <c r="L34" s="595"/>
      <c r="M34" s="586">
        <v>1</v>
      </c>
      <c r="N34" s="592"/>
      <c r="O34" s="595"/>
      <c r="P34" s="586"/>
      <c r="Q34" s="592"/>
      <c r="R34" s="323">
        <f t="shared" si="1"/>
        <v>3</v>
      </c>
    </row>
    <row r="35" spans="1:18" ht="19.5" x14ac:dyDescent="0.4">
      <c r="A35" s="733">
        <f>'Licht vervoer'!A30</f>
        <v>0.69791666666666652</v>
      </c>
      <c r="B35" s="734"/>
      <c r="C35" s="342" t="s">
        <v>23</v>
      </c>
      <c r="D35" s="734">
        <f>'Licht vervoer'!D30</f>
        <v>0.70833333333333315</v>
      </c>
      <c r="E35" s="744"/>
      <c r="F35" s="589"/>
      <c r="G35" s="586">
        <v>1</v>
      </c>
      <c r="H35" s="592"/>
      <c r="I35" s="595"/>
      <c r="J35" s="586"/>
      <c r="K35" s="592"/>
      <c r="L35" s="595"/>
      <c r="M35" s="586">
        <v>1</v>
      </c>
      <c r="N35" s="592"/>
      <c r="O35" s="595"/>
      <c r="P35" s="586"/>
      <c r="Q35" s="592"/>
      <c r="R35" s="323">
        <f t="shared" si="1"/>
        <v>2</v>
      </c>
    </row>
    <row r="36" spans="1:18" ht="19.5" x14ac:dyDescent="0.4">
      <c r="A36" s="733">
        <f>'Licht vervoer'!A31</f>
        <v>0.70833333333333315</v>
      </c>
      <c r="B36" s="734"/>
      <c r="C36" s="342" t="s">
        <v>23</v>
      </c>
      <c r="D36" s="734">
        <f>'Licht vervoer'!D31</f>
        <v>0.71874999999999978</v>
      </c>
      <c r="E36" s="744"/>
      <c r="F36" s="589"/>
      <c r="G36" s="586">
        <v>2</v>
      </c>
      <c r="H36" s="592"/>
      <c r="I36" s="595"/>
      <c r="J36" s="586"/>
      <c r="K36" s="592"/>
      <c r="L36" s="595"/>
      <c r="M36" s="586">
        <v>0</v>
      </c>
      <c r="N36" s="592"/>
      <c r="O36" s="595"/>
      <c r="P36" s="586"/>
      <c r="Q36" s="592"/>
      <c r="R36" s="323">
        <f t="shared" si="1"/>
        <v>2</v>
      </c>
    </row>
    <row r="37" spans="1:18" ht="19.5" x14ac:dyDescent="0.4">
      <c r="A37" s="733">
        <f>'Licht vervoer'!A32</f>
        <v>0.71874999999999978</v>
      </c>
      <c r="B37" s="734"/>
      <c r="C37" s="342" t="s">
        <v>23</v>
      </c>
      <c r="D37" s="734">
        <f>'Licht vervoer'!D32</f>
        <v>0.72916666666666641</v>
      </c>
      <c r="E37" s="744"/>
      <c r="F37" s="589"/>
      <c r="G37" s="586">
        <v>0</v>
      </c>
      <c r="H37" s="592"/>
      <c r="I37" s="595"/>
      <c r="J37" s="586"/>
      <c r="K37" s="592"/>
      <c r="L37" s="595"/>
      <c r="M37" s="586">
        <v>1</v>
      </c>
      <c r="N37" s="592"/>
      <c r="O37" s="595"/>
      <c r="P37" s="586"/>
      <c r="Q37" s="592"/>
      <c r="R37" s="323">
        <f t="shared" si="1"/>
        <v>1</v>
      </c>
    </row>
    <row r="38" spans="1:18" ht="19.5" x14ac:dyDescent="0.4">
      <c r="A38" s="733">
        <f>'Licht vervoer'!A33</f>
        <v>0.72916666666666641</v>
      </c>
      <c r="B38" s="734"/>
      <c r="C38" s="342" t="s">
        <v>23</v>
      </c>
      <c r="D38" s="734">
        <f>'Licht vervoer'!D33</f>
        <v>0.73958333333333304</v>
      </c>
      <c r="E38" s="744"/>
      <c r="F38" s="589"/>
      <c r="G38" s="586">
        <v>0</v>
      </c>
      <c r="H38" s="592"/>
      <c r="I38" s="595"/>
      <c r="J38" s="586"/>
      <c r="K38" s="592"/>
      <c r="L38" s="595"/>
      <c r="M38" s="586">
        <v>3</v>
      </c>
      <c r="N38" s="592"/>
      <c r="O38" s="595"/>
      <c r="P38" s="586"/>
      <c r="Q38" s="592"/>
      <c r="R38" s="323">
        <f t="shared" si="1"/>
        <v>3</v>
      </c>
    </row>
    <row r="39" spans="1:18" ht="20.25" thickBot="1" x14ac:dyDescent="0.45">
      <c r="A39" s="753">
        <f>'Licht vervoer'!A34</f>
        <v>0.73958333333333304</v>
      </c>
      <c r="B39" s="729"/>
      <c r="C39" s="344" t="s">
        <v>23</v>
      </c>
      <c r="D39" s="729">
        <f>'Licht vervoer'!D34</f>
        <v>0.74999999999999967</v>
      </c>
      <c r="E39" s="730"/>
      <c r="F39" s="590"/>
      <c r="G39" s="587">
        <v>1</v>
      </c>
      <c r="H39" s="593"/>
      <c r="I39" s="596"/>
      <c r="J39" s="587"/>
      <c r="K39" s="593"/>
      <c r="L39" s="596"/>
      <c r="M39" s="587">
        <v>0</v>
      </c>
      <c r="N39" s="593"/>
      <c r="O39" s="596"/>
      <c r="P39" s="587"/>
      <c r="Q39" s="593"/>
      <c r="R39" s="326">
        <f t="shared" si="1"/>
        <v>1</v>
      </c>
    </row>
    <row r="40" spans="1:18" ht="20.25" thickBot="1" x14ac:dyDescent="0.45">
      <c r="A40" s="745" t="s">
        <v>21</v>
      </c>
      <c r="B40" s="746"/>
      <c r="C40" s="746"/>
      <c r="D40" s="746"/>
      <c r="E40" s="746"/>
      <c r="F40" s="465"/>
      <c r="G40" s="453">
        <f>SUM(G32:G39)</f>
        <v>7</v>
      </c>
      <c r="H40" s="466"/>
      <c r="I40" s="465"/>
      <c r="J40" s="453">
        <f>SUM(J32:J39)</f>
        <v>0</v>
      </c>
      <c r="K40" s="466"/>
      <c r="L40" s="465"/>
      <c r="M40" s="453">
        <f>SUM(M32:M39)</f>
        <v>14</v>
      </c>
      <c r="N40" s="466"/>
      <c r="O40" s="465"/>
      <c r="P40" s="453">
        <f>SUM(P32:P39)</f>
        <v>0</v>
      </c>
      <c r="Q40" s="466"/>
      <c r="R40" s="104">
        <f>SUM(R32:R39)</f>
        <v>21</v>
      </c>
    </row>
    <row r="41" spans="1:18" ht="13.5" thickBot="1" x14ac:dyDescent="0.25"/>
    <row r="42" spans="1:18" ht="60" customHeight="1" thickBot="1" x14ac:dyDescent="0.25">
      <c r="A42" s="631" t="s">
        <v>81</v>
      </c>
      <c r="B42" s="632"/>
      <c r="C42" s="633"/>
      <c r="D42" s="633"/>
      <c r="E42" s="634"/>
      <c r="F42" s="635"/>
      <c r="G42" s="636"/>
      <c r="H42" s="637"/>
      <c r="I42" s="635"/>
      <c r="J42" s="636"/>
      <c r="K42" s="637"/>
      <c r="L42" s="635"/>
      <c r="M42" s="636"/>
      <c r="N42" s="637"/>
      <c r="O42" s="635"/>
      <c r="P42" s="636"/>
      <c r="Q42" s="637"/>
    </row>
    <row r="43" spans="1:18" ht="16.5" hidden="1" x14ac:dyDescent="0.35">
      <c r="B43" s="105" t="str">
        <f>IF(AND(B10&gt;=0,B10&lt;0.458333),"Ochtend",IF(AND(B10&gt;0.458333,B10&lt;0.625),"Middag","Avond"))</f>
        <v>Ochtend</v>
      </c>
      <c r="C43" s="105"/>
    </row>
    <row r="44" spans="1:18" ht="16.5" hidden="1" x14ac:dyDescent="0.35">
      <c r="B44" s="26" t="str">
        <f>IF(AND(B29&gt;=0,B29&lt;0.458333),"Ochtend",IF(AND(B29&gt;0.458333,B29&lt;0.625),"Middag","Avond"))</f>
        <v>Avond</v>
      </c>
      <c r="C44" s="26"/>
    </row>
  </sheetData>
  <sheetProtection selectLockedCells="1"/>
  <mergeCells count="85">
    <mergeCell ref="F29:H29"/>
    <mergeCell ref="I29:K29"/>
    <mergeCell ref="L29:N29"/>
    <mergeCell ref="G30:G31"/>
    <mergeCell ref="A14:B14"/>
    <mergeCell ref="A19:B19"/>
    <mergeCell ref="A20:B20"/>
    <mergeCell ref="D15:E15"/>
    <mergeCell ref="D16:E16"/>
    <mergeCell ref="D17:E17"/>
    <mergeCell ref="D18:E18"/>
    <mergeCell ref="D19:E19"/>
    <mergeCell ref="D20:E20"/>
    <mergeCell ref="A15:B15"/>
    <mergeCell ref="A16:B16"/>
    <mergeCell ref="A17:B17"/>
    <mergeCell ref="A40:E40"/>
    <mergeCell ref="A37:B37"/>
    <mergeCell ref="A38:B38"/>
    <mergeCell ref="A39:B39"/>
    <mergeCell ref="D37:E37"/>
    <mergeCell ref="D38:E38"/>
    <mergeCell ref="D39:E39"/>
    <mergeCell ref="R29:R31"/>
    <mergeCell ref="O29:Q29"/>
    <mergeCell ref="J30:J31"/>
    <mergeCell ref="M30:M31"/>
    <mergeCell ref="P30:P31"/>
    <mergeCell ref="A1:R1"/>
    <mergeCell ref="A2:R2"/>
    <mergeCell ref="A3:D3"/>
    <mergeCell ref="E3:H3"/>
    <mergeCell ref="J3:M4"/>
    <mergeCell ref="P3:R3"/>
    <mergeCell ref="A4:D4"/>
    <mergeCell ref="E4:H4"/>
    <mergeCell ref="P4:R4"/>
    <mergeCell ref="A5:D5"/>
    <mergeCell ref="E5:H5"/>
    <mergeCell ref="J5:M5"/>
    <mergeCell ref="P5:R5"/>
    <mergeCell ref="J7:M7"/>
    <mergeCell ref="P7:R8"/>
    <mergeCell ref="J8:M8"/>
    <mergeCell ref="A6:D6"/>
    <mergeCell ref="E6:H6"/>
    <mergeCell ref="J6:M6"/>
    <mergeCell ref="P6:R6"/>
    <mergeCell ref="A7:D7"/>
    <mergeCell ref="E7:H8"/>
    <mergeCell ref="G11:G12"/>
    <mergeCell ref="A18:B18"/>
    <mergeCell ref="R10:R12"/>
    <mergeCell ref="O10:Q10"/>
    <mergeCell ref="P11:P12"/>
    <mergeCell ref="D11:E12"/>
    <mergeCell ref="B10:C10"/>
    <mergeCell ref="A11:C12"/>
    <mergeCell ref="F10:H10"/>
    <mergeCell ref="I10:K10"/>
    <mergeCell ref="L10:N10"/>
    <mergeCell ref="J11:J12"/>
    <mergeCell ref="M11:M12"/>
    <mergeCell ref="A13:B13"/>
    <mergeCell ref="D13:E13"/>
    <mergeCell ref="D14:E14"/>
    <mergeCell ref="D36:E36"/>
    <mergeCell ref="A33:B33"/>
    <mergeCell ref="A34:B34"/>
    <mergeCell ref="A35:B35"/>
    <mergeCell ref="A36:B36"/>
    <mergeCell ref="D33:E33"/>
    <mergeCell ref="D34:E34"/>
    <mergeCell ref="D35:E35"/>
    <mergeCell ref="A42:E42"/>
    <mergeCell ref="F42:H42"/>
    <mergeCell ref="I42:K42"/>
    <mergeCell ref="L42:N42"/>
    <mergeCell ref="O42:Q42"/>
    <mergeCell ref="A21:E21"/>
    <mergeCell ref="A32:B32"/>
    <mergeCell ref="D32:E32"/>
    <mergeCell ref="B29:C29"/>
    <mergeCell ref="A30:C31"/>
    <mergeCell ref="D30:E31"/>
  </mergeCells>
  <phoneticPr fontId="2" type="noConversion"/>
  <conditionalFormatting sqref="G13:G20 J13:J20 M13:M20 P13:P20 G32:G39 J32:J39 M32:M39 P32:P39">
    <cfRule type="cellIs" dxfId="8" priority="1" stopIfTrue="1" operator="notBetween">
      <formula>0</formula>
      <formula>2000</formula>
    </cfRule>
  </conditionalFormatting>
  <pageMargins left="0.57999999999999996" right="0.33" top="0.98" bottom="0.44" header="1.06" footer="0.5"/>
  <pageSetup paperSize="9" scale="65" orientation="landscape" r:id="rId1"/>
  <headerFooter alignWithMargins="0">
    <oddFooter>&amp;LKwaliteitssysteem AWV
F-EVT-PP03-11 Geldig vanaf 01-05-2011 Versie 1.0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BE78"/>
  <sheetViews>
    <sheetView zoomScale="70" zoomScaleNormal="70" workbookViewId="0"/>
  </sheetViews>
  <sheetFormatPr defaultRowHeight="12.75" x14ac:dyDescent="0.2"/>
  <cols>
    <col min="1" max="1" width="28" customWidth="1"/>
    <col min="2" max="2" width="6.42578125" customWidth="1"/>
    <col min="3" max="3" width="4.7109375" customWidth="1"/>
    <col min="4" max="4" width="8.7109375" customWidth="1"/>
    <col min="5" max="6" width="3.7109375" customWidth="1"/>
    <col min="7" max="7" width="12.7109375" customWidth="1"/>
    <col min="8" max="9" width="9.7109375" customWidth="1"/>
    <col min="10" max="11" width="4.7109375" customWidth="1"/>
    <col min="12" max="12" width="6.7109375" customWidth="1"/>
    <col min="13" max="47" width="2.42578125" customWidth="1"/>
    <col min="48" max="48" width="6.7109375" customWidth="1"/>
    <col min="49" max="50" width="4.7109375" customWidth="1"/>
    <col min="51" max="51" width="11.140625" customWidth="1"/>
    <col min="52" max="52" width="9.7109375" customWidth="1"/>
    <col min="53" max="53" width="12.7109375" customWidth="1"/>
    <col min="54" max="54" width="9.7109375" customWidth="1"/>
    <col min="55" max="55" width="11.7109375" customWidth="1"/>
    <col min="56" max="56" width="10.5703125" hidden="1" customWidth="1"/>
    <col min="57" max="57" width="33.7109375" customWidth="1"/>
    <col min="58" max="58" width="16" customWidth="1"/>
  </cols>
  <sheetData>
    <row r="1" spans="2:56" ht="37.5" customHeight="1" x14ac:dyDescent="0.7">
      <c r="B1" s="881" t="s">
        <v>55</v>
      </c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2"/>
      <c r="AI1" s="882"/>
      <c r="AJ1" s="882"/>
      <c r="AK1" s="882"/>
      <c r="AL1" s="882"/>
      <c r="AM1" s="882"/>
      <c r="AN1" s="882"/>
      <c r="AO1" s="882"/>
      <c r="AP1" s="882"/>
      <c r="AQ1" s="882"/>
      <c r="AR1" s="882"/>
      <c r="AS1" s="882"/>
      <c r="AT1" s="882"/>
      <c r="AU1" s="882"/>
      <c r="AV1" s="882"/>
      <c r="AW1" s="882"/>
      <c r="AX1" s="882"/>
      <c r="AY1" s="882"/>
      <c r="AZ1" s="882"/>
      <c r="BA1" s="882"/>
      <c r="BB1" s="882"/>
      <c r="BC1" s="883"/>
    </row>
    <row r="2" spans="2:56" ht="52.5" customHeight="1" thickBot="1" x14ac:dyDescent="0.25">
      <c r="B2" s="888" t="s">
        <v>77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889"/>
      <c r="AE2" s="889"/>
      <c r="AF2" s="889"/>
      <c r="AG2" s="889"/>
      <c r="AH2" s="889"/>
      <c r="AI2" s="889"/>
      <c r="AJ2" s="889"/>
      <c r="AK2" s="889"/>
      <c r="AL2" s="889"/>
      <c r="AM2" s="889"/>
      <c r="AN2" s="889"/>
      <c r="AO2" s="889"/>
      <c r="AP2" s="889"/>
      <c r="AQ2" s="889"/>
      <c r="AR2" s="889"/>
      <c r="AS2" s="889"/>
      <c r="AT2" s="889"/>
      <c r="AU2" s="889"/>
      <c r="AV2" s="889"/>
      <c r="AW2" s="889"/>
      <c r="AX2" s="889"/>
      <c r="AY2" s="889"/>
      <c r="AZ2" s="890" t="str">
        <f>'Samenvattende telresultaten 1'!T53</f>
        <v>van 08h00 tot 09h00</v>
      </c>
      <c r="BA2" s="890"/>
      <c r="BB2" s="890"/>
      <c r="BC2" s="891"/>
    </row>
    <row r="3" spans="2:56" ht="22.5" x14ac:dyDescent="0.45">
      <c r="B3" s="831" t="s">
        <v>0</v>
      </c>
      <c r="C3" s="832"/>
      <c r="D3" s="833"/>
      <c r="E3" s="834" t="str">
        <f>'Licht vervoer'!$E$3</f>
        <v>-</v>
      </c>
      <c r="F3" s="834"/>
      <c r="G3" s="834"/>
      <c r="H3" s="834"/>
      <c r="I3" s="894"/>
      <c r="J3" s="296" t="s">
        <v>5</v>
      </c>
      <c r="K3" s="296"/>
      <c r="L3" s="296"/>
      <c r="M3" s="296"/>
      <c r="N3" s="296"/>
      <c r="O3" s="837" t="str">
        <f>'Licht vervoer'!J3</f>
        <v>N26 / E314 Zuid</v>
      </c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884" t="s">
        <v>13</v>
      </c>
      <c r="AR3" s="885"/>
      <c r="AS3" s="885"/>
      <c r="AT3" s="885"/>
      <c r="AU3" s="885"/>
      <c r="AV3" s="885"/>
      <c r="AW3" s="885"/>
      <c r="AX3" s="385"/>
      <c r="AY3" s="886">
        <f>'Licht vervoer'!P3</f>
        <v>43207</v>
      </c>
      <c r="AZ3" s="886"/>
      <c r="BA3" s="886"/>
      <c r="BB3" s="886"/>
      <c r="BC3" s="887"/>
    </row>
    <row r="4" spans="2:56" ht="22.5" x14ac:dyDescent="0.45">
      <c r="B4" s="808" t="s">
        <v>1</v>
      </c>
      <c r="C4" s="809"/>
      <c r="D4" s="810"/>
      <c r="E4" s="811" t="str">
        <f>'Licht vervoer'!$E$4</f>
        <v>-</v>
      </c>
      <c r="F4" s="811"/>
      <c r="G4" s="811"/>
      <c r="H4" s="811"/>
      <c r="I4" s="895"/>
      <c r="J4" s="298"/>
      <c r="K4" s="298"/>
      <c r="L4" s="298"/>
      <c r="M4" s="298"/>
      <c r="N4" s="298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0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90" t="s">
        <v>22</v>
      </c>
      <c r="AR4" s="391"/>
      <c r="AS4" s="391"/>
      <c r="AT4" s="391"/>
      <c r="AU4" s="391"/>
      <c r="AV4" s="391"/>
      <c r="AW4" s="391"/>
      <c r="AX4" s="391"/>
      <c r="AY4" s="892" t="str">
        <f>'Licht vervoer'!P4</f>
        <v>-</v>
      </c>
      <c r="AZ4" s="892"/>
      <c r="BA4" s="892"/>
      <c r="BB4" s="892"/>
      <c r="BC4" s="893"/>
      <c r="BD4" s="473" t="b">
        <v>1</v>
      </c>
    </row>
    <row r="5" spans="2:56" ht="22.5" x14ac:dyDescent="0.45">
      <c r="B5" s="808" t="s">
        <v>6</v>
      </c>
      <c r="C5" s="809"/>
      <c r="D5" s="810"/>
      <c r="E5" s="811" t="str">
        <f>'Licht vervoer'!$E$5</f>
        <v>Limburg</v>
      </c>
      <c r="F5" s="811"/>
      <c r="G5" s="811"/>
      <c r="H5" s="811"/>
      <c r="I5" s="895"/>
      <c r="J5" s="296" t="s">
        <v>7</v>
      </c>
      <c r="K5" s="296"/>
      <c r="L5" s="296"/>
      <c r="M5" s="296"/>
      <c r="N5" s="296"/>
      <c r="O5" s="811" t="str">
        <f>'Licht vervoer'!J5</f>
        <v>Afrit E314 Zuid (West)</v>
      </c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95"/>
      <c r="AE5" s="611"/>
      <c r="AF5" s="902" t="s">
        <v>73</v>
      </c>
      <c r="AG5" s="903"/>
      <c r="AH5" s="903"/>
      <c r="AI5" s="903"/>
      <c r="AJ5" s="903"/>
      <c r="AK5" s="903"/>
      <c r="AL5" s="903"/>
      <c r="AM5" s="903"/>
      <c r="AN5" s="903"/>
      <c r="AO5" s="903"/>
      <c r="AP5" s="904"/>
      <c r="AQ5" s="392" t="s">
        <v>57</v>
      </c>
      <c r="AR5" s="393"/>
      <c r="AS5" s="393"/>
      <c r="AT5" s="393"/>
      <c r="AU5" s="393"/>
      <c r="AV5" s="393"/>
      <c r="AW5" s="393"/>
      <c r="AX5" s="393"/>
      <c r="AY5" s="892" t="str">
        <f>'Licht vervoer'!P5</f>
        <v>Dufec</v>
      </c>
      <c r="AZ5" s="892"/>
      <c r="BA5" s="892"/>
      <c r="BB5" s="892"/>
      <c r="BC5" s="893"/>
      <c r="BD5" s="473" t="b">
        <v>1</v>
      </c>
    </row>
    <row r="6" spans="2:56" ht="22.5" x14ac:dyDescent="0.45">
      <c r="B6" s="808" t="s">
        <v>3</v>
      </c>
      <c r="C6" s="809"/>
      <c r="D6" s="810"/>
      <c r="E6" s="811" t="str">
        <f>'Licht vervoer'!$E$6</f>
        <v>Leuven</v>
      </c>
      <c r="F6" s="811"/>
      <c r="G6" s="811"/>
      <c r="H6" s="811"/>
      <c r="I6" s="895"/>
      <c r="J6" s="296" t="s">
        <v>8</v>
      </c>
      <c r="K6" s="296"/>
      <c r="L6" s="296"/>
      <c r="M6" s="296"/>
      <c r="N6" s="296"/>
      <c r="O6" s="811" t="str">
        <f>'Licht vervoer'!J6</f>
        <v>N26 komende van N26a</v>
      </c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95"/>
      <c r="AE6" s="611"/>
      <c r="AF6" s="902" t="s">
        <v>74</v>
      </c>
      <c r="AG6" s="902"/>
      <c r="AH6" s="902"/>
      <c r="AI6" s="902"/>
      <c r="AJ6" s="902"/>
      <c r="AK6" s="902"/>
      <c r="AL6" s="902"/>
      <c r="AM6" s="902"/>
      <c r="AN6" s="902"/>
      <c r="AO6" s="902"/>
      <c r="AP6" s="905"/>
      <c r="AQ6" s="900" t="s">
        <v>56</v>
      </c>
      <c r="AR6" s="901"/>
      <c r="AS6" s="901"/>
      <c r="AT6" s="901"/>
      <c r="AU6" s="901"/>
      <c r="AV6" s="901"/>
      <c r="AW6" s="901"/>
      <c r="AX6" s="393"/>
      <c r="AY6" s="892" t="str">
        <f>'Licht vervoer'!P6</f>
        <v>Half bewolkt, geen neerslag</v>
      </c>
      <c r="AZ6" s="892"/>
      <c r="BA6" s="892"/>
      <c r="BB6" s="892"/>
      <c r="BC6" s="893"/>
      <c r="BD6" s="473" t="b">
        <v>1</v>
      </c>
    </row>
    <row r="7" spans="2:56" ht="22.5" x14ac:dyDescent="0.45">
      <c r="B7" s="808" t="s">
        <v>4</v>
      </c>
      <c r="C7" s="809"/>
      <c r="D7" s="829"/>
      <c r="E7" s="830" t="str">
        <f>'Licht vervoer'!$E$7</f>
        <v>Leuven</v>
      </c>
      <c r="F7" s="830"/>
      <c r="G7" s="830"/>
      <c r="H7" s="830"/>
      <c r="I7" s="896"/>
      <c r="J7" s="301" t="s">
        <v>9</v>
      </c>
      <c r="K7" s="301"/>
      <c r="L7" s="301"/>
      <c r="M7" s="301"/>
      <c r="N7" s="301"/>
      <c r="O7" s="811" t="str">
        <f>'Licht vervoer'!J7</f>
        <v>Toerit E314 Zuid (Oost)</v>
      </c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95"/>
      <c r="AE7" s="612"/>
      <c r="AF7" s="915" t="s">
        <v>75</v>
      </c>
      <c r="AG7" s="915"/>
      <c r="AH7" s="915"/>
      <c r="AI7" s="915"/>
      <c r="AJ7" s="915"/>
      <c r="AK7" s="915"/>
      <c r="AL7" s="915"/>
      <c r="AM7" s="915"/>
      <c r="AN7" s="915"/>
      <c r="AO7" s="915"/>
      <c r="AP7" s="905"/>
      <c r="AQ7" s="900" t="s">
        <v>12</v>
      </c>
      <c r="AR7" s="901"/>
      <c r="AS7" s="901"/>
      <c r="AT7" s="901"/>
      <c r="AU7" s="901"/>
      <c r="AV7" s="901"/>
      <c r="AW7" s="901"/>
      <c r="AX7" s="393"/>
      <c r="AY7" s="819" t="str">
        <f>'Licht vervoer'!P7</f>
        <v>Op het kruispunt zijn ook wachtrijmetingen uitgevoerd.</v>
      </c>
      <c r="AZ7" s="819"/>
      <c r="BA7" s="819"/>
      <c r="BB7" s="819"/>
      <c r="BC7" s="906"/>
      <c r="BD7" s="473"/>
    </row>
    <row r="8" spans="2:56" ht="23.25" thickBot="1" x14ac:dyDescent="0.5">
      <c r="B8" s="303"/>
      <c r="C8" s="304"/>
      <c r="D8" s="304"/>
      <c r="E8" s="897"/>
      <c r="F8" s="897"/>
      <c r="G8" s="897"/>
      <c r="H8" s="897"/>
      <c r="I8" s="898"/>
      <c r="J8" s="305" t="s">
        <v>10</v>
      </c>
      <c r="K8" s="305"/>
      <c r="L8" s="305"/>
      <c r="M8" s="305"/>
      <c r="N8" s="305"/>
      <c r="O8" s="824" t="str">
        <f>'Licht vervoer'!J8</f>
        <v>N26 komende van E314 Noord</v>
      </c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99"/>
      <c r="AE8" s="613"/>
      <c r="AF8" s="913" t="s">
        <v>76</v>
      </c>
      <c r="AG8" s="913"/>
      <c r="AH8" s="913"/>
      <c r="AI8" s="913"/>
      <c r="AJ8" s="913"/>
      <c r="AK8" s="913"/>
      <c r="AL8" s="913"/>
      <c r="AM8" s="913"/>
      <c r="AN8" s="913"/>
      <c r="AO8" s="913"/>
      <c r="AP8" s="914"/>
      <c r="AQ8" s="394"/>
      <c r="AR8" s="395"/>
      <c r="AS8" s="395"/>
      <c r="AT8" s="395"/>
      <c r="AU8" s="395"/>
      <c r="AV8" s="395"/>
      <c r="AW8" s="395"/>
      <c r="AX8" s="395"/>
      <c r="AY8" s="907"/>
      <c r="AZ8" s="907"/>
      <c r="BA8" s="907"/>
      <c r="BB8" s="907"/>
      <c r="BC8" s="908"/>
      <c r="BD8" s="473" t="b">
        <v>1</v>
      </c>
    </row>
    <row r="9" spans="2:56" ht="12.75" customHeight="1" x14ac:dyDescent="0.2">
      <c r="Q9" s="916" t="str">
        <f>'Licht vervoer'!J8</f>
        <v>N26 komende van E314 Noord</v>
      </c>
      <c r="R9" s="916"/>
      <c r="S9" s="916"/>
      <c r="T9" s="916"/>
      <c r="U9" s="916"/>
      <c r="V9" s="916"/>
      <c r="W9" s="916"/>
      <c r="X9" s="916"/>
      <c r="Y9" s="916"/>
      <c r="Z9" s="916"/>
      <c r="AA9" s="916"/>
      <c r="AB9" s="916"/>
      <c r="AC9" s="916"/>
      <c r="AD9" s="916"/>
      <c r="AE9" s="916"/>
      <c r="AF9" s="916"/>
      <c r="AG9" s="916"/>
      <c r="AH9" s="916"/>
      <c r="AI9" s="916"/>
      <c r="AJ9" s="916"/>
      <c r="AK9" s="916"/>
      <c r="AL9" s="916"/>
      <c r="AM9" s="916"/>
      <c r="AN9" s="916"/>
      <c r="AO9" s="916"/>
      <c r="AP9" s="916"/>
      <c r="AQ9" s="916"/>
    </row>
    <row r="10" spans="2:56" ht="12.75" customHeight="1" x14ac:dyDescent="0.2">
      <c r="Q10" s="917"/>
      <c r="R10" s="917"/>
      <c r="S10" s="917"/>
      <c r="T10" s="917"/>
      <c r="U10" s="917"/>
      <c r="V10" s="917"/>
      <c r="W10" s="917"/>
      <c r="X10" s="917"/>
      <c r="Y10" s="917"/>
      <c r="Z10" s="917"/>
      <c r="AA10" s="917"/>
      <c r="AB10" s="917"/>
      <c r="AC10" s="917"/>
      <c r="AD10" s="917"/>
      <c r="AE10" s="917"/>
      <c r="AF10" s="917"/>
      <c r="AG10" s="917"/>
      <c r="AH10" s="917"/>
      <c r="AI10" s="917"/>
      <c r="AJ10" s="917"/>
      <c r="AK10" s="917"/>
      <c r="AL10" s="917"/>
      <c r="AM10" s="917"/>
      <c r="AN10" s="917"/>
      <c r="AO10" s="917"/>
      <c r="AP10" s="917"/>
      <c r="AQ10" s="917"/>
    </row>
    <row r="11" spans="2:56" ht="12.75" customHeight="1" x14ac:dyDescent="0.45"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</row>
    <row r="12" spans="2:56" ht="18" x14ac:dyDescent="0.2">
      <c r="B12" s="79"/>
      <c r="C12" s="79"/>
      <c r="D12" s="80"/>
      <c r="E12" s="80"/>
      <c r="F12" s="80"/>
    </row>
    <row r="13" spans="2:56" ht="18" x14ac:dyDescent="0.2">
      <c r="B13" s="79"/>
      <c r="C13" s="79"/>
      <c r="D13" s="80"/>
      <c r="E13" s="80"/>
      <c r="F13" s="80"/>
      <c r="L13" s="69"/>
      <c r="AD13" s="70"/>
      <c r="AU13" s="69"/>
    </row>
    <row r="14" spans="2:56" ht="12.75" customHeight="1" x14ac:dyDescent="0.2">
      <c r="L14" s="69"/>
      <c r="Q14" s="912">
        <f>N18+S18+Y18</f>
        <v>1390</v>
      </c>
      <c r="R14" s="912"/>
      <c r="S14" s="912"/>
      <c r="T14" s="912"/>
      <c r="U14" s="912"/>
      <c r="V14" s="912"/>
      <c r="W14" s="912"/>
      <c r="X14" s="912"/>
      <c r="Y14" s="912"/>
      <c r="AD14" s="70"/>
      <c r="AH14" s="843">
        <f>H40+AK58+AZ28</f>
        <v>1206</v>
      </c>
      <c r="AI14" s="843"/>
      <c r="AJ14" s="843"/>
      <c r="AK14" s="843"/>
      <c r="AL14" s="843"/>
      <c r="AM14" s="843"/>
      <c r="AN14" s="843"/>
      <c r="AO14" s="843"/>
      <c r="AP14" s="843"/>
      <c r="AQ14" s="843"/>
      <c r="AU14" s="69"/>
    </row>
    <row r="15" spans="2:56" ht="12.75" customHeight="1" x14ac:dyDescent="0.2">
      <c r="L15" s="69"/>
      <c r="Q15" s="912"/>
      <c r="R15" s="912"/>
      <c r="S15" s="912"/>
      <c r="T15" s="912"/>
      <c r="U15" s="912"/>
      <c r="V15" s="912"/>
      <c r="W15" s="912"/>
      <c r="X15" s="912"/>
      <c r="Y15" s="912"/>
      <c r="AD15" s="70"/>
      <c r="AH15" s="843"/>
      <c r="AI15" s="843"/>
      <c r="AJ15" s="843"/>
      <c r="AK15" s="843"/>
      <c r="AL15" s="843"/>
      <c r="AM15" s="843"/>
      <c r="AN15" s="843"/>
      <c r="AO15" s="843"/>
      <c r="AP15" s="843"/>
      <c r="AQ15" s="843"/>
      <c r="AU15" s="69"/>
    </row>
    <row r="16" spans="2:56" ht="18" customHeight="1" x14ac:dyDescent="0.35">
      <c r="B16" s="80"/>
      <c r="C16" s="79"/>
      <c r="E16" s="365"/>
      <c r="F16" s="365"/>
      <c r="G16" s="68"/>
      <c r="H16" s="349" t="s">
        <v>28</v>
      </c>
      <c r="I16" s="68"/>
      <c r="J16" s="5"/>
      <c r="K16" s="5"/>
      <c r="L16" s="69"/>
      <c r="M16" s="5"/>
      <c r="N16" s="5"/>
      <c r="O16" s="5"/>
      <c r="P16" s="5"/>
      <c r="Q16" s="912"/>
      <c r="R16" s="912"/>
      <c r="S16" s="912"/>
      <c r="T16" s="912"/>
      <c r="U16" s="912"/>
      <c r="V16" s="912"/>
      <c r="W16" s="912"/>
      <c r="X16" s="912"/>
      <c r="Y16" s="912"/>
      <c r="Z16" s="5"/>
      <c r="AA16" s="5"/>
      <c r="AB16" s="5"/>
      <c r="AC16" s="5"/>
      <c r="AD16" s="70"/>
      <c r="AE16" s="5"/>
      <c r="AF16" s="5"/>
      <c r="AG16" s="5"/>
      <c r="AH16" s="843"/>
      <c r="AI16" s="843"/>
      <c r="AJ16" s="843"/>
      <c r="AK16" s="843"/>
      <c r="AL16" s="843"/>
      <c r="AM16" s="843"/>
      <c r="AN16" s="843"/>
      <c r="AO16" s="843"/>
      <c r="AP16" s="843"/>
      <c r="AQ16" s="843"/>
      <c r="AR16" s="5"/>
      <c r="AS16" s="5"/>
      <c r="AT16" s="5"/>
      <c r="AU16" s="5"/>
      <c r="AV16" s="71"/>
      <c r="AW16" s="5"/>
      <c r="AX16" s="5"/>
      <c r="AY16" s="5"/>
      <c r="AZ16" s="5"/>
    </row>
    <row r="17" spans="2:55" ht="12.75" customHeight="1" x14ac:dyDescent="0.2">
      <c r="G17" s="360"/>
      <c r="H17" s="362"/>
      <c r="I17" s="362"/>
      <c r="J17" s="5"/>
      <c r="K17" s="5"/>
      <c r="L17" s="69"/>
      <c r="M17" s="419"/>
      <c r="N17" s="467"/>
      <c r="O17" s="467"/>
      <c r="P17" s="467"/>
      <c r="Q17" s="467"/>
      <c r="R17" s="354"/>
      <c r="S17" s="468"/>
      <c r="T17" s="468"/>
      <c r="U17" s="468"/>
      <c r="V17" s="468"/>
      <c r="W17" s="468"/>
      <c r="X17" s="354"/>
      <c r="Y17" s="469"/>
      <c r="Z17" s="469"/>
      <c r="AA17" s="469"/>
      <c r="AB17" s="469"/>
      <c r="AC17" s="354"/>
      <c r="AD17" s="359"/>
      <c r="AE17" s="844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78"/>
      <c r="AW17" s="353"/>
      <c r="AX17" s="353"/>
      <c r="AY17" s="5"/>
      <c r="AZ17" s="367"/>
      <c r="BA17" s="360"/>
    </row>
    <row r="18" spans="2:55" ht="20.25" customHeight="1" x14ac:dyDescent="0.2">
      <c r="G18" s="361"/>
      <c r="H18" s="363"/>
      <c r="I18" s="363"/>
      <c r="J18" s="5"/>
      <c r="K18" s="5"/>
      <c r="L18" s="69"/>
      <c r="M18" s="419"/>
      <c r="N18" s="918">
        <f>'Samenvattende telresultaten 1'!AO37</f>
        <v>0</v>
      </c>
      <c r="O18" s="918"/>
      <c r="P18" s="918"/>
      <c r="Q18" s="918"/>
      <c r="R18" s="354"/>
      <c r="S18" s="911">
        <f>'Samenvattende telresultaten 1'!AN37</f>
        <v>1220</v>
      </c>
      <c r="T18" s="911"/>
      <c r="U18" s="911"/>
      <c r="V18" s="911"/>
      <c r="W18" s="911"/>
      <c r="X18" s="354"/>
      <c r="Y18" s="910">
        <f>'Samenvattende telresultaten 1'!AM37</f>
        <v>170</v>
      </c>
      <c r="Z18" s="910"/>
      <c r="AA18" s="910"/>
      <c r="AB18" s="910"/>
      <c r="AC18" s="354"/>
      <c r="AD18" s="359"/>
      <c r="AE18" s="844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78"/>
      <c r="AW18" s="353"/>
      <c r="AX18" s="353"/>
      <c r="AY18" s="5"/>
      <c r="AZ18" s="367"/>
      <c r="BA18" s="361"/>
    </row>
    <row r="19" spans="2:55" ht="12.75" customHeight="1" x14ac:dyDescent="0.2">
      <c r="B19" s="82"/>
      <c r="C19" s="81"/>
      <c r="D19" s="349"/>
      <c r="E19" s="82"/>
      <c r="F19" s="82"/>
      <c r="J19" s="5"/>
      <c r="K19" s="5"/>
      <c r="L19" s="69"/>
      <c r="M19" s="5"/>
      <c r="N19" s="918"/>
      <c r="O19" s="918"/>
      <c r="P19" s="918"/>
      <c r="Q19" s="918"/>
      <c r="R19" s="5"/>
      <c r="S19" s="911"/>
      <c r="T19" s="911"/>
      <c r="U19" s="911"/>
      <c r="V19" s="911"/>
      <c r="W19" s="911"/>
      <c r="X19" s="5"/>
      <c r="Y19" s="910"/>
      <c r="Z19" s="910"/>
      <c r="AA19" s="910"/>
      <c r="AB19" s="910"/>
      <c r="AC19" s="5"/>
      <c r="AD19" s="141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5"/>
      <c r="AV19" s="71"/>
      <c r="AW19" s="5"/>
      <c r="AX19" s="5"/>
      <c r="AY19" s="5"/>
      <c r="AZ19" s="5"/>
    </row>
    <row r="20" spans="2:55" ht="12.75" customHeight="1" x14ac:dyDescent="0.45">
      <c r="G20" s="426" t="s">
        <v>58</v>
      </c>
      <c r="H20" s="364"/>
      <c r="I20" s="349" t="s">
        <v>59</v>
      </c>
      <c r="J20" s="5"/>
      <c r="K20" s="5"/>
      <c r="L20" s="69"/>
      <c r="M20" s="5"/>
      <c r="N20" s="845">
        <v>8</v>
      </c>
      <c r="O20" s="845"/>
      <c r="P20" s="845"/>
      <c r="Q20" s="352"/>
      <c r="R20" s="352"/>
      <c r="S20" s="470"/>
      <c r="T20" s="876" t="s">
        <v>71</v>
      </c>
      <c r="U20" s="876"/>
      <c r="V20" s="876"/>
      <c r="W20" s="470"/>
      <c r="X20" s="352"/>
      <c r="Y20" s="852">
        <v>9</v>
      </c>
      <c r="Z20" s="852"/>
      <c r="AA20" s="852"/>
      <c r="AB20" s="852"/>
      <c r="AC20" s="352"/>
      <c r="AD20" s="141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5"/>
      <c r="AV20" s="71"/>
      <c r="AW20" s="5"/>
      <c r="AX20" s="5"/>
      <c r="AY20" s="5"/>
      <c r="AZ20" s="368"/>
      <c r="BA20" s="360"/>
    </row>
    <row r="21" spans="2:55" ht="19.5" customHeight="1" x14ac:dyDescent="0.45">
      <c r="B21" s="80"/>
      <c r="C21" s="79"/>
      <c r="E21" s="365"/>
      <c r="F21" s="365"/>
      <c r="G21" s="360"/>
      <c r="H21" s="364"/>
      <c r="I21" s="364"/>
      <c r="J21" s="5"/>
      <c r="K21" s="5"/>
      <c r="L21" s="69"/>
      <c r="M21" s="5"/>
      <c r="N21" s="845"/>
      <c r="O21" s="845"/>
      <c r="P21" s="845"/>
      <c r="Q21" s="352"/>
      <c r="R21" s="352"/>
      <c r="S21" s="470"/>
      <c r="T21" s="876"/>
      <c r="U21" s="876"/>
      <c r="V21" s="876"/>
      <c r="W21" s="470"/>
      <c r="X21" s="352"/>
      <c r="Y21" s="852"/>
      <c r="Z21" s="852"/>
      <c r="AA21" s="852"/>
      <c r="AB21" s="852"/>
      <c r="AC21" s="352"/>
      <c r="AD21" s="76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5"/>
      <c r="AV21" s="71"/>
      <c r="AW21" s="5"/>
      <c r="AX21" s="5"/>
      <c r="AY21" s="5"/>
      <c r="AZ21" s="368"/>
      <c r="BA21" s="361"/>
    </row>
    <row r="22" spans="2:55" ht="6.95" customHeight="1" x14ac:dyDescent="0.2">
      <c r="B22" s="80"/>
      <c r="C22" s="79"/>
      <c r="E22" s="365"/>
      <c r="F22" s="365"/>
      <c r="G22" s="360"/>
      <c r="H22" s="364"/>
      <c r="I22" s="364"/>
      <c r="J22" s="5"/>
      <c r="K22" s="5"/>
      <c r="L22" s="69"/>
      <c r="M22" s="369"/>
      <c r="N22" s="5"/>
      <c r="O22" s="384"/>
      <c r="P22" s="352"/>
      <c r="Q22" s="384"/>
      <c r="R22" s="352"/>
      <c r="S22" s="384"/>
      <c r="T22" s="352"/>
      <c r="U22" s="384"/>
      <c r="V22" s="352"/>
      <c r="W22" s="384"/>
      <c r="X22" s="352"/>
      <c r="Y22" s="384"/>
      <c r="Z22" s="352"/>
      <c r="AA22" s="384"/>
      <c r="AB22" s="352"/>
      <c r="AC22" s="384"/>
      <c r="AD22" s="76"/>
      <c r="AE22" s="383"/>
      <c r="AF22" s="77"/>
      <c r="AG22" s="383"/>
      <c r="AH22" s="77"/>
      <c r="AI22" s="383"/>
      <c r="AJ22" s="77"/>
      <c r="AK22" s="383"/>
      <c r="AL22" s="77"/>
      <c r="AM22" s="383"/>
      <c r="AN22" s="77"/>
      <c r="AO22" s="383"/>
      <c r="AP22" s="77"/>
      <c r="AQ22" s="383"/>
      <c r="AR22" s="387"/>
      <c r="AS22" s="383"/>
      <c r="AT22" s="77"/>
      <c r="AU22" s="369"/>
      <c r="AV22" s="400"/>
      <c r="AW22" s="5"/>
      <c r="AX22" s="5"/>
      <c r="AY22" s="5"/>
      <c r="AZ22" s="368"/>
      <c r="BA22" s="361"/>
    </row>
    <row r="23" spans="2:55" ht="13.5" customHeight="1" x14ac:dyDescent="0.2">
      <c r="C23" s="79"/>
      <c r="G23" s="366"/>
      <c r="H23" s="366"/>
      <c r="I23" s="366"/>
      <c r="J23" s="5"/>
      <c r="K23" s="5"/>
      <c r="L23" s="69"/>
      <c r="M23" s="369"/>
      <c r="N23" s="5"/>
      <c r="O23" s="369"/>
      <c r="P23" s="5"/>
      <c r="Q23" s="369"/>
      <c r="R23" s="5"/>
      <c r="S23" s="369"/>
      <c r="T23" s="5"/>
      <c r="U23" s="369"/>
      <c r="V23" s="5"/>
      <c r="W23" s="369"/>
      <c r="X23" s="5"/>
      <c r="Y23" s="369"/>
      <c r="Z23" s="5"/>
      <c r="AA23" s="369"/>
      <c r="AB23" s="5"/>
      <c r="AC23" s="369"/>
      <c r="AD23" s="70"/>
      <c r="AE23" s="369"/>
      <c r="AF23" s="5"/>
      <c r="AG23" s="369"/>
      <c r="AH23" s="5"/>
      <c r="AI23" s="369"/>
      <c r="AJ23" s="5"/>
      <c r="AK23" s="369"/>
      <c r="AL23" s="5"/>
      <c r="AM23" s="369"/>
      <c r="AN23" s="5"/>
      <c r="AO23" s="369"/>
      <c r="AP23" s="5"/>
      <c r="AQ23" s="369"/>
      <c r="AR23" s="379"/>
      <c r="AS23" s="369"/>
      <c r="AT23" s="5"/>
      <c r="AU23" s="369"/>
      <c r="AV23" s="400"/>
      <c r="AW23" s="5"/>
      <c r="AX23" s="5"/>
      <c r="AY23" s="5"/>
      <c r="AZ23" s="5"/>
    </row>
    <row r="24" spans="2:55" ht="13.5" customHeight="1" x14ac:dyDescent="0.2">
      <c r="E24" s="135"/>
      <c r="F24" s="135"/>
      <c r="G24" s="135"/>
      <c r="H24" s="349" t="s">
        <v>29</v>
      </c>
      <c r="I24" s="132"/>
      <c r="J24" s="132"/>
      <c r="K24" s="132"/>
      <c r="L24" s="139"/>
      <c r="M24" s="386"/>
      <c r="N24" s="132"/>
      <c r="O24" s="369"/>
      <c r="P24" s="5"/>
      <c r="Q24" s="369"/>
      <c r="R24" s="5"/>
      <c r="S24" s="369"/>
      <c r="T24" s="5"/>
      <c r="U24" s="369"/>
      <c r="V24" s="5"/>
      <c r="W24" s="369"/>
      <c r="X24" s="5"/>
      <c r="Y24" s="369"/>
      <c r="Z24" s="5"/>
      <c r="AA24" s="369"/>
      <c r="AB24" s="5"/>
      <c r="AC24" s="369"/>
      <c r="AD24" s="70"/>
      <c r="AE24" s="369"/>
      <c r="AF24" s="5"/>
      <c r="AG24" s="369"/>
      <c r="AH24" s="5"/>
      <c r="AI24" s="369"/>
      <c r="AJ24" s="5"/>
      <c r="AK24" s="369"/>
      <c r="AL24" s="5"/>
      <c r="AM24" s="369"/>
      <c r="AN24" s="5"/>
      <c r="AO24" s="369"/>
      <c r="AP24" s="5"/>
      <c r="AQ24" s="369"/>
      <c r="AR24" s="379"/>
      <c r="AS24" s="369"/>
      <c r="AT24" s="5"/>
      <c r="AU24" s="369"/>
      <c r="AV24" s="400"/>
      <c r="AW24" s="5"/>
      <c r="AX24" s="5"/>
      <c r="AY24" s="5"/>
      <c r="AZ24" s="135"/>
      <c r="BA24" s="909"/>
      <c r="BB24" s="909"/>
    </row>
    <row r="25" spans="2:55" ht="20.25" customHeight="1" thickBot="1" x14ac:dyDescent="0.5">
      <c r="B25" s="5"/>
      <c r="C25" s="5"/>
      <c r="D25" s="5"/>
      <c r="E25" s="5"/>
      <c r="F25" s="5"/>
      <c r="G25" s="5"/>
      <c r="H25" s="5"/>
      <c r="I25" s="5"/>
      <c r="J25" s="5"/>
      <c r="K25" s="5"/>
      <c r="L25" s="69"/>
      <c r="M25" s="369"/>
      <c r="N25" s="5"/>
      <c r="O25" s="369"/>
      <c r="P25" s="5"/>
      <c r="Q25" s="369"/>
      <c r="R25" s="5"/>
      <c r="S25" s="369"/>
      <c r="T25" s="5"/>
      <c r="U25" s="853" t="s">
        <v>61</v>
      </c>
      <c r="V25" s="853"/>
      <c r="W25" s="853"/>
      <c r="X25" s="853"/>
      <c r="Y25" s="853"/>
      <c r="Z25" s="853"/>
      <c r="AA25" s="853"/>
      <c r="AB25" s="853"/>
      <c r="AC25" s="854"/>
      <c r="AD25" s="848">
        <f>'Samenvattende telresultaten 1'!AW37</f>
        <v>0</v>
      </c>
      <c r="AE25" s="849"/>
      <c r="AF25" s="849"/>
      <c r="AG25" s="849"/>
      <c r="AH25" s="5"/>
      <c r="AI25" s="369"/>
      <c r="AJ25" s="5"/>
      <c r="AK25" s="369"/>
      <c r="AL25" s="5"/>
      <c r="AM25" s="369"/>
      <c r="AN25" s="5"/>
      <c r="AO25" s="369"/>
      <c r="AP25" s="5"/>
      <c r="AQ25" s="369"/>
      <c r="AR25" s="379"/>
      <c r="AS25" s="369"/>
      <c r="AT25" s="5"/>
      <c r="AU25" s="369"/>
      <c r="AV25" s="400"/>
      <c r="AW25" s="5"/>
      <c r="AX25" s="5"/>
      <c r="AY25" s="5"/>
      <c r="AZ25" s="5"/>
      <c r="BA25" s="5"/>
      <c r="BB25" s="5"/>
      <c r="BC25" s="5"/>
    </row>
    <row r="26" spans="2:55" ht="32.1" customHeight="1" thickBot="1" x14ac:dyDescent="0.25">
      <c r="E26" s="72"/>
      <c r="F26" s="72"/>
      <c r="G26" s="396"/>
      <c r="H26" s="396"/>
      <c r="I26" s="397"/>
      <c r="J26" s="72"/>
      <c r="K26" s="72"/>
      <c r="L26" s="73"/>
      <c r="M26" s="437"/>
      <c r="N26" s="428"/>
      <c r="O26" s="428"/>
      <c r="P26" s="429"/>
      <c r="Q26" s="429"/>
      <c r="R26" s="429"/>
      <c r="S26" s="429"/>
      <c r="T26" s="429"/>
      <c r="U26" s="846" t="s">
        <v>60</v>
      </c>
      <c r="V26" s="846"/>
      <c r="W26" s="846"/>
      <c r="X26" s="846"/>
      <c r="Y26" s="846"/>
      <c r="Z26" s="846"/>
      <c r="AA26" s="846"/>
      <c r="AB26" s="846"/>
      <c r="AC26" s="847"/>
      <c r="AD26" s="850">
        <f>'Samenvattende telresultaten 1'!AR37</f>
        <v>0</v>
      </c>
      <c r="AE26" s="851"/>
      <c r="AF26" s="851"/>
      <c r="AG26" s="851"/>
      <c r="AH26" s="438"/>
      <c r="AI26" s="438"/>
      <c r="AJ26" s="438"/>
      <c r="AK26" s="438"/>
      <c r="AL26" s="428"/>
      <c r="AM26" s="428"/>
      <c r="AN26" s="428"/>
      <c r="AO26" s="428"/>
      <c r="AP26" s="428"/>
      <c r="AQ26" s="428"/>
      <c r="AR26" s="428"/>
      <c r="AS26" s="428"/>
      <c r="AT26" s="428"/>
      <c r="AU26" s="439"/>
      <c r="AV26" s="74"/>
      <c r="AW26" s="72"/>
      <c r="AX26" s="72"/>
      <c r="AY26" s="72"/>
      <c r="AZ26" s="72"/>
      <c r="BA26" s="72"/>
      <c r="BB26" s="72"/>
      <c r="BC26" s="5"/>
    </row>
    <row r="27" spans="2:55" ht="13.5" customHeight="1" thickTop="1" x14ac:dyDescent="0.2">
      <c r="E27" s="5"/>
      <c r="F27" s="5"/>
      <c r="G27" s="360"/>
      <c r="H27" s="360"/>
      <c r="I27" s="12"/>
      <c r="J27" s="369"/>
      <c r="K27" s="369"/>
      <c r="L27" s="4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V27" s="440"/>
      <c r="AW27" s="369"/>
      <c r="AX27" s="369"/>
      <c r="AY27" s="5"/>
      <c r="AZ27" s="126"/>
      <c r="BA27" s="5"/>
      <c r="BB27" s="5"/>
      <c r="BC27" s="5"/>
    </row>
    <row r="28" spans="2:55" ht="13.5" customHeight="1" x14ac:dyDescent="0.2">
      <c r="E28" s="5"/>
      <c r="F28" s="5"/>
      <c r="G28" s="360"/>
      <c r="H28" s="360"/>
      <c r="I28" s="12"/>
      <c r="J28" s="5"/>
      <c r="K28" s="5"/>
      <c r="L28" s="43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0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V28" s="441"/>
      <c r="AW28" s="5"/>
      <c r="AX28" s="5"/>
      <c r="AY28" s="845" t="s">
        <v>70</v>
      </c>
      <c r="AZ28" s="920">
        <f>'Samenvattende telresultaten 1'!AL37</f>
        <v>0</v>
      </c>
      <c r="BA28" s="5"/>
      <c r="BB28" s="5"/>
      <c r="BC28" s="5"/>
    </row>
    <row r="29" spans="2:55" ht="12.75" customHeight="1" x14ac:dyDescent="0.2">
      <c r="E29" s="5"/>
      <c r="F29" s="5"/>
      <c r="G29" s="410"/>
      <c r="H29" s="360"/>
      <c r="I29" s="12"/>
      <c r="J29" s="369"/>
      <c r="K29" s="369"/>
      <c r="L29" s="433"/>
      <c r="M29" s="37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V29" s="441"/>
      <c r="AW29" s="370"/>
      <c r="AX29" s="370"/>
      <c r="AY29" s="845"/>
      <c r="AZ29" s="920"/>
      <c r="BA29" s="130"/>
      <c r="BB29" s="5"/>
      <c r="BC29" s="5"/>
    </row>
    <row r="30" spans="2:55" ht="12.75" customHeight="1" x14ac:dyDescent="0.2">
      <c r="E30" s="5"/>
      <c r="F30" s="5"/>
      <c r="G30" s="410"/>
      <c r="H30" s="5"/>
      <c r="I30" s="12"/>
      <c r="J30" s="5"/>
      <c r="K30" s="5"/>
      <c r="L30" s="433"/>
      <c r="M30" s="37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0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V30" s="441"/>
      <c r="AY30" s="845"/>
      <c r="AZ30" s="920"/>
      <c r="BA30" s="130"/>
      <c r="BB30" s="5"/>
      <c r="BC30" s="5"/>
    </row>
    <row r="31" spans="2:55" ht="12.75" customHeight="1" x14ac:dyDescent="0.2">
      <c r="E31" s="925">
        <f>AE58+AZ31+N18</f>
        <v>0</v>
      </c>
      <c r="F31" s="925"/>
      <c r="G31" s="925"/>
      <c r="H31" s="5"/>
      <c r="I31" s="5"/>
      <c r="J31" s="369"/>
      <c r="K31" s="369"/>
      <c r="L31" s="434"/>
      <c r="M31" s="379"/>
      <c r="N31" s="5"/>
      <c r="O31" s="5"/>
      <c r="P31" s="5"/>
      <c r="Q31" s="5"/>
      <c r="R31" s="5"/>
      <c r="S31" s="5"/>
      <c r="T31" s="5"/>
      <c r="U31" s="5"/>
      <c r="V31" s="5"/>
      <c r="W31" s="5"/>
      <c r="X31" s="420"/>
      <c r="Y31" s="420"/>
      <c r="Z31" s="420"/>
      <c r="AA31" s="420"/>
      <c r="AB31" s="420"/>
      <c r="AC31" s="421"/>
      <c r="AD31" s="420"/>
      <c r="AE31" s="420"/>
      <c r="AF31" s="420"/>
      <c r="AG31" s="420"/>
      <c r="AH31" s="420"/>
      <c r="AI31" s="4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V31" s="442"/>
      <c r="AW31" s="370"/>
      <c r="AX31" s="370"/>
      <c r="AY31" s="876" t="s">
        <v>69</v>
      </c>
      <c r="AZ31" s="878">
        <f>'Samenvattende telresultaten 1'!AK37</f>
        <v>0</v>
      </c>
      <c r="BA31" s="877">
        <f>AZ35+AZ31+AZ28</f>
        <v>0</v>
      </c>
      <c r="BB31" s="877"/>
      <c r="BC31" s="5"/>
    </row>
    <row r="32" spans="2:55" ht="12.75" customHeight="1" thickBot="1" x14ac:dyDescent="0.25">
      <c r="E32" s="925"/>
      <c r="F32" s="925"/>
      <c r="G32" s="925"/>
      <c r="H32" s="358"/>
      <c r="I32" s="358"/>
      <c r="L32" s="435"/>
      <c r="M32" s="10"/>
      <c r="X32" s="420"/>
      <c r="Y32" s="420"/>
      <c r="Z32" s="420"/>
      <c r="AA32" s="420"/>
      <c r="AB32" s="420"/>
      <c r="AC32" s="421"/>
      <c r="AD32" s="420"/>
      <c r="AE32" s="420"/>
      <c r="AF32" s="420"/>
      <c r="AG32" s="420"/>
      <c r="AH32" s="420"/>
      <c r="AI32" s="42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V32" s="442"/>
      <c r="AY32" s="876"/>
      <c r="AZ32" s="878"/>
      <c r="BA32" s="877"/>
      <c r="BB32" s="877"/>
      <c r="BC32" s="129"/>
    </row>
    <row r="33" spans="1:57" ht="12.75" customHeight="1" thickTop="1" x14ac:dyDescent="0.2">
      <c r="E33" s="925"/>
      <c r="F33" s="925"/>
      <c r="G33" s="925"/>
      <c r="H33" s="358"/>
      <c r="I33" s="358"/>
      <c r="J33" s="370"/>
      <c r="K33" s="370"/>
      <c r="L33" s="435"/>
      <c r="M33" s="10"/>
      <c r="W33" s="865">
        <f>E42+AI61+BA31+Q14</f>
        <v>3475</v>
      </c>
      <c r="X33" s="866"/>
      <c r="Y33" s="866"/>
      <c r="Z33" s="866"/>
      <c r="AA33" s="866"/>
      <c r="AB33" s="866"/>
      <c r="AC33" s="866"/>
      <c r="AD33" s="866"/>
      <c r="AE33" s="866"/>
      <c r="AF33" s="866"/>
      <c r="AG33" s="866"/>
      <c r="AH33" s="866"/>
      <c r="AI33" s="866"/>
      <c r="AJ33" s="867"/>
      <c r="AK33" s="5"/>
      <c r="AL33" s="5"/>
      <c r="AM33" s="5"/>
      <c r="AN33" s="5"/>
      <c r="AO33" s="5"/>
      <c r="AP33" s="5"/>
      <c r="AQ33" s="5"/>
      <c r="AR33" s="5"/>
      <c r="AS33" s="5"/>
      <c r="AT33" s="5"/>
      <c r="AV33" s="442"/>
      <c r="AW33" s="451">
        <f>'Samenvattende telresultaten 1'!AV37</f>
        <v>4</v>
      </c>
      <c r="AX33" s="370"/>
      <c r="AY33" s="876"/>
      <c r="AZ33" s="878"/>
      <c r="BA33" s="877"/>
      <c r="BB33" s="877"/>
      <c r="BC33" s="129"/>
    </row>
    <row r="34" spans="1:57" ht="13.5" customHeight="1" x14ac:dyDescent="0.2">
      <c r="F34" s="358"/>
      <c r="G34" s="358"/>
      <c r="H34" s="358"/>
      <c r="I34" s="358"/>
      <c r="K34" s="879">
        <f>'Samenvattende telresultaten 1'!AT37</f>
        <v>7</v>
      </c>
      <c r="L34" s="874">
        <f>'Samenvattende telresultaten 1'!AS37</f>
        <v>291</v>
      </c>
      <c r="M34" s="10"/>
      <c r="W34" s="868"/>
      <c r="X34" s="869"/>
      <c r="Y34" s="869"/>
      <c r="Z34" s="869"/>
      <c r="AA34" s="869"/>
      <c r="AB34" s="869"/>
      <c r="AC34" s="869"/>
      <c r="AD34" s="869"/>
      <c r="AE34" s="869"/>
      <c r="AF34" s="869"/>
      <c r="AG34" s="869"/>
      <c r="AH34" s="869"/>
      <c r="AI34" s="869"/>
      <c r="AJ34" s="870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V34" s="874">
        <f>'Samenvattende telresultaten 1'!AQ37</f>
        <v>35</v>
      </c>
      <c r="AW34" s="862">
        <f>'Samenvattende telresultaten 1'!AV37</f>
        <v>4</v>
      </c>
      <c r="AY34" s="923" t="s">
        <v>68</v>
      </c>
      <c r="AZ34" s="398"/>
    </row>
    <row r="35" spans="1:57" ht="13.5" customHeight="1" x14ac:dyDescent="0.2">
      <c r="H35" s="373"/>
      <c r="I35" s="355"/>
      <c r="J35" s="370"/>
      <c r="K35" s="879"/>
      <c r="L35" s="874"/>
      <c r="M35" s="10"/>
      <c r="W35" s="868"/>
      <c r="X35" s="869"/>
      <c r="Y35" s="869"/>
      <c r="Z35" s="869"/>
      <c r="AA35" s="869"/>
      <c r="AB35" s="869"/>
      <c r="AC35" s="869"/>
      <c r="AD35" s="869"/>
      <c r="AE35" s="869"/>
      <c r="AF35" s="869"/>
      <c r="AG35" s="869"/>
      <c r="AH35" s="869"/>
      <c r="AI35" s="869"/>
      <c r="AJ35" s="870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V35" s="874"/>
      <c r="AW35" s="862"/>
      <c r="AX35" s="370"/>
      <c r="AY35" s="923"/>
      <c r="AZ35" s="864">
        <f>'Samenvattende telresultaten 1'!AJ37</f>
        <v>0</v>
      </c>
      <c r="BA35" s="128"/>
    </row>
    <row r="36" spans="1:57" ht="12.75" customHeight="1" x14ac:dyDescent="0.2">
      <c r="H36" s="454"/>
      <c r="I36" s="355"/>
      <c r="J36" s="355"/>
      <c r="K36" s="879"/>
      <c r="L36" s="874"/>
      <c r="M36" s="388"/>
      <c r="W36" s="868"/>
      <c r="X36" s="869"/>
      <c r="Y36" s="869"/>
      <c r="Z36" s="869"/>
      <c r="AA36" s="869"/>
      <c r="AB36" s="869"/>
      <c r="AC36" s="869"/>
      <c r="AD36" s="869"/>
      <c r="AE36" s="869"/>
      <c r="AF36" s="869"/>
      <c r="AG36" s="869"/>
      <c r="AH36" s="869"/>
      <c r="AI36" s="869"/>
      <c r="AJ36" s="870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V36" s="874"/>
      <c r="AW36" s="862"/>
      <c r="AY36" s="923"/>
      <c r="AZ36" s="864"/>
      <c r="BA36" s="128"/>
    </row>
    <row r="37" spans="1:57" ht="12.75" customHeight="1" thickBot="1" x14ac:dyDescent="0.25">
      <c r="A37" s="842" t="str">
        <f>'Licht vervoer'!J5</f>
        <v>Afrit E314 Zuid (West)</v>
      </c>
      <c r="B37" s="842"/>
      <c r="D37" s="5"/>
      <c r="E37" s="75"/>
      <c r="F37" s="75"/>
      <c r="G37" s="75"/>
      <c r="H37" s="75"/>
      <c r="I37" s="75"/>
      <c r="J37" s="377"/>
      <c r="K37" s="880"/>
      <c r="L37" s="875"/>
      <c r="M37" s="389"/>
      <c r="N37" s="75"/>
      <c r="O37" s="75"/>
      <c r="P37" s="75"/>
      <c r="Q37" s="75"/>
      <c r="R37" s="75"/>
      <c r="S37" s="75"/>
      <c r="T37" s="75"/>
      <c r="U37" s="75"/>
      <c r="V37" s="75"/>
      <c r="W37" s="868"/>
      <c r="X37" s="869"/>
      <c r="Y37" s="869"/>
      <c r="Z37" s="869"/>
      <c r="AA37" s="869"/>
      <c r="AB37" s="869"/>
      <c r="AC37" s="869"/>
      <c r="AD37" s="869"/>
      <c r="AE37" s="869"/>
      <c r="AF37" s="869"/>
      <c r="AG37" s="869"/>
      <c r="AH37" s="869"/>
      <c r="AI37" s="869"/>
      <c r="AJ37" s="870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75"/>
      <c r="AV37" s="875"/>
      <c r="AW37" s="863"/>
      <c r="AX37" s="371"/>
      <c r="AY37" s="75"/>
      <c r="AZ37" s="75"/>
      <c r="BA37" s="75"/>
      <c r="BB37" s="75"/>
      <c r="BC37" s="5"/>
      <c r="BE37" s="855" t="str">
        <f>'Licht vervoer'!J7</f>
        <v>Toerit E314 Zuid (Oost)</v>
      </c>
    </row>
    <row r="38" spans="1:57" ht="13.5" customHeight="1" x14ac:dyDescent="0.2">
      <c r="A38" s="842"/>
      <c r="B38" s="842"/>
      <c r="D38" s="5"/>
      <c r="J38" s="417"/>
      <c r="K38" s="856" t="s">
        <v>61</v>
      </c>
      <c r="L38" s="858" t="s">
        <v>60</v>
      </c>
      <c r="M38" s="375"/>
      <c r="W38" s="868"/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70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V38" s="858" t="s">
        <v>60</v>
      </c>
      <c r="AW38" s="860" t="s">
        <v>61</v>
      </c>
      <c r="BE38" s="855"/>
    </row>
    <row r="39" spans="1:57" ht="12.75" customHeight="1" x14ac:dyDescent="0.2">
      <c r="H39" s="469"/>
      <c r="I39" s="930" t="s">
        <v>62</v>
      </c>
      <c r="J39" s="376"/>
      <c r="K39" s="857"/>
      <c r="L39" s="859"/>
      <c r="M39" s="375"/>
      <c r="W39" s="868"/>
      <c r="X39" s="869"/>
      <c r="Y39" s="869"/>
      <c r="Z39" s="869"/>
      <c r="AA39" s="869"/>
      <c r="AB39" s="869"/>
      <c r="AC39" s="869"/>
      <c r="AD39" s="869"/>
      <c r="AE39" s="869"/>
      <c r="AF39" s="869"/>
      <c r="AG39" s="869"/>
      <c r="AH39" s="869"/>
      <c r="AI39" s="869"/>
      <c r="AJ39" s="870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V39" s="859"/>
      <c r="AW39" s="861"/>
      <c r="AX39" s="370"/>
    </row>
    <row r="40" spans="1:57" ht="12.75" customHeight="1" x14ac:dyDescent="0.2">
      <c r="H40" s="910">
        <f>'Samenvattende telresultaten 1'!AD37</f>
        <v>304</v>
      </c>
      <c r="I40" s="930"/>
      <c r="J40" s="12"/>
      <c r="K40" s="857"/>
      <c r="L40" s="859"/>
      <c r="M40" s="10"/>
      <c r="W40" s="868"/>
      <c r="X40" s="869"/>
      <c r="Y40" s="869"/>
      <c r="Z40" s="869"/>
      <c r="AA40" s="869"/>
      <c r="AB40" s="869"/>
      <c r="AC40" s="869"/>
      <c r="AD40" s="869"/>
      <c r="AE40" s="869"/>
      <c r="AF40" s="869"/>
      <c r="AG40" s="869"/>
      <c r="AH40" s="869"/>
      <c r="AI40" s="869"/>
      <c r="AJ40" s="870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V40" s="859"/>
      <c r="AW40" s="861"/>
    </row>
    <row r="41" spans="1:57" ht="12.75" customHeight="1" x14ac:dyDescent="0.2">
      <c r="H41" s="910"/>
      <c r="I41" s="930"/>
      <c r="J41" s="376"/>
      <c r="K41" s="857"/>
      <c r="L41" s="859"/>
      <c r="M41" s="10"/>
      <c r="W41" s="868"/>
      <c r="X41" s="869"/>
      <c r="Y41" s="869"/>
      <c r="Z41" s="869"/>
      <c r="AA41" s="869"/>
      <c r="AB41" s="869"/>
      <c r="AC41" s="869"/>
      <c r="AD41" s="869"/>
      <c r="AE41" s="869"/>
      <c r="AF41" s="869"/>
      <c r="AG41" s="869"/>
      <c r="AH41" s="869"/>
      <c r="AI41" s="869"/>
      <c r="AJ41" s="870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V41" s="859"/>
      <c r="AW41" s="861"/>
      <c r="AX41" s="370"/>
    </row>
    <row r="42" spans="1:57" ht="13.5" customHeight="1" thickBot="1" x14ac:dyDescent="0.25">
      <c r="D42" s="125"/>
      <c r="E42" s="912">
        <f>H40+H43+H46</f>
        <v>783</v>
      </c>
      <c r="F42" s="912"/>
      <c r="G42" s="912"/>
      <c r="H42" s="468"/>
      <c r="I42" s="931" t="s">
        <v>65</v>
      </c>
      <c r="J42" s="12"/>
      <c r="K42" s="857"/>
      <c r="L42" s="859"/>
      <c r="M42" s="10"/>
      <c r="W42" s="871"/>
      <c r="X42" s="872"/>
      <c r="Y42" s="872"/>
      <c r="Z42" s="872"/>
      <c r="AA42" s="872"/>
      <c r="AB42" s="872"/>
      <c r="AC42" s="872"/>
      <c r="AD42" s="872"/>
      <c r="AE42" s="872"/>
      <c r="AF42" s="872"/>
      <c r="AG42" s="872"/>
      <c r="AH42" s="872"/>
      <c r="AI42" s="872"/>
      <c r="AJ42" s="873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859"/>
      <c r="AW42" s="861"/>
      <c r="BA42" s="843">
        <f>H43+AQ58+Y18</f>
        <v>571</v>
      </c>
      <c r="BB42" s="843"/>
    </row>
    <row r="43" spans="1:57" ht="13.5" customHeight="1" thickTop="1" x14ac:dyDescent="0.2">
      <c r="D43" s="125"/>
      <c r="E43" s="912"/>
      <c r="F43" s="912"/>
      <c r="G43" s="912"/>
      <c r="H43" s="911">
        <f>'Samenvattende telresultaten 1'!AE37</f>
        <v>1</v>
      </c>
      <c r="I43" s="931"/>
      <c r="J43" s="376"/>
      <c r="K43" s="857"/>
      <c r="L43" s="859"/>
      <c r="M43" s="10"/>
      <c r="X43" s="420"/>
      <c r="Y43" s="420"/>
      <c r="Z43" s="420"/>
      <c r="AA43" s="420"/>
      <c r="AB43" s="420"/>
      <c r="AC43" s="421"/>
      <c r="AD43" s="420"/>
      <c r="AE43" s="420"/>
      <c r="AF43" s="420"/>
      <c r="AG43" s="420"/>
      <c r="AH43" s="420"/>
      <c r="AI43" s="420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V43" s="859"/>
      <c r="AW43" s="861"/>
      <c r="AX43" s="370"/>
      <c r="AZ43" s="143"/>
      <c r="BA43" s="843"/>
      <c r="BB43" s="843"/>
    </row>
    <row r="44" spans="1:57" ht="12.75" customHeight="1" x14ac:dyDescent="0.2">
      <c r="E44" s="912"/>
      <c r="F44" s="912"/>
      <c r="G44" s="912"/>
      <c r="H44" s="911"/>
      <c r="I44" s="931"/>
      <c r="J44" s="12"/>
      <c r="K44" s="857"/>
      <c r="L44" s="859"/>
      <c r="M44" s="10"/>
      <c r="X44" s="420"/>
      <c r="Y44" s="420"/>
      <c r="Z44" s="420"/>
      <c r="AA44" s="420"/>
      <c r="AB44" s="420"/>
      <c r="AC44" s="421"/>
      <c r="AD44" s="420"/>
      <c r="AE44" s="420"/>
      <c r="AF44" s="420"/>
      <c r="AG44" s="420"/>
      <c r="AH44" s="420"/>
      <c r="AI44" s="420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859"/>
      <c r="AW44" s="861"/>
      <c r="AZ44" s="143"/>
      <c r="BA44" s="843"/>
      <c r="BB44" s="843"/>
    </row>
    <row r="45" spans="1:57" ht="12.75" customHeight="1" x14ac:dyDescent="0.2">
      <c r="E45" s="912"/>
      <c r="F45" s="912"/>
      <c r="G45" s="912"/>
      <c r="H45" s="467"/>
      <c r="I45" s="932" t="s">
        <v>64</v>
      </c>
      <c r="J45" s="376"/>
      <c r="K45" s="857"/>
      <c r="L45" s="859"/>
      <c r="M45" s="10"/>
      <c r="AD45" s="70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V45" s="859"/>
      <c r="AW45" s="861"/>
      <c r="AX45" s="370"/>
      <c r="BA45" s="843"/>
      <c r="BB45" s="843"/>
    </row>
    <row r="46" spans="1:57" ht="12.75" customHeight="1" x14ac:dyDescent="0.2">
      <c r="H46" s="920">
        <f>'Samenvattende telresultaten 1'!AF37</f>
        <v>478</v>
      </c>
      <c r="I46" s="932"/>
      <c r="K46" s="857"/>
      <c r="L46" s="859"/>
      <c r="M46" s="10"/>
      <c r="AD46" s="7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V46" s="859"/>
      <c r="AW46" s="861"/>
    </row>
    <row r="47" spans="1:57" ht="12.75" customHeight="1" x14ac:dyDescent="0.2">
      <c r="H47" s="920"/>
      <c r="I47" s="932"/>
      <c r="J47" s="370"/>
      <c r="K47" s="857"/>
      <c r="L47" s="859"/>
      <c r="M47" s="10"/>
      <c r="AD47" s="70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V47" s="859"/>
      <c r="AW47" s="861"/>
      <c r="AX47" s="370"/>
    </row>
    <row r="48" spans="1:57" ht="12.75" customHeight="1" x14ac:dyDescent="0.2">
      <c r="H48" s="352"/>
      <c r="I48" s="352"/>
      <c r="L48" s="433"/>
      <c r="M48" s="10"/>
      <c r="AD48" s="70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V48" s="441"/>
    </row>
    <row r="49" spans="2:56" ht="12.75" customHeight="1" thickBot="1" x14ac:dyDescent="0.25">
      <c r="B49" s="5"/>
      <c r="C49" s="5"/>
      <c r="D49" s="5"/>
      <c r="E49" s="72"/>
      <c r="F49" s="72"/>
      <c r="G49" s="72"/>
      <c r="H49" s="72"/>
      <c r="I49" s="72"/>
      <c r="J49" s="372"/>
      <c r="K49" s="431"/>
      <c r="L49" s="436"/>
      <c r="M49" s="37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70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443"/>
      <c r="AW49" s="372"/>
      <c r="AX49" s="372"/>
      <c r="AY49" s="72"/>
      <c r="AZ49" s="72"/>
      <c r="BA49" s="72"/>
      <c r="BB49" s="72"/>
      <c r="BC49" s="5"/>
      <c r="BD49" s="5"/>
    </row>
    <row r="50" spans="2:56" ht="32.1" customHeight="1" thickTop="1" thickBot="1" x14ac:dyDescent="0.25">
      <c r="B50" s="5"/>
      <c r="C50" s="5"/>
      <c r="D50" s="5"/>
      <c r="E50" s="5"/>
      <c r="F50" s="5"/>
      <c r="G50" s="5"/>
      <c r="H50" s="5"/>
      <c r="I50" s="5"/>
      <c r="J50" s="404"/>
      <c r="K50" s="379"/>
      <c r="L50" s="423"/>
      <c r="M50" s="427"/>
      <c r="N50" s="428"/>
      <c r="O50" s="428"/>
      <c r="P50" s="429"/>
      <c r="Q50" s="429"/>
      <c r="R50" s="429"/>
      <c r="S50" s="429"/>
      <c r="T50" s="429"/>
      <c r="U50" s="846" t="s">
        <v>60</v>
      </c>
      <c r="V50" s="846"/>
      <c r="W50" s="846"/>
      <c r="X50" s="846"/>
      <c r="Y50" s="846"/>
      <c r="Z50" s="846"/>
      <c r="AA50" s="846"/>
      <c r="AB50" s="846"/>
      <c r="AC50" s="847"/>
      <c r="AD50" s="850">
        <f>'Samenvattende telresultaten 1'!AP37</f>
        <v>0</v>
      </c>
      <c r="AE50" s="851"/>
      <c r="AF50" s="851"/>
      <c r="AG50" s="851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30"/>
      <c r="AV50" s="422"/>
      <c r="AW50" s="404"/>
      <c r="AX50" s="404"/>
      <c r="AY50" s="126"/>
      <c r="AZ50" s="126"/>
      <c r="BA50" s="126"/>
      <c r="BB50" s="126"/>
      <c r="BC50" s="5"/>
      <c r="BD50" s="5"/>
    </row>
    <row r="51" spans="2:56" ht="20.25" customHeight="1" x14ac:dyDescent="0.45">
      <c r="B51" s="5"/>
      <c r="C51" s="5"/>
      <c r="D51" s="5"/>
      <c r="J51" s="5"/>
      <c r="K51" s="5"/>
      <c r="L51" s="424"/>
      <c r="M51" s="369"/>
      <c r="N51" s="382"/>
      <c r="O51" s="369"/>
      <c r="P51" s="375"/>
      <c r="Q51" s="380"/>
      <c r="R51" s="379"/>
      <c r="S51" s="380"/>
      <c r="T51" s="379"/>
      <c r="U51" s="934" t="s">
        <v>61</v>
      </c>
      <c r="V51" s="934"/>
      <c r="W51" s="934"/>
      <c r="X51" s="934"/>
      <c r="Y51" s="934"/>
      <c r="Z51" s="934"/>
      <c r="AA51" s="934"/>
      <c r="AB51" s="934"/>
      <c r="AC51" s="935"/>
      <c r="AD51" s="936">
        <f>'Samenvattende telresultaten 1'!AU37</f>
        <v>0</v>
      </c>
      <c r="AE51" s="937"/>
      <c r="AF51" s="937"/>
      <c r="AG51" s="937"/>
      <c r="AH51" s="5"/>
      <c r="AI51" s="369"/>
      <c r="AJ51" s="5"/>
      <c r="AK51" s="369"/>
      <c r="AL51" s="5"/>
      <c r="AM51" s="369"/>
      <c r="AN51" s="5"/>
      <c r="AO51" s="369"/>
      <c r="AP51" s="5"/>
      <c r="AQ51" s="369"/>
      <c r="AR51" s="379"/>
      <c r="AS51" s="369"/>
      <c r="AT51" s="5"/>
      <c r="AU51" s="370"/>
      <c r="AV51" s="405"/>
      <c r="AW51" s="5"/>
      <c r="AX51" s="5"/>
      <c r="AY51" s="5"/>
      <c r="AZ51" s="5"/>
      <c r="BC51" s="5"/>
    </row>
    <row r="52" spans="2:56" ht="13.5" customHeight="1" x14ac:dyDescent="0.4">
      <c r="B52" s="5"/>
      <c r="C52" s="5"/>
      <c r="D52" s="5"/>
      <c r="J52" s="5"/>
      <c r="K52" s="5"/>
      <c r="L52" s="424"/>
      <c r="M52" s="369"/>
      <c r="N52" s="382"/>
      <c r="O52" s="411"/>
      <c r="P52" s="412"/>
      <c r="Q52" s="413"/>
      <c r="R52" s="414"/>
      <c r="S52" s="413"/>
      <c r="T52" s="414"/>
      <c r="U52" s="369"/>
      <c r="V52" s="379"/>
      <c r="W52" s="369"/>
      <c r="X52" s="379"/>
      <c r="Y52" s="369"/>
      <c r="Z52" s="379"/>
      <c r="AA52" s="369"/>
      <c r="AB52" s="382"/>
      <c r="AC52" s="369"/>
      <c r="AD52" s="70"/>
      <c r="AE52" s="369"/>
      <c r="AF52" s="5"/>
      <c r="AG52" s="380"/>
      <c r="AH52" s="5"/>
      <c r="AI52" s="369"/>
      <c r="AJ52" s="5"/>
      <c r="AK52" s="369"/>
      <c r="AL52" s="5"/>
      <c r="AM52" s="369"/>
      <c r="AN52" s="5"/>
      <c r="AO52" s="369"/>
      <c r="AP52" s="5"/>
      <c r="AQ52" s="369"/>
      <c r="AR52" s="379"/>
      <c r="AS52" s="369"/>
      <c r="AT52" s="5"/>
      <c r="AU52" s="370"/>
      <c r="AV52" s="405"/>
      <c r="AW52" s="5"/>
      <c r="AX52" s="5"/>
      <c r="AY52" s="5"/>
      <c r="AZ52" s="5"/>
      <c r="BC52" s="5"/>
    </row>
    <row r="53" spans="2:56" ht="13.5" customHeight="1" x14ac:dyDescent="0.2">
      <c r="J53" s="5"/>
      <c r="K53" s="5"/>
      <c r="L53" s="424"/>
      <c r="M53" s="369"/>
      <c r="N53" s="382"/>
      <c r="O53" s="369"/>
      <c r="P53" s="375"/>
      <c r="Q53" s="380"/>
      <c r="R53" s="379"/>
      <c r="S53" s="380"/>
      <c r="T53" s="379"/>
      <c r="U53" s="369"/>
      <c r="V53" s="379"/>
      <c r="W53" s="369"/>
      <c r="X53" s="379"/>
      <c r="Y53" s="369"/>
      <c r="Z53" s="379"/>
      <c r="AA53" s="369"/>
      <c r="AB53" s="382"/>
      <c r="AC53" s="369"/>
      <c r="AD53" s="70"/>
      <c r="AE53" s="369"/>
      <c r="AF53" s="5"/>
      <c r="AG53" s="380"/>
      <c r="AH53" s="5"/>
      <c r="AI53" s="369"/>
      <c r="AJ53" s="5"/>
      <c r="AK53" s="369"/>
      <c r="AL53" s="5"/>
      <c r="AM53" s="369"/>
      <c r="AN53" s="5"/>
      <c r="AO53" s="369"/>
      <c r="AP53" s="5"/>
      <c r="AQ53" s="369"/>
      <c r="AR53" s="379"/>
      <c r="AS53" s="369"/>
      <c r="AT53" s="5"/>
      <c r="AU53" s="370"/>
      <c r="AV53" s="405"/>
      <c r="AW53" s="5"/>
      <c r="AX53" s="5"/>
      <c r="AY53" s="5"/>
      <c r="AZ53" s="5"/>
    </row>
    <row r="54" spans="2:56" ht="6.95" customHeight="1" x14ac:dyDescent="0.2">
      <c r="G54" s="360"/>
      <c r="H54" s="362"/>
      <c r="I54" s="362"/>
      <c r="J54" s="5"/>
      <c r="K54" s="5"/>
      <c r="L54" s="424"/>
      <c r="M54" s="369"/>
      <c r="N54" s="379"/>
      <c r="O54" s="369"/>
      <c r="P54" s="375"/>
      <c r="Q54" s="380"/>
      <c r="R54" s="379"/>
      <c r="S54" s="380"/>
      <c r="T54" s="379"/>
      <c r="U54" s="369"/>
      <c r="V54" s="379"/>
      <c r="W54" s="369"/>
      <c r="X54" s="379"/>
      <c r="Y54" s="369"/>
      <c r="Z54" s="379"/>
      <c r="AA54" s="369"/>
      <c r="AB54" s="382"/>
      <c r="AC54" s="369"/>
      <c r="AD54" s="70"/>
      <c r="AE54" s="369"/>
      <c r="AF54" s="5"/>
      <c r="AG54" s="380"/>
      <c r="AH54" s="5"/>
      <c r="AI54" s="369"/>
      <c r="AJ54" s="5"/>
      <c r="AK54" s="369"/>
      <c r="AL54" s="5"/>
      <c r="AM54" s="369"/>
      <c r="AN54" s="5"/>
      <c r="AO54" s="369"/>
      <c r="AP54" s="5"/>
      <c r="AQ54" s="369"/>
      <c r="AR54" s="379"/>
      <c r="AS54" s="369"/>
      <c r="AT54" s="5"/>
      <c r="AU54" s="370"/>
      <c r="AV54" s="405"/>
      <c r="AW54" s="5"/>
      <c r="AX54" s="5"/>
      <c r="AY54" s="5"/>
      <c r="AZ54" s="367"/>
      <c r="BA54" s="360"/>
    </row>
    <row r="55" spans="2:56" ht="7.5" customHeight="1" x14ac:dyDescent="0.2">
      <c r="G55" s="360"/>
      <c r="H55" s="362"/>
      <c r="I55" s="362"/>
      <c r="J55" s="5"/>
      <c r="K55" s="5"/>
      <c r="L55" s="424"/>
      <c r="M55" s="5"/>
      <c r="N55" s="37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V55" s="406"/>
      <c r="AW55" s="5"/>
      <c r="AX55" s="5"/>
      <c r="AY55" s="5"/>
      <c r="AZ55" s="367"/>
      <c r="BA55" s="360"/>
    </row>
    <row r="56" spans="2:56" ht="19.5" customHeight="1" x14ac:dyDescent="0.2">
      <c r="G56" s="361"/>
      <c r="H56" s="363"/>
      <c r="I56" s="363"/>
      <c r="J56" s="5"/>
      <c r="K56" s="5"/>
      <c r="L56" s="42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70"/>
      <c r="AE56" s="852" t="s">
        <v>66</v>
      </c>
      <c r="AF56" s="933"/>
      <c r="AG56" s="933"/>
      <c r="AH56" s="933"/>
      <c r="AI56" s="5"/>
      <c r="AJ56" s="5"/>
      <c r="AK56" s="928" t="s">
        <v>63</v>
      </c>
      <c r="AL56" s="929"/>
      <c r="AM56" s="929"/>
      <c r="AN56" s="929"/>
      <c r="AO56" s="5"/>
      <c r="AP56" s="5"/>
      <c r="AQ56" s="845" t="s">
        <v>67</v>
      </c>
      <c r="AR56" s="924"/>
      <c r="AS56" s="924"/>
      <c r="AT56" s="924"/>
      <c r="AV56" s="406"/>
      <c r="AW56" s="5"/>
      <c r="AX56" s="5"/>
      <c r="AY56" s="5"/>
      <c r="AZ56" s="367"/>
      <c r="BA56" s="361"/>
    </row>
    <row r="57" spans="2:56" ht="12.75" customHeight="1" x14ac:dyDescent="0.2">
      <c r="J57" s="5"/>
      <c r="K57" s="5"/>
      <c r="L57" s="42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15"/>
      <c r="AE57" s="933"/>
      <c r="AF57" s="933"/>
      <c r="AG57" s="933"/>
      <c r="AH57" s="933"/>
      <c r="AI57" s="350"/>
      <c r="AJ57" s="350"/>
      <c r="AK57" s="929"/>
      <c r="AL57" s="929"/>
      <c r="AM57" s="929"/>
      <c r="AN57" s="929"/>
      <c r="AO57" s="350"/>
      <c r="AP57" s="350"/>
      <c r="AQ57" s="924"/>
      <c r="AR57" s="924"/>
      <c r="AS57" s="924"/>
      <c r="AT57" s="924"/>
      <c r="AU57" s="922"/>
      <c r="AV57" s="407"/>
      <c r="AW57" s="352"/>
      <c r="AX57" s="352"/>
      <c r="AY57" s="352"/>
      <c r="AZ57" s="5"/>
    </row>
    <row r="58" spans="2:56" ht="12.75" customHeight="1" x14ac:dyDescent="0.2">
      <c r="G58" s="360"/>
      <c r="H58" s="364"/>
      <c r="I58" s="364"/>
      <c r="J58" s="5"/>
      <c r="K58" s="5"/>
      <c r="L58" s="42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15"/>
      <c r="AE58" s="910">
        <f>'Samenvattende telresultaten 1'!AG37</f>
        <v>0</v>
      </c>
      <c r="AF58" s="910"/>
      <c r="AG58" s="910"/>
      <c r="AH58" s="910"/>
      <c r="AI58" s="350"/>
      <c r="AJ58" s="350"/>
      <c r="AK58" s="911">
        <f>'Samenvattende telresultaten 1'!AH37</f>
        <v>902</v>
      </c>
      <c r="AL58" s="911"/>
      <c r="AM58" s="911"/>
      <c r="AN58" s="911"/>
      <c r="AO58" s="350"/>
      <c r="AP58" s="350"/>
      <c r="AQ58" s="920">
        <f>'Samenvattende telresultaten 1'!AI37</f>
        <v>400</v>
      </c>
      <c r="AR58" s="920"/>
      <c r="AS58" s="920"/>
      <c r="AT58" s="920"/>
      <c r="AU58" s="922"/>
      <c r="AV58" s="407"/>
      <c r="AW58" s="352"/>
      <c r="AX58" s="352"/>
      <c r="AY58" s="352"/>
      <c r="AZ58" s="368"/>
      <c r="BA58" s="360"/>
    </row>
    <row r="59" spans="2:56" ht="18.75" customHeight="1" x14ac:dyDescent="0.2">
      <c r="G59" s="360"/>
      <c r="H59" s="364"/>
      <c r="I59" s="364"/>
      <c r="J59" s="5"/>
      <c r="K59" s="5"/>
      <c r="L59" s="424"/>
      <c r="M59" s="5"/>
      <c r="N59" s="5"/>
      <c r="O59" s="5"/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5"/>
      <c r="AA59" s="5"/>
      <c r="AB59" s="5"/>
      <c r="AC59" s="5"/>
      <c r="AD59" s="70"/>
      <c r="AE59" s="910"/>
      <c r="AF59" s="910"/>
      <c r="AG59" s="910"/>
      <c r="AH59" s="910"/>
      <c r="AI59" s="5"/>
      <c r="AJ59" s="5"/>
      <c r="AK59" s="911"/>
      <c r="AL59" s="911"/>
      <c r="AM59" s="911"/>
      <c r="AN59" s="911"/>
      <c r="AO59" s="5"/>
      <c r="AP59" s="5"/>
      <c r="AQ59" s="920"/>
      <c r="AR59" s="920"/>
      <c r="AS59" s="920"/>
      <c r="AT59" s="920"/>
      <c r="AV59" s="406"/>
      <c r="AW59" s="5"/>
      <c r="AX59" s="5"/>
      <c r="AY59" s="5"/>
      <c r="AZ59" s="368"/>
      <c r="BA59" s="360"/>
    </row>
    <row r="60" spans="2:56" ht="18.75" customHeight="1" x14ac:dyDescent="0.2">
      <c r="G60" s="360"/>
      <c r="H60" s="364"/>
      <c r="I60" s="364"/>
      <c r="J60" s="5"/>
      <c r="K60" s="5"/>
      <c r="L60" s="424"/>
      <c r="M60" s="5"/>
      <c r="N60" s="5"/>
      <c r="O60" s="5"/>
      <c r="P60" s="5"/>
      <c r="Q60" s="5"/>
      <c r="R60" s="12"/>
      <c r="S60" s="12"/>
      <c r="T60" s="12"/>
      <c r="U60" s="12"/>
      <c r="V60" s="12"/>
      <c r="W60" s="12"/>
      <c r="X60" s="12"/>
      <c r="Y60" s="12"/>
      <c r="Z60" s="5"/>
      <c r="AA60" s="5"/>
      <c r="AB60" s="5"/>
      <c r="AC60" s="5"/>
      <c r="AD60" s="70"/>
      <c r="AE60" s="350"/>
      <c r="AF60" s="350"/>
      <c r="AG60" s="350"/>
      <c r="AH60" s="350"/>
      <c r="AI60" s="5"/>
      <c r="AJ60" s="5"/>
      <c r="AK60" s="350"/>
      <c r="AL60" s="350"/>
      <c r="AM60" s="350"/>
      <c r="AN60" s="350"/>
      <c r="AO60" s="5"/>
      <c r="AP60" s="5"/>
      <c r="AQ60" s="350"/>
      <c r="AR60" s="350"/>
      <c r="AS60" s="350"/>
      <c r="AT60" s="350"/>
      <c r="AV60" s="406"/>
      <c r="AW60" s="5"/>
      <c r="AX60" s="5"/>
      <c r="AY60" s="5"/>
      <c r="AZ60" s="368"/>
      <c r="BA60" s="360"/>
    </row>
    <row r="61" spans="2:56" ht="18.75" customHeight="1" x14ac:dyDescent="0.2">
      <c r="G61" s="360"/>
      <c r="H61" s="364"/>
      <c r="I61" s="364"/>
      <c r="J61" s="5"/>
      <c r="K61" s="5"/>
      <c r="L61" s="424"/>
      <c r="M61" s="5"/>
      <c r="N61" s="5"/>
      <c r="O61" s="5"/>
      <c r="P61" s="5"/>
      <c r="Q61" s="5"/>
      <c r="R61" s="926">
        <f>H46+AZ35+S18</f>
        <v>1698</v>
      </c>
      <c r="S61" s="926"/>
      <c r="T61" s="926"/>
      <c r="U61" s="926"/>
      <c r="V61" s="926"/>
      <c r="W61" s="926"/>
      <c r="X61" s="926"/>
      <c r="Y61" s="12"/>
      <c r="Z61" s="5"/>
      <c r="AA61" s="5"/>
      <c r="AB61" s="5"/>
      <c r="AC61" s="5"/>
      <c r="AD61" s="70"/>
      <c r="AE61" s="350"/>
      <c r="AF61" s="350"/>
      <c r="AG61" s="350"/>
      <c r="AH61" s="350"/>
      <c r="AI61" s="921">
        <f>AE58+AK58+AQ58</f>
        <v>1302</v>
      </c>
      <c r="AJ61" s="921"/>
      <c r="AK61" s="921"/>
      <c r="AL61" s="921"/>
      <c r="AM61" s="921"/>
      <c r="AN61" s="921"/>
      <c r="AO61" s="921"/>
      <c r="AP61" s="921"/>
      <c r="AQ61" s="350"/>
      <c r="AR61" s="350"/>
      <c r="AS61" s="350"/>
      <c r="AT61" s="350"/>
      <c r="AV61" s="406"/>
      <c r="AW61" s="5"/>
      <c r="AX61" s="5"/>
      <c r="AY61" s="5"/>
      <c r="AZ61" s="368"/>
      <c r="BA61" s="360"/>
    </row>
    <row r="62" spans="2:56" ht="12.75" customHeight="1" x14ac:dyDescent="0.2">
      <c r="J62" s="5"/>
      <c r="K62" s="5"/>
      <c r="L62" s="424"/>
      <c r="M62" s="5"/>
      <c r="N62" s="5"/>
      <c r="O62" s="5"/>
      <c r="P62" s="5"/>
      <c r="Q62" s="5"/>
      <c r="R62" s="926"/>
      <c r="S62" s="926"/>
      <c r="T62" s="926"/>
      <c r="U62" s="926"/>
      <c r="V62" s="926"/>
      <c r="W62" s="926"/>
      <c r="X62" s="926"/>
      <c r="Y62" s="12"/>
      <c r="Z62" s="5"/>
      <c r="AA62" s="5"/>
      <c r="AB62" s="5"/>
      <c r="AC62" s="5"/>
      <c r="AD62" s="76"/>
      <c r="AE62" s="375"/>
      <c r="AF62" s="375"/>
      <c r="AG62" s="375"/>
      <c r="AH62" s="375"/>
      <c r="AI62" s="921"/>
      <c r="AJ62" s="921"/>
      <c r="AK62" s="921"/>
      <c r="AL62" s="921"/>
      <c r="AM62" s="921"/>
      <c r="AN62" s="921"/>
      <c r="AO62" s="921"/>
      <c r="AP62" s="921"/>
      <c r="AQ62" s="12"/>
      <c r="AR62" s="12"/>
      <c r="AS62" s="12"/>
      <c r="AT62" s="12"/>
      <c r="AU62" s="78"/>
      <c r="AV62" s="408"/>
      <c r="AW62" s="401"/>
      <c r="AX62" s="401"/>
      <c r="AY62" s="77"/>
      <c r="AZ62" s="5"/>
    </row>
    <row r="63" spans="2:56" ht="12.75" customHeight="1" x14ac:dyDescent="0.2">
      <c r="D63" s="919"/>
      <c r="E63" s="919"/>
      <c r="F63" s="131"/>
      <c r="G63" s="135"/>
      <c r="H63" s="132"/>
      <c r="I63" s="132"/>
      <c r="J63" s="132"/>
      <c r="K63" s="132"/>
      <c r="L63" s="425"/>
      <c r="M63" s="132"/>
      <c r="N63" s="132"/>
      <c r="O63" s="5"/>
      <c r="P63" s="5"/>
      <c r="Q63" s="5"/>
      <c r="R63" s="12"/>
      <c r="S63" s="12"/>
      <c r="T63" s="12"/>
      <c r="U63" s="12"/>
      <c r="V63" s="12"/>
      <c r="W63" s="12"/>
      <c r="X63" s="12"/>
      <c r="Y63" s="12"/>
      <c r="Z63" s="5"/>
      <c r="AA63" s="5"/>
      <c r="AB63" s="5"/>
      <c r="AC63" s="5"/>
      <c r="AD63" s="70"/>
      <c r="AE63" s="416"/>
      <c r="AF63" s="351"/>
      <c r="AG63" s="351"/>
      <c r="AH63" s="351"/>
      <c r="AI63" s="351"/>
      <c r="AJ63" s="12"/>
      <c r="AK63" s="12"/>
      <c r="AL63" s="12"/>
      <c r="AM63" s="12"/>
      <c r="AN63" s="12"/>
      <c r="AO63" s="12"/>
      <c r="AP63" s="12"/>
      <c r="AQ63" s="351"/>
      <c r="AR63" s="351"/>
      <c r="AS63" s="351"/>
      <c r="AT63" s="351"/>
      <c r="AU63" s="125"/>
      <c r="AV63" s="409"/>
      <c r="AW63" s="402"/>
      <c r="AX63" s="402"/>
      <c r="AY63" s="5"/>
      <c r="AZ63" s="135"/>
      <c r="BA63" s="909"/>
      <c r="BB63" s="909"/>
    </row>
    <row r="64" spans="2:56" ht="23.25" x14ac:dyDescent="0.2">
      <c r="G64" s="355"/>
      <c r="H64" s="355"/>
      <c r="I64" s="355"/>
      <c r="J64" s="5"/>
      <c r="K64" s="5"/>
      <c r="L64" s="6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70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418"/>
      <c r="AV64" s="403"/>
      <c r="AW64" s="403"/>
      <c r="AX64" s="403"/>
      <c r="AY64" s="5"/>
      <c r="AZ64" s="12"/>
      <c r="BA64" s="12"/>
    </row>
    <row r="66" spans="2:51" ht="14.1" customHeight="1" x14ac:dyDescent="0.2"/>
    <row r="67" spans="2:51" ht="12.75" customHeight="1" x14ac:dyDescent="0.2">
      <c r="Q67" s="927" t="str">
        <f>'Licht vervoer'!J6</f>
        <v>N26 komende van N26a</v>
      </c>
      <c r="R67" s="927"/>
      <c r="S67" s="927"/>
      <c r="T67" s="927"/>
      <c r="U67" s="927"/>
      <c r="V67" s="927"/>
      <c r="W67" s="927"/>
      <c r="X67" s="927"/>
      <c r="Y67" s="927"/>
      <c r="Z67" s="927"/>
      <c r="AA67" s="927"/>
      <c r="AB67" s="927"/>
      <c r="AC67" s="927"/>
      <c r="AD67" s="927"/>
      <c r="AE67" s="927"/>
      <c r="AF67" s="927"/>
      <c r="AG67" s="927"/>
      <c r="AH67" s="927"/>
      <c r="AI67" s="927"/>
      <c r="AJ67" s="927"/>
      <c r="AK67" s="927"/>
      <c r="AL67" s="927"/>
      <c r="AM67" s="927"/>
      <c r="AN67" s="927"/>
      <c r="AO67" s="927"/>
      <c r="AP67" s="927"/>
      <c r="AQ67" s="927"/>
    </row>
    <row r="68" spans="2:51" ht="18" customHeight="1" x14ac:dyDescent="0.35">
      <c r="B68" s="151"/>
      <c r="C68" s="152"/>
      <c r="D68" s="151"/>
      <c r="E68" s="153"/>
      <c r="F68" s="159"/>
      <c r="G68" s="160"/>
      <c r="H68" s="160"/>
      <c r="I68" s="160"/>
      <c r="J68" s="161"/>
      <c r="K68" s="161"/>
      <c r="L68" s="161"/>
      <c r="M68" s="161"/>
      <c r="N68" s="161"/>
      <c r="O68" s="161"/>
      <c r="P68" s="161"/>
      <c r="Q68" s="927"/>
      <c r="R68" s="927"/>
      <c r="S68" s="927"/>
      <c r="T68" s="927"/>
      <c r="U68" s="927"/>
      <c r="V68" s="927"/>
      <c r="W68" s="927"/>
      <c r="X68" s="927"/>
      <c r="Y68" s="927"/>
      <c r="Z68" s="927"/>
      <c r="AA68" s="927"/>
      <c r="AB68" s="927"/>
      <c r="AC68" s="927"/>
      <c r="AD68" s="927"/>
      <c r="AE68" s="927"/>
      <c r="AF68" s="927"/>
      <c r="AG68" s="927"/>
      <c r="AH68" s="927"/>
      <c r="AI68" s="927"/>
      <c r="AJ68" s="927"/>
      <c r="AK68" s="927"/>
      <c r="AL68" s="927"/>
      <c r="AM68" s="927"/>
      <c r="AN68" s="927"/>
      <c r="AO68" s="927"/>
      <c r="AP68" s="927"/>
      <c r="AQ68" s="927"/>
      <c r="AR68" s="161"/>
      <c r="AS68" s="161"/>
      <c r="AT68" s="161"/>
      <c r="AU68" s="161"/>
      <c r="AV68" s="161"/>
      <c r="AW68" s="161"/>
      <c r="AX68" s="161"/>
      <c r="AY68" s="161"/>
    </row>
    <row r="69" spans="2:51" ht="16.5" x14ac:dyDescent="0.35">
      <c r="B69" s="150"/>
      <c r="C69" s="150"/>
      <c r="D69" s="150"/>
      <c r="E69" s="150"/>
      <c r="F69" s="154"/>
      <c r="G69" s="44"/>
      <c r="H69" s="15"/>
      <c r="I69" s="15"/>
      <c r="J69" s="41"/>
      <c r="K69" s="41"/>
      <c r="L69" s="41"/>
      <c r="M69" s="41"/>
      <c r="N69" s="4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44"/>
      <c r="AV69" s="44"/>
      <c r="AW69" s="44"/>
      <c r="AX69" s="44"/>
      <c r="AY69" s="15"/>
    </row>
    <row r="70" spans="2:51" ht="16.5" x14ac:dyDescent="0.35">
      <c r="B70" s="150"/>
      <c r="C70" s="150"/>
      <c r="D70" s="150"/>
      <c r="E70" s="150"/>
      <c r="F70" s="41"/>
      <c r="G70" s="44"/>
      <c r="H70" s="15"/>
      <c r="I70" s="15"/>
      <c r="J70" s="155"/>
      <c r="K70" s="155"/>
      <c r="L70" s="155"/>
      <c r="M70" s="155"/>
      <c r="N70" s="155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44"/>
      <c r="AV70" s="44"/>
      <c r="AW70" s="44"/>
      <c r="AX70" s="44"/>
      <c r="AY70" s="15"/>
    </row>
    <row r="71" spans="2:51" ht="16.5" x14ac:dyDescent="0.35">
      <c r="B71" s="156"/>
      <c r="C71" s="150"/>
      <c r="D71" s="162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</row>
    <row r="72" spans="2:51" ht="16.5" x14ac:dyDescent="0.35">
      <c r="B72" s="156"/>
      <c r="C72" s="150"/>
      <c r="D72" s="162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</row>
    <row r="73" spans="2:51" ht="16.5" x14ac:dyDescent="0.35">
      <c r="B73" s="156"/>
      <c r="C73" s="150"/>
      <c r="D73" s="162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</row>
    <row r="74" spans="2:51" ht="16.5" x14ac:dyDescent="0.35">
      <c r="B74" s="156"/>
      <c r="C74" s="150"/>
      <c r="D74" s="162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</row>
    <row r="75" spans="2:51" ht="16.5" x14ac:dyDescent="0.35">
      <c r="B75" s="156"/>
      <c r="C75" s="150"/>
      <c r="D75" s="162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</row>
    <row r="76" spans="2:51" ht="16.5" x14ac:dyDescent="0.35">
      <c r="B76" s="156"/>
      <c r="C76" s="150"/>
      <c r="D76" s="162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</row>
    <row r="77" spans="2:51" ht="16.5" x14ac:dyDescent="0.35">
      <c r="B77" s="156"/>
      <c r="C77" s="150"/>
      <c r="D77" s="162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</row>
    <row r="78" spans="2:51" ht="16.5" x14ac:dyDescent="0.35">
      <c r="B78" s="156"/>
      <c r="C78" s="150"/>
      <c r="D78" s="162"/>
      <c r="E78" s="157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</row>
  </sheetData>
  <sheetProtection selectLockedCells="1"/>
  <mergeCells count="88">
    <mergeCell ref="R61:X62"/>
    <mergeCell ref="Q67:AQ68"/>
    <mergeCell ref="AK56:AN57"/>
    <mergeCell ref="I39:I41"/>
    <mergeCell ref="I42:I44"/>
    <mergeCell ref="I45:I47"/>
    <mergeCell ref="AD50:AG50"/>
    <mergeCell ref="AE56:AH57"/>
    <mergeCell ref="U51:AC51"/>
    <mergeCell ref="AD51:AG51"/>
    <mergeCell ref="U50:AC50"/>
    <mergeCell ref="D63:E63"/>
    <mergeCell ref="H46:H47"/>
    <mergeCell ref="BA63:BB63"/>
    <mergeCell ref="AE58:AH59"/>
    <mergeCell ref="AY28:AY30"/>
    <mergeCell ref="AZ28:AZ30"/>
    <mergeCell ref="AI61:AP62"/>
    <mergeCell ref="AU57:AU58"/>
    <mergeCell ref="AK58:AN59"/>
    <mergeCell ref="AQ58:AT59"/>
    <mergeCell ref="AY34:AY36"/>
    <mergeCell ref="AQ56:AT57"/>
    <mergeCell ref="H43:H44"/>
    <mergeCell ref="E42:G45"/>
    <mergeCell ref="H40:H41"/>
    <mergeCell ref="E31:G33"/>
    <mergeCell ref="AY7:BC8"/>
    <mergeCell ref="BA24:BB24"/>
    <mergeCell ref="AQ7:AW7"/>
    <mergeCell ref="T20:V21"/>
    <mergeCell ref="Y18:AB19"/>
    <mergeCell ref="S18:W19"/>
    <mergeCell ref="Q14:Y16"/>
    <mergeCell ref="AF8:AP8"/>
    <mergeCell ref="AF7:AP7"/>
    <mergeCell ref="Q9:AQ10"/>
    <mergeCell ref="N18:Q19"/>
    <mergeCell ref="AY5:BC5"/>
    <mergeCell ref="AY6:BC6"/>
    <mergeCell ref="AQ6:AW6"/>
    <mergeCell ref="AF5:AP5"/>
    <mergeCell ref="AF6:AP6"/>
    <mergeCell ref="B5:D5"/>
    <mergeCell ref="B7:D7"/>
    <mergeCell ref="E7:I8"/>
    <mergeCell ref="O7:AD7"/>
    <mergeCell ref="O5:AD5"/>
    <mergeCell ref="O6:AD6"/>
    <mergeCell ref="O8:AD8"/>
    <mergeCell ref="E5:I5"/>
    <mergeCell ref="E6:I6"/>
    <mergeCell ref="B1:BC1"/>
    <mergeCell ref="B3:D3"/>
    <mergeCell ref="B4:D4"/>
    <mergeCell ref="AQ3:AW3"/>
    <mergeCell ref="AY3:BC3"/>
    <mergeCell ref="O3:AD4"/>
    <mergeCell ref="B2:AY2"/>
    <mergeCell ref="AZ2:BC2"/>
    <mergeCell ref="AY4:BC4"/>
    <mergeCell ref="E3:I3"/>
    <mergeCell ref="E4:I4"/>
    <mergeCell ref="BE37:BE38"/>
    <mergeCell ref="K38:K47"/>
    <mergeCell ref="L38:L47"/>
    <mergeCell ref="AV38:AV47"/>
    <mergeCell ref="AW38:AW47"/>
    <mergeCell ref="AW34:AW37"/>
    <mergeCell ref="AZ35:AZ36"/>
    <mergeCell ref="W33:AJ42"/>
    <mergeCell ref="AV34:AV37"/>
    <mergeCell ref="AY31:AY33"/>
    <mergeCell ref="BA31:BB33"/>
    <mergeCell ref="AZ31:AZ33"/>
    <mergeCell ref="BA42:BB45"/>
    <mergeCell ref="K34:K37"/>
    <mergeCell ref="L34:L37"/>
    <mergeCell ref="A37:B38"/>
    <mergeCell ref="B6:D6"/>
    <mergeCell ref="AH14:AQ16"/>
    <mergeCell ref="AE17:AE18"/>
    <mergeCell ref="N20:P21"/>
    <mergeCell ref="U26:AC26"/>
    <mergeCell ref="AD25:AG25"/>
    <mergeCell ref="AD26:AG26"/>
    <mergeCell ref="Y20:AB21"/>
    <mergeCell ref="U25:AC25"/>
  </mergeCells>
  <phoneticPr fontId="2" type="noConversion"/>
  <pageMargins left="0.17" right="0.16" top="0.28999999999999998" bottom="0.17" header="0.5" footer="0.18"/>
  <pageSetup paperSize="9" scale="50" orientation="landscape" r:id="rId1"/>
  <headerFooter alignWithMargins="0">
    <oddFooter>&amp;LKwaliteitssysteem AWV
F-EVT-PP03-11 Geldig vanaf 01-05-2011 Versie 1.0</oddFooter>
  </headerFooter>
  <rowBreaks count="1" manualBreakCount="1">
    <brk id="68" max="56" man="1"/>
  </rowBreaks>
  <colBreaks count="1" manualBreakCount="1">
    <brk id="57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16" r:id="rId4" name="Check Box 28">
              <controlPr locked="0" defaultSize="0" autoFill="0" autoLine="0" autoPict="0">
                <anchor moveWithCells="1">
                  <from>
                    <xdr:col>30</xdr:col>
                    <xdr:colOff>76200</xdr:colOff>
                    <xdr:row>4</xdr:row>
                    <xdr:rowOff>66675</xdr:rowOff>
                  </from>
                  <to>
                    <xdr:col>32</xdr:col>
                    <xdr:colOff>57150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5" name="Check Box 29">
              <controlPr locked="0" defaultSize="0" autoFill="0" autoLine="0" autoPict="0">
                <anchor moveWithCells="1">
                  <from>
                    <xdr:col>30</xdr:col>
                    <xdr:colOff>85725</xdr:colOff>
                    <xdr:row>5</xdr:row>
                    <xdr:rowOff>47625</xdr:rowOff>
                  </from>
                  <to>
                    <xdr:col>32</xdr:col>
                    <xdr:colOff>66675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8" r:id="rId6" name="Check Box 30">
              <controlPr locked="0" defaultSize="0" autoFill="0" autoLine="0" autoPict="0">
                <anchor moveWithCells="1">
                  <from>
                    <xdr:col>30</xdr:col>
                    <xdr:colOff>85725</xdr:colOff>
                    <xdr:row>6</xdr:row>
                    <xdr:rowOff>28575</xdr:rowOff>
                  </from>
                  <to>
                    <xdr:col>32</xdr:col>
                    <xdr:colOff>66675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9" r:id="rId7" name="Check Box 31">
              <controlPr locked="0" defaultSize="0" autoFill="0" autoLine="0" autoPict="0">
                <anchor moveWithCells="1">
                  <from>
                    <xdr:col>30</xdr:col>
                    <xdr:colOff>85725</xdr:colOff>
                    <xdr:row>7</xdr:row>
                    <xdr:rowOff>28575</xdr:rowOff>
                  </from>
                  <to>
                    <xdr:col>32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BE78"/>
  <sheetViews>
    <sheetView zoomScale="70" zoomScaleNormal="70" workbookViewId="0"/>
  </sheetViews>
  <sheetFormatPr defaultRowHeight="12.75" x14ac:dyDescent="0.2"/>
  <cols>
    <col min="1" max="1" width="28" customWidth="1"/>
    <col min="2" max="2" width="6.42578125" customWidth="1"/>
    <col min="3" max="3" width="4.7109375" customWidth="1"/>
    <col min="4" max="4" width="8.7109375" customWidth="1"/>
    <col min="5" max="6" width="3.7109375" customWidth="1"/>
    <col min="7" max="7" width="12.7109375" customWidth="1"/>
    <col min="8" max="9" width="9.7109375" customWidth="1"/>
    <col min="10" max="11" width="4.7109375" customWidth="1"/>
    <col min="12" max="12" width="6.7109375" customWidth="1"/>
    <col min="13" max="47" width="2.42578125" customWidth="1"/>
    <col min="48" max="48" width="6.7109375" customWidth="1"/>
    <col min="49" max="50" width="4.7109375" customWidth="1"/>
    <col min="51" max="51" width="11.140625" customWidth="1"/>
    <col min="52" max="52" width="9.7109375" customWidth="1"/>
    <col min="53" max="53" width="12.7109375" customWidth="1"/>
    <col min="54" max="54" width="9.7109375" customWidth="1"/>
    <col min="55" max="55" width="11.7109375" customWidth="1"/>
    <col min="56" max="56" width="10.5703125" hidden="1" customWidth="1"/>
    <col min="57" max="57" width="33.7109375" customWidth="1"/>
    <col min="58" max="58" width="16" customWidth="1"/>
  </cols>
  <sheetData>
    <row r="1" spans="2:56" ht="37.5" customHeight="1" x14ac:dyDescent="0.7">
      <c r="B1" s="881" t="s">
        <v>55</v>
      </c>
      <c r="C1" s="882"/>
      <c r="D1" s="882"/>
      <c r="E1" s="882"/>
      <c r="F1" s="882"/>
      <c r="G1" s="882"/>
      <c r="H1" s="882"/>
      <c r="I1" s="882"/>
      <c r="J1" s="882"/>
      <c r="K1" s="882"/>
      <c r="L1" s="882"/>
      <c r="M1" s="882"/>
      <c r="N1" s="882"/>
      <c r="O1" s="882"/>
      <c r="P1" s="882"/>
      <c r="Q1" s="882"/>
      <c r="R1" s="882"/>
      <c r="S1" s="882"/>
      <c r="T1" s="882"/>
      <c r="U1" s="882"/>
      <c r="V1" s="882"/>
      <c r="W1" s="882"/>
      <c r="X1" s="882"/>
      <c r="Y1" s="882"/>
      <c r="Z1" s="882"/>
      <c r="AA1" s="882"/>
      <c r="AB1" s="882"/>
      <c r="AC1" s="882"/>
      <c r="AD1" s="882"/>
      <c r="AE1" s="882"/>
      <c r="AF1" s="882"/>
      <c r="AG1" s="882"/>
      <c r="AH1" s="882"/>
      <c r="AI1" s="882"/>
      <c r="AJ1" s="882"/>
      <c r="AK1" s="882"/>
      <c r="AL1" s="882"/>
      <c r="AM1" s="882"/>
      <c r="AN1" s="882"/>
      <c r="AO1" s="882"/>
      <c r="AP1" s="882"/>
      <c r="AQ1" s="882"/>
      <c r="AR1" s="882"/>
      <c r="AS1" s="882"/>
      <c r="AT1" s="882"/>
      <c r="AU1" s="882"/>
      <c r="AV1" s="882"/>
      <c r="AW1" s="882"/>
      <c r="AX1" s="882"/>
      <c r="AY1" s="882"/>
      <c r="AZ1" s="882"/>
      <c r="BA1" s="882"/>
      <c r="BB1" s="882"/>
      <c r="BC1" s="883"/>
    </row>
    <row r="2" spans="2:56" ht="52.5" customHeight="1" thickBot="1" x14ac:dyDescent="0.25">
      <c r="B2" s="888" t="s">
        <v>77</v>
      </c>
      <c r="C2" s="889"/>
      <c r="D2" s="889"/>
      <c r="E2" s="889"/>
      <c r="F2" s="889"/>
      <c r="G2" s="889"/>
      <c r="H2" s="889"/>
      <c r="I2" s="889"/>
      <c r="J2" s="889"/>
      <c r="K2" s="889"/>
      <c r="L2" s="889"/>
      <c r="M2" s="889"/>
      <c r="N2" s="889"/>
      <c r="O2" s="889"/>
      <c r="P2" s="889"/>
      <c r="Q2" s="889"/>
      <c r="R2" s="889"/>
      <c r="S2" s="889"/>
      <c r="T2" s="889"/>
      <c r="U2" s="889"/>
      <c r="V2" s="889"/>
      <c r="W2" s="889"/>
      <c r="X2" s="889"/>
      <c r="Y2" s="889"/>
      <c r="Z2" s="889"/>
      <c r="AA2" s="889"/>
      <c r="AB2" s="889"/>
      <c r="AC2" s="889"/>
      <c r="AD2" s="889"/>
      <c r="AE2" s="889"/>
      <c r="AF2" s="889"/>
      <c r="AG2" s="889"/>
      <c r="AH2" s="889"/>
      <c r="AI2" s="889"/>
      <c r="AJ2" s="889"/>
      <c r="AK2" s="889"/>
      <c r="AL2" s="889"/>
      <c r="AM2" s="889"/>
      <c r="AN2" s="889"/>
      <c r="AO2" s="889"/>
      <c r="AP2" s="889"/>
      <c r="AQ2" s="889"/>
      <c r="AR2" s="889"/>
      <c r="AS2" s="889"/>
      <c r="AT2" s="889"/>
      <c r="AU2" s="889"/>
      <c r="AV2" s="889"/>
      <c r="AW2" s="889"/>
      <c r="AX2" s="889"/>
      <c r="AY2" s="889"/>
      <c r="AZ2" s="946" t="str">
        <f>'Samenvattende telresultaten 2'!T53</f>
        <v>van 17h00 tot 18h00</v>
      </c>
      <c r="BA2" s="946"/>
      <c r="BB2" s="946"/>
      <c r="BC2" s="947"/>
    </row>
    <row r="3" spans="2:56" ht="22.5" x14ac:dyDescent="0.45">
      <c r="B3" s="831" t="s">
        <v>0</v>
      </c>
      <c r="C3" s="832"/>
      <c r="D3" s="833"/>
      <c r="E3" s="834" t="str">
        <f>'Licht vervoer'!$E$3</f>
        <v>-</v>
      </c>
      <c r="F3" s="834"/>
      <c r="G3" s="834"/>
      <c r="H3" s="834"/>
      <c r="I3" s="894"/>
      <c r="J3" s="296" t="s">
        <v>5</v>
      </c>
      <c r="K3" s="296"/>
      <c r="L3" s="296"/>
      <c r="M3" s="296"/>
      <c r="N3" s="296"/>
      <c r="O3" s="837" t="str">
        <f>'Licht vervoer'!J3</f>
        <v>N26 / E314 Zuid</v>
      </c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884" t="s">
        <v>13</v>
      </c>
      <c r="AR3" s="885"/>
      <c r="AS3" s="885"/>
      <c r="AT3" s="885"/>
      <c r="AU3" s="885"/>
      <c r="AV3" s="885"/>
      <c r="AW3" s="885"/>
      <c r="AX3" s="385"/>
      <c r="AY3" s="886">
        <f>'Licht vervoer'!P3</f>
        <v>43207</v>
      </c>
      <c r="AZ3" s="886"/>
      <c r="BA3" s="886"/>
      <c r="BB3" s="886"/>
      <c r="BC3" s="887"/>
    </row>
    <row r="4" spans="2:56" ht="22.5" x14ac:dyDescent="0.45">
      <c r="B4" s="808" t="s">
        <v>1</v>
      </c>
      <c r="C4" s="809"/>
      <c r="D4" s="810"/>
      <c r="E4" s="811" t="str">
        <f>'Licht vervoer'!$E$4</f>
        <v>-</v>
      </c>
      <c r="F4" s="811"/>
      <c r="G4" s="811"/>
      <c r="H4" s="811"/>
      <c r="I4" s="895"/>
      <c r="J4" s="298"/>
      <c r="K4" s="298"/>
      <c r="L4" s="298"/>
      <c r="M4" s="298"/>
      <c r="N4" s="298"/>
      <c r="O4" s="830"/>
      <c r="P4" s="830"/>
      <c r="Q4" s="830"/>
      <c r="R4" s="830"/>
      <c r="S4" s="830"/>
      <c r="T4" s="830"/>
      <c r="U4" s="830"/>
      <c r="V4" s="830"/>
      <c r="W4" s="830"/>
      <c r="X4" s="830"/>
      <c r="Y4" s="830"/>
      <c r="Z4" s="830"/>
      <c r="AA4" s="830"/>
      <c r="AB4" s="830"/>
      <c r="AC4" s="830"/>
      <c r="AD4" s="830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90" t="s">
        <v>22</v>
      </c>
      <c r="AR4" s="391"/>
      <c r="AS4" s="391"/>
      <c r="AT4" s="391"/>
      <c r="AU4" s="391"/>
      <c r="AV4" s="391"/>
      <c r="AW4" s="391"/>
      <c r="AX4" s="391"/>
      <c r="AY4" s="892" t="str">
        <f>'Licht vervoer'!P4</f>
        <v>-</v>
      </c>
      <c r="AZ4" s="892"/>
      <c r="BA4" s="892"/>
      <c r="BB4" s="892"/>
      <c r="BC4" s="893"/>
      <c r="BD4" s="473" t="b">
        <v>1</v>
      </c>
    </row>
    <row r="5" spans="2:56" ht="22.5" x14ac:dyDescent="0.45">
      <c r="B5" s="808" t="s">
        <v>6</v>
      </c>
      <c r="C5" s="809"/>
      <c r="D5" s="810"/>
      <c r="E5" s="811" t="str">
        <f>'Licht vervoer'!$E$5</f>
        <v>Limburg</v>
      </c>
      <c r="F5" s="811"/>
      <c r="G5" s="811"/>
      <c r="H5" s="811"/>
      <c r="I5" s="895"/>
      <c r="J5" s="296" t="s">
        <v>7</v>
      </c>
      <c r="K5" s="296"/>
      <c r="L5" s="296"/>
      <c r="M5" s="296"/>
      <c r="N5" s="296"/>
      <c r="O5" s="811" t="str">
        <f>'Licht vervoer'!J5</f>
        <v>Afrit E314 Zuid (West)</v>
      </c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95"/>
      <c r="AE5" s="611"/>
      <c r="AF5" s="945" t="s">
        <v>73</v>
      </c>
      <c r="AG5" s="945"/>
      <c r="AH5" s="945"/>
      <c r="AI5" s="945"/>
      <c r="AJ5" s="945"/>
      <c r="AK5" s="945"/>
      <c r="AL5" s="945"/>
      <c r="AM5" s="945"/>
      <c r="AN5" s="945"/>
      <c r="AO5" s="945"/>
      <c r="AP5" s="942"/>
      <c r="AQ5" s="392" t="s">
        <v>57</v>
      </c>
      <c r="AR5" s="393"/>
      <c r="AS5" s="393"/>
      <c r="AT5" s="393"/>
      <c r="AU5" s="393"/>
      <c r="AV5" s="393"/>
      <c r="AW5" s="393"/>
      <c r="AX5" s="393"/>
      <c r="AY5" s="892" t="str">
        <f>'Licht vervoer'!P5</f>
        <v>Dufec</v>
      </c>
      <c r="AZ5" s="892"/>
      <c r="BA5" s="892"/>
      <c r="BB5" s="892"/>
      <c r="BC5" s="893"/>
      <c r="BD5" s="473" t="b">
        <v>1</v>
      </c>
    </row>
    <row r="6" spans="2:56" ht="22.5" x14ac:dyDescent="0.45">
      <c r="B6" s="808" t="s">
        <v>3</v>
      </c>
      <c r="C6" s="809"/>
      <c r="D6" s="810"/>
      <c r="E6" s="811" t="str">
        <f>'Licht vervoer'!$E$6</f>
        <v>Leuven</v>
      </c>
      <c r="F6" s="811"/>
      <c r="G6" s="811"/>
      <c r="H6" s="811"/>
      <c r="I6" s="895"/>
      <c r="J6" s="296" t="s">
        <v>8</v>
      </c>
      <c r="K6" s="296"/>
      <c r="L6" s="296"/>
      <c r="M6" s="296"/>
      <c r="N6" s="296"/>
      <c r="O6" s="811" t="str">
        <f>'Licht vervoer'!J6</f>
        <v>N26 komende van N26a</v>
      </c>
      <c r="P6" s="811"/>
      <c r="Q6" s="811"/>
      <c r="R6" s="811"/>
      <c r="S6" s="811"/>
      <c r="T6" s="811"/>
      <c r="U6" s="811"/>
      <c r="V6" s="811"/>
      <c r="W6" s="811"/>
      <c r="X6" s="811"/>
      <c r="Y6" s="811"/>
      <c r="Z6" s="811"/>
      <c r="AA6" s="811"/>
      <c r="AB6" s="811"/>
      <c r="AC6" s="811"/>
      <c r="AD6" s="895"/>
      <c r="AE6" s="611"/>
      <c r="AF6" s="945" t="s">
        <v>74</v>
      </c>
      <c r="AG6" s="945"/>
      <c r="AH6" s="945"/>
      <c r="AI6" s="945"/>
      <c r="AJ6" s="945"/>
      <c r="AK6" s="945"/>
      <c r="AL6" s="945"/>
      <c r="AM6" s="945"/>
      <c r="AN6" s="945"/>
      <c r="AO6" s="945"/>
      <c r="AP6" s="942"/>
      <c r="AQ6" s="900" t="s">
        <v>56</v>
      </c>
      <c r="AR6" s="901"/>
      <c r="AS6" s="901"/>
      <c r="AT6" s="901"/>
      <c r="AU6" s="901"/>
      <c r="AV6" s="901"/>
      <c r="AW6" s="901"/>
      <c r="AX6" s="393"/>
      <c r="AY6" s="892" t="str">
        <f>'Licht vervoer'!P6</f>
        <v>Half bewolkt, geen neerslag</v>
      </c>
      <c r="AZ6" s="892"/>
      <c r="BA6" s="892"/>
      <c r="BB6" s="892"/>
      <c r="BC6" s="893"/>
      <c r="BD6" s="473" t="b">
        <v>1</v>
      </c>
    </row>
    <row r="7" spans="2:56" ht="22.5" x14ac:dyDescent="0.45">
      <c r="B7" s="808" t="s">
        <v>4</v>
      </c>
      <c r="C7" s="809"/>
      <c r="D7" s="829"/>
      <c r="E7" s="830" t="str">
        <f>'Licht vervoer'!$E$7</f>
        <v>Leuven</v>
      </c>
      <c r="F7" s="830"/>
      <c r="G7" s="830"/>
      <c r="H7" s="830"/>
      <c r="I7" s="896"/>
      <c r="J7" s="301" t="s">
        <v>9</v>
      </c>
      <c r="K7" s="301"/>
      <c r="L7" s="301"/>
      <c r="M7" s="301"/>
      <c r="N7" s="301"/>
      <c r="O7" s="811" t="str">
        <f>'Licht vervoer'!J7</f>
        <v>Toerit E314 Zuid (Oost)</v>
      </c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95"/>
      <c r="AE7" s="612"/>
      <c r="AF7" s="941" t="s">
        <v>75</v>
      </c>
      <c r="AG7" s="941"/>
      <c r="AH7" s="941"/>
      <c r="AI7" s="941"/>
      <c r="AJ7" s="941"/>
      <c r="AK7" s="941"/>
      <c r="AL7" s="941"/>
      <c r="AM7" s="941"/>
      <c r="AN7" s="941"/>
      <c r="AO7" s="941"/>
      <c r="AP7" s="942"/>
      <c r="AQ7" s="900" t="s">
        <v>12</v>
      </c>
      <c r="AR7" s="901"/>
      <c r="AS7" s="901"/>
      <c r="AT7" s="901"/>
      <c r="AU7" s="901"/>
      <c r="AV7" s="901"/>
      <c r="AW7" s="901"/>
      <c r="AX7" s="393"/>
      <c r="AY7" s="819" t="str">
        <f>'Licht vervoer'!P7</f>
        <v>Op het kruispunt zijn ook wachtrijmetingen uitgevoerd.</v>
      </c>
      <c r="AZ7" s="819"/>
      <c r="BA7" s="819"/>
      <c r="BB7" s="819"/>
      <c r="BC7" s="906"/>
      <c r="BD7" s="473"/>
    </row>
    <row r="8" spans="2:56" ht="23.25" thickBot="1" x14ac:dyDescent="0.5">
      <c r="B8" s="303"/>
      <c r="C8" s="304"/>
      <c r="D8" s="304"/>
      <c r="E8" s="897"/>
      <c r="F8" s="897"/>
      <c r="G8" s="897"/>
      <c r="H8" s="897"/>
      <c r="I8" s="898"/>
      <c r="J8" s="305" t="s">
        <v>10</v>
      </c>
      <c r="K8" s="305"/>
      <c r="L8" s="305"/>
      <c r="M8" s="305"/>
      <c r="N8" s="305"/>
      <c r="O8" s="824" t="str">
        <f>'Licht vervoer'!J8</f>
        <v>N26 komende van E314 Noord</v>
      </c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99"/>
      <c r="AE8" s="613"/>
      <c r="AF8" s="943" t="s">
        <v>76</v>
      </c>
      <c r="AG8" s="943"/>
      <c r="AH8" s="943"/>
      <c r="AI8" s="943"/>
      <c r="AJ8" s="943"/>
      <c r="AK8" s="943"/>
      <c r="AL8" s="943"/>
      <c r="AM8" s="943"/>
      <c r="AN8" s="943"/>
      <c r="AO8" s="943"/>
      <c r="AP8" s="944"/>
      <c r="AQ8" s="394"/>
      <c r="AR8" s="395"/>
      <c r="AS8" s="395"/>
      <c r="AT8" s="395"/>
      <c r="AU8" s="395"/>
      <c r="AV8" s="395"/>
      <c r="AW8" s="395"/>
      <c r="AX8" s="395"/>
      <c r="AY8" s="907"/>
      <c r="AZ8" s="907"/>
      <c r="BA8" s="907"/>
      <c r="BB8" s="907"/>
      <c r="BC8" s="908"/>
      <c r="BD8" s="473" t="b">
        <v>1</v>
      </c>
    </row>
    <row r="9" spans="2:56" ht="12.75" customHeight="1" x14ac:dyDescent="0.2">
      <c r="Q9" s="916" t="str">
        <f>'Licht vervoer'!J8</f>
        <v>N26 komende van E314 Noord</v>
      </c>
      <c r="R9" s="916"/>
      <c r="S9" s="916"/>
      <c r="T9" s="916"/>
      <c r="U9" s="916"/>
      <c r="V9" s="916"/>
      <c r="W9" s="916"/>
      <c r="X9" s="916"/>
      <c r="Y9" s="916"/>
      <c r="Z9" s="916"/>
      <c r="AA9" s="916"/>
      <c r="AB9" s="916"/>
      <c r="AC9" s="916"/>
      <c r="AD9" s="916"/>
      <c r="AE9" s="916"/>
      <c r="AF9" s="916"/>
      <c r="AG9" s="916"/>
      <c r="AH9" s="916"/>
      <c r="AI9" s="916"/>
      <c r="AJ9" s="916"/>
      <c r="AK9" s="916"/>
      <c r="AL9" s="916"/>
      <c r="AM9" s="916"/>
      <c r="AN9" s="916"/>
      <c r="AO9" s="916"/>
      <c r="AP9" s="916"/>
      <c r="AQ9" s="916"/>
    </row>
    <row r="10" spans="2:56" ht="12.75" customHeight="1" x14ac:dyDescent="0.2">
      <c r="Q10" s="917"/>
      <c r="R10" s="917"/>
      <c r="S10" s="917"/>
      <c r="T10" s="917"/>
      <c r="U10" s="917"/>
      <c r="V10" s="917"/>
      <c r="W10" s="917"/>
      <c r="X10" s="917"/>
      <c r="Y10" s="917"/>
      <c r="Z10" s="917"/>
      <c r="AA10" s="917"/>
      <c r="AB10" s="917"/>
      <c r="AC10" s="917"/>
      <c r="AD10" s="917"/>
      <c r="AE10" s="917"/>
      <c r="AF10" s="917"/>
      <c r="AG10" s="917"/>
      <c r="AH10" s="917"/>
      <c r="AI10" s="917"/>
      <c r="AJ10" s="917"/>
      <c r="AK10" s="917"/>
      <c r="AL10" s="917"/>
      <c r="AM10" s="917"/>
      <c r="AN10" s="917"/>
      <c r="AO10" s="917"/>
      <c r="AP10" s="917"/>
      <c r="AQ10" s="917"/>
    </row>
    <row r="11" spans="2:56" ht="12.75" customHeight="1" x14ac:dyDescent="0.45"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  <c r="AK11" s="399"/>
      <c r="AL11" s="399"/>
    </row>
    <row r="12" spans="2:56" ht="18" x14ac:dyDescent="0.2">
      <c r="B12" s="79"/>
      <c r="C12" s="79"/>
      <c r="D12" s="80"/>
      <c r="E12" s="80"/>
      <c r="F12" s="80"/>
    </row>
    <row r="13" spans="2:56" ht="18" x14ac:dyDescent="0.2">
      <c r="B13" s="79"/>
      <c r="C13" s="79"/>
      <c r="D13" s="80"/>
      <c r="E13" s="80"/>
      <c r="F13" s="80"/>
      <c r="L13" s="69"/>
      <c r="AD13" s="70"/>
      <c r="AU13" s="69"/>
    </row>
    <row r="14" spans="2:56" ht="12.75" customHeight="1" x14ac:dyDescent="0.2">
      <c r="L14" s="69"/>
      <c r="Q14" s="938">
        <f>N18+S18+Y18</f>
        <v>1128</v>
      </c>
      <c r="R14" s="938"/>
      <c r="S14" s="938"/>
      <c r="T14" s="938"/>
      <c r="U14" s="938"/>
      <c r="V14" s="938"/>
      <c r="W14" s="938"/>
      <c r="X14" s="938"/>
      <c r="Y14" s="938"/>
      <c r="AD14" s="70"/>
      <c r="AH14" s="843">
        <f>H40+AK58+AZ28</f>
        <v>1207</v>
      </c>
      <c r="AI14" s="843"/>
      <c r="AJ14" s="843"/>
      <c r="AK14" s="843"/>
      <c r="AL14" s="843"/>
      <c r="AM14" s="843"/>
      <c r="AN14" s="843"/>
      <c r="AO14" s="843"/>
      <c r="AP14" s="843"/>
      <c r="AQ14" s="843"/>
      <c r="AU14" s="69"/>
    </row>
    <row r="15" spans="2:56" ht="12.75" customHeight="1" x14ac:dyDescent="0.2">
      <c r="L15" s="69"/>
      <c r="Q15" s="938"/>
      <c r="R15" s="938"/>
      <c r="S15" s="938"/>
      <c r="T15" s="938"/>
      <c r="U15" s="938"/>
      <c r="V15" s="938"/>
      <c r="W15" s="938"/>
      <c r="X15" s="938"/>
      <c r="Y15" s="938"/>
      <c r="AD15" s="70"/>
      <c r="AH15" s="843"/>
      <c r="AI15" s="843"/>
      <c r="AJ15" s="843"/>
      <c r="AK15" s="843"/>
      <c r="AL15" s="843"/>
      <c r="AM15" s="843"/>
      <c r="AN15" s="843"/>
      <c r="AO15" s="843"/>
      <c r="AP15" s="843"/>
      <c r="AQ15" s="843"/>
      <c r="AU15" s="69"/>
    </row>
    <row r="16" spans="2:56" ht="18" customHeight="1" x14ac:dyDescent="0.35">
      <c r="B16" s="80"/>
      <c r="C16" s="79"/>
      <c r="E16" s="365"/>
      <c r="F16" s="365"/>
      <c r="G16" s="68"/>
      <c r="H16" s="349" t="s">
        <v>28</v>
      </c>
      <c r="I16" s="68"/>
      <c r="J16" s="5"/>
      <c r="K16" s="5"/>
      <c r="L16" s="69"/>
      <c r="M16" s="5"/>
      <c r="N16" s="5"/>
      <c r="O16" s="5"/>
      <c r="P16" s="5"/>
      <c r="Q16" s="938"/>
      <c r="R16" s="938"/>
      <c r="S16" s="938"/>
      <c r="T16" s="938"/>
      <c r="U16" s="938"/>
      <c r="V16" s="938"/>
      <c r="W16" s="938"/>
      <c r="X16" s="938"/>
      <c r="Y16" s="938"/>
      <c r="Z16" s="5"/>
      <c r="AA16" s="5"/>
      <c r="AB16" s="5"/>
      <c r="AC16" s="5"/>
      <c r="AD16" s="70"/>
      <c r="AE16" s="5"/>
      <c r="AF16" s="5"/>
      <c r="AG16" s="5"/>
      <c r="AH16" s="843"/>
      <c r="AI16" s="843"/>
      <c r="AJ16" s="843"/>
      <c r="AK16" s="843"/>
      <c r="AL16" s="843"/>
      <c r="AM16" s="843"/>
      <c r="AN16" s="843"/>
      <c r="AO16" s="843"/>
      <c r="AP16" s="843"/>
      <c r="AQ16" s="843"/>
      <c r="AR16" s="5"/>
      <c r="AS16" s="5"/>
      <c r="AT16" s="5"/>
      <c r="AU16" s="5"/>
      <c r="AV16" s="71"/>
      <c r="AW16" s="5"/>
      <c r="AX16" s="5"/>
      <c r="AY16" s="5"/>
      <c r="AZ16" s="5"/>
    </row>
    <row r="17" spans="2:55" ht="12.75" customHeight="1" x14ac:dyDescent="0.2">
      <c r="G17" s="360"/>
      <c r="H17" s="362"/>
      <c r="I17" s="362"/>
      <c r="J17" s="5"/>
      <c r="K17" s="5"/>
      <c r="L17" s="69"/>
      <c r="M17" s="419"/>
      <c r="N17" s="467"/>
      <c r="O17" s="467"/>
      <c r="P17" s="467"/>
      <c r="Q17" s="467"/>
      <c r="R17" s="354"/>
      <c r="S17" s="468"/>
      <c r="T17" s="468"/>
      <c r="U17" s="468"/>
      <c r="V17" s="468"/>
      <c r="W17" s="468"/>
      <c r="X17" s="354"/>
      <c r="Y17" s="469"/>
      <c r="Z17" s="469"/>
      <c r="AA17" s="469"/>
      <c r="AB17" s="469"/>
      <c r="AC17" s="354"/>
      <c r="AD17" s="359"/>
      <c r="AE17" s="844"/>
      <c r="AF17" s="353"/>
      <c r="AG17" s="353"/>
      <c r="AH17" s="353"/>
      <c r="AI17" s="353"/>
      <c r="AJ17" s="353"/>
      <c r="AK17" s="353"/>
      <c r="AL17" s="353"/>
      <c r="AM17" s="353"/>
      <c r="AN17" s="353"/>
      <c r="AO17" s="353"/>
      <c r="AP17" s="353"/>
      <c r="AQ17" s="353"/>
      <c r="AR17" s="353"/>
      <c r="AS17" s="353"/>
      <c r="AT17" s="353"/>
      <c r="AU17" s="353"/>
      <c r="AV17" s="378"/>
      <c r="AW17" s="353"/>
      <c r="AX17" s="353"/>
      <c r="AY17" s="5"/>
      <c r="AZ17" s="367"/>
      <c r="BA17" s="360"/>
    </row>
    <row r="18" spans="2:55" ht="20.25" customHeight="1" x14ac:dyDescent="0.2">
      <c r="G18" s="361"/>
      <c r="H18" s="363"/>
      <c r="I18" s="363"/>
      <c r="J18" s="5"/>
      <c r="K18" s="5"/>
      <c r="L18" s="69"/>
      <c r="M18" s="419"/>
      <c r="N18" s="918">
        <f>'Samenvattende telresultaten 2'!AO37</f>
        <v>0</v>
      </c>
      <c r="O18" s="918"/>
      <c r="P18" s="918"/>
      <c r="Q18" s="918"/>
      <c r="R18" s="354"/>
      <c r="S18" s="911">
        <f>'Samenvattende telresultaten 2'!AN37</f>
        <v>823</v>
      </c>
      <c r="T18" s="911"/>
      <c r="U18" s="911"/>
      <c r="V18" s="911"/>
      <c r="W18" s="911"/>
      <c r="X18" s="354"/>
      <c r="Y18" s="910">
        <f>'Samenvattende telresultaten 2'!AM37</f>
        <v>305</v>
      </c>
      <c r="Z18" s="910"/>
      <c r="AA18" s="910"/>
      <c r="AB18" s="910"/>
      <c r="AC18" s="354"/>
      <c r="AD18" s="359"/>
      <c r="AE18" s="844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78"/>
      <c r="AW18" s="353"/>
      <c r="AX18" s="353"/>
      <c r="AY18" s="5"/>
      <c r="AZ18" s="367"/>
      <c r="BA18" s="361"/>
    </row>
    <row r="19" spans="2:55" ht="12.75" customHeight="1" x14ac:dyDescent="0.2">
      <c r="B19" s="82"/>
      <c r="C19" s="81"/>
      <c r="D19" s="349"/>
      <c r="E19" s="82"/>
      <c r="F19" s="82"/>
      <c r="J19" s="5"/>
      <c r="K19" s="5"/>
      <c r="L19" s="69"/>
      <c r="M19" s="5"/>
      <c r="N19" s="918"/>
      <c r="O19" s="918"/>
      <c r="P19" s="918"/>
      <c r="Q19" s="918"/>
      <c r="R19" s="5"/>
      <c r="S19" s="911"/>
      <c r="T19" s="911"/>
      <c r="U19" s="911"/>
      <c r="V19" s="911"/>
      <c r="W19" s="911"/>
      <c r="X19" s="5"/>
      <c r="Y19" s="910"/>
      <c r="Z19" s="910"/>
      <c r="AA19" s="910"/>
      <c r="AB19" s="910"/>
      <c r="AC19" s="5"/>
      <c r="AD19" s="141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5"/>
      <c r="AV19" s="71"/>
      <c r="AW19" s="5"/>
      <c r="AX19" s="5"/>
      <c r="AY19" s="5"/>
      <c r="AZ19" s="5"/>
    </row>
    <row r="20" spans="2:55" ht="12.75" customHeight="1" x14ac:dyDescent="0.45">
      <c r="G20" s="426" t="s">
        <v>58</v>
      </c>
      <c r="H20" s="364"/>
      <c r="I20" s="349" t="s">
        <v>59</v>
      </c>
      <c r="J20" s="5"/>
      <c r="K20" s="5"/>
      <c r="L20" s="69"/>
      <c r="M20" s="5"/>
      <c r="N20" s="845">
        <v>8</v>
      </c>
      <c r="O20" s="845"/>
      <c r="P20" s="845"/>
      <c r="Q20" s="352"/>
      <c r="R20" s="352"/>
      <c r="S20" s="470"/>
      <c r="T20" s="876" t="s">
        <v>71</v>
      </c>
      <c r="U20" s="876"/>
      <c r="V20" s="876"/>
      <c r="W20" s="470"/>
      <c r="X20" s="352"/>
      <c r="Y20" s="852">
        <v>9</v>
      </c>
      <c r="Z20" s="852"/>
      <c r="AA20" s="852"/>
      <c r="AB20" s="852"/>
      <c r="AC20" s="352"/>
      <c r="AD20" s="141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5"/>
      <c r="AV20" s="71"/>
      <c r="AW20" s="5"/>
      <c r="AX20" s="5"/>
      <c r="AY20" s="5"/>
      <c r="AZ20" s="368"/>
      <c r="BA20" s="360"/>
    </row>
    <row r="21" spans="2:55" ht="19.5" customHeight="1" x14ac:dyDescent="0.45">
      <c r="B21" s="80"/>
      <c r="C21" s="79"/>
      <c r="E21" s="365"/>
      <c r="F21" s="365"/>
      <c r="G21" s="360"/>
      <c r="H21" s="364"/>
      <c r="I21" s="364"/>
      <c r="J21" s="5"/>
      <c r="K21" s="5"/>
      <c r="L21" s="69"/>
      <c r="M21" s="5"/>
      <c r="N21" s="845"/>
      <c r="O21" s="845"/>
      <c r="P21" s="845"/>
      <c r="Q21" s="352"/>
      <c r="R21" s="352"/>
      <c r="S21" s="470"/>
      <c r="T21" s="876"/>
      <c r="U21" s="876"/>
      <c r="V21" s="876"/>
      <c r="W21" s="470"/>
      <c r="X21" s="352"/>
      <c r="Y21" s="852"/>
      <c r="Z21" s="852"/>
      <c r="AA21" s="852"/>
      <c r="AB21" s="852"/>
      <c r="AC21" s="352"/>
      <c r="AD21" s="76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5"/>
      <c r="AV21" s="71"/>
      <c r="AW21" s="5"/>
      <c r="AX21" s="5"/>
      <c r="AY21" s="5"/>
      <c r="AZ21" s="368"/>
      <c r="BA21" s="361"/>
    </row>
    <row r="22" spans="2:55" ht="6.95" customHeight="1" x14ac:dyDescent="0.2">
      <c r="B22" s="80"/>
      <c r="C22" s="79"/>
      <c r="E22" s="365"/>
      <c r="F22" s="365"/>
      <c r="G22" s="360"/>
      <c r="H22" s="364"/>
      <c r="I22" s="364"/>
      <c r="J22" s="5"/>
      <c r="K22" s="5"/>
      <c r="L22" s="69"/>
      <c r="M22" s="369"/>
      <c r="N22" s="5"/>
      <c r="O22" s="384"/>
      <c r="P22" s="352"/>
      <c r="Q22" s="384"/>
      <c r="R22" s="352"/>
      <c r="S22" s="384"/>
      <c r="T22" s="352"/>
      <c r="U22" s="384"/>
      <c r="V22" s="352"/>
      <c r="W22" s="384"/>
      <c r="X22" s="352"/>
      <c r="Y22" s="384"/>
      <c r="Z22" s="352"/>
      <c r="AA22" s="384"/>
      <c r="AB22" s="352"/>
      <c r="AC22" s="384"/>
      <c r="AD22" s="76"/>
      <c r="AE22" s="383"/>
      <c r="AF22" s="77"/>
      <c r="AG22" s="383"/>
      <c r="AH22" s="77"/>
      <c r="AI22" s="383"/>
      <c r="AJ22" s="77"/>
      <c r="AK22" s="383"/>
      <c r="AL22" s="77"/>
      <c r="AM22" s="383"/>
      <c r="AN22" s="77"/>
      <c r="AO22" s="383"/>
      <c r="AP22" s="77"/>
      <c r="AQ22" s="383"/>
      <c r="AR22" s="387"/>
      <c r="AS22" s="383"/>
      <c r="AT22" s="77"/>
      <c r="AU22" s="369"/>
      <c r="AV22" s="400"/>
      <c r="AW22" s="5"/>
      <c r="AX22" s="5"/>
      <c r="AY22" s="5"/>
      <c r="AZ22" s="368"/>
      <c r="BA22" s="361"/>
    </row>
    <row r="23" spans="2:55" ht="13.5" customHeight="1" x14ac:dyDescent="0.2">
      <c r="C23" s="79"/>
      <c r="G23" s="366"/>
      <c r="H23" s="366"/>
      <c r="I23" s="366"/>
      <c r="J23" s="5"/>
      <c r="K23" s="5"/>
      <c r="L23" s="69"/>
      <c r="M23" s="369"/>
      <c r="N23" s="5"/>
      <c r="O23" s="369"/>
      <c r="P23" s="5"/>
      <c r="Q23" s="369"/>
      <c r="R23" s="5"/>
      <c r="S23" s="369"/>
      <c r="T23" s="5"/>
      <c r="U23" s="369"/>
      <c r="V23" s="5"/>
      <c r="W23" s="369"/>
      <c r="X23" s="5"/>
      <c r="Y23" s="369"/>
      <c r="Z23" s="5"/>
      <c r="AA23" s="369"/>
      <c r="AB23" s="5"/>
      <c r="AC23" s="369"/>
      <c r="AD23" s="70"/>
      <c r="AE23" s="369"/>
      <c r="AF23" s="5"/>
      <c r="AG23" s="369"/>
      <c r="AH23" s="5"/>
      <c r="AI23" s="369"/>
      <c r="AJ23" s="5"/>
      <c r="AK23" s="369"/>
      <c r="AL23" s="5"/>
      <c r="AM23" s="369"/>
      <c r="AN23" s="5"/>
      <c r="AO23" s="369"/>
      <c r="AP23" s="5"/>
      <c r="AQ23" s="369"/>
      <c r="AR23" s="379"/>
      <c r="AS23" s="369"/>
      <c r="AT23" s="5"/>
      <c r="AU23" s="369"/>
      <c r="AV23" s="400"/>
      <c r="AW23" s="5"/>
      <c r="AX23" s="5"/>
      <c r="AY23" s="5"/>
      <c r="AZ23" s="5"/>
    </row>
    <row r="24" spans="2:55" ht="13.5" customHeight="1" x14ac:dyDescent="0.2">
      <c r="E24" s="135"/>
      <c r="F24" s="135"/>
      <c r="G24" s="135"/>
      <c r="H24" s="349" t="s">
        <v>29</v>
      </c>
      <c r="I24" s="132"/>
      <c r="J24" s="132"/>
      <c r="K24" s="132"/>
      <c r="L24" s="139"/>
      <c r="M24" s="386"/>
      <c r="N24" s="132"/>
      <c r="O24" s="369"/>
      <c r="P24" s="5"/>
      <c r="Q24" s="369"/>
      <c r="R24" s="5"/>
      <c r="S24" s="369"/>
      <c r="T24" s="5"/>
      <c r="U24" s="369"/>
      <c r="V24" s="5"/>
      <c r="W24" s="369"/>
      <c r="X24" s="5"/>
      <c r="Y24" s="369"/>
      <c r="Z24" s="5"/>
      <c r="AA24" s="369"/>
      <c r="AB24" s="5"/>
      <c r="AC24" s="369"/>
      <c r="AD24" s="70"/>
      <c r="AE24" s="369"/>
      <c r="AF24" s="5"/>
      <c r="AG24" s="369"/>
      <c r="AH24" s="5"/>
      <c r="AI24" s="369"/>
      <c r="AJ24" s="5"/>
      <c r="AK24" s="369"/>
      <c r="AL24" s="5"/>
      <c r="AM24" s="369"/>
      <c r="AN24" s="5"/>
      <c r="AO24" s="369"/>
      <c r="AP24" s="5"/>
      <c r="AQ24" s="369"/>
      <c r="AR24" s="379"/>
      <c r="AS24" s="369"/>
      <c r="AT24" s="5"/>
      <c r="AU24" s="369"/>
      <c r="AV24" s="400"/>
      <c r="AW24" s="5"/>
      <c r="AX24" s="5"/>
      <c r="AY24" s="5"/>
      <c r="AZ24" s="135"/>
      <c r="BA24" s="909"/>
      <c r="BB24" s="909"/>
    </row>
    <row r="25" spans="2:55" ht="20.25" customHeight="1" thickBot="1" x14ac:dyDescent="0.5">
      <c r="B25" s="5"/>
      <c r="C25" s="5"/>
      <c r="D25" s="5"/>
      <c r="E25" s="5"/>
      <c r="F25" s="5"/>
      <c r="G25" s="5"/>
      <c r="H25" s="5"/>
      <c r="I25" s="5"/>
      <c r="J25" s="5"/>
      <c r="K25" s="5"/>
      <c r="L25" s="69"/>
      <c r="M25" s="369"/>
      <c r="N25" s="5"/>
      <c r="O25" s="369"/>
      <c r="P25" s="5"/>
      <c r="Q25" s="369"/>
      <c r="R25" s="5"/>
      <c r="S25" s="369"/>
      <c r="T25" s="5"/>
      <c r="U25" s="853" t="s">
        <v>61</v>
      </c>
      <c r="V25" s="853"/>
      <c r="W25" s="853"/>
      <c r="X25" s="853"/>
      <c r="Y25" s="853"/>
      <c r="Z25" s="853"/>
      <c r="AA25" s="853"/>
      <c r="AB25" s="853"/>
      <c r="AC25" s="854"/>
      <c r="AD25" s="848">
        <f>'Samenvattende telresultaten 2'!AW37</f>
        <v>0</v>
      </c>
      <c r="AE25" s="849"/>
      <c r="AF25" s="849"/>
      <c r="AG25" s="849"/>
      <c r="AH25" s="5"/>
      <c r="AI25" s="369"/>
      <c r="AJ25" s="5"/>
      <c r="AK25" s="369"/>
      <c r="AL25" s="5"/>
      <c r="AM25" s="369"/>
      <c r="AN25" s="5"/>
      <c r="AO25" s="369"/>
      <c r="AP25" s="5"/>
      <c r="AQ25" s="369"/>
      <c r="AR25" s="379"/>
      <c r="AS25" s="369"/>
      <c r="AT25" s="5"/>
      <c r="AU25" s="369"/>
      <c r="AV25" s="400"/>
      <c r="AW25" s="5"/>
      <c r="AX25" s="5"/>
      <c r="AY25" s="5"/>
      <c r="AZ25" s="5"/>
      <c r="BA25" s="5"/>
      <c r="BB25" s="5"/>
      <c r="BC25" s="5"/>
    </row>
    <row r="26" spans="2:55" ht="32.1" customHeight="1" thickBot="1" x14ac:dyDescent="0.25">
      <c r="E26" s="72"/>
      <c r="F26" s="72"/>
      <c r="G26" s="396"/>
      <c r="H26" s="396"/>
      <c r="I26" s="397"/>
      <c r="J26" s="72"/>
      <c r="K26" s="72"/>
      <c r="L26" s="73"/>
      <c r="M26" s="437"/>
      <c r="N26" s="428"/>
      <c r="O26" s="428"/>
      <c r="P26" s="429"/>
      <c r="Q26" s="429"/>
      <c r="R26" s="429"/>
      <c r="S26" s="429"/>
      <c r="T26" s="429"/>
      <c r="U26" s="846" t="s">
        <v>60</v>
      </c>
      <c r="V26" s="846"/>
      <c r="W26" s="846"/>
      <c r="X26" s="846"/>
      <c r="Y26" s="846"/>
      <c r="Z26" s="846"/>
      <c r="AA26" s="846"/>
      <c r="AB26" s="846"/>
      <c r="AC26" s="847"/>
      <c r="AD26" s="850">
        <f>'Samenvattende telresultaten 2'!AR37</f>
        <v>0</v>
      </c>
      <c r="AE26" s="851"/>
      <c r="AF26" s="851"/>
      <c r="AG26" s="851"/>
      <c r="AH26" s="438"/>
      <c r="AI26" s="438"/>
      <c r="AJ26" s="438"/>
      <c r="AK26" s="438"/>
      <c r="AL26" s="428"/>
      <c r="AM26" s="428"/>
      <c r="AN26" s="428"/>
      <c r="AO26" s="428"/>
      <c r="AP26" s="428"/>
      <c r="AQ26" s="428"/>
      <c r="AR26" s="428"/>
      <c r="AS26" s="428"/>
      <c r="AT26" s="428"/>
      <c r="AU26" s="439"/>
      <c r="AV26" s="74"/>
      <c r="AW26" s="72"/>
      <c r="AX26" s="72"/>
      <c r="AY26" s="72"/>
      <c r="AZ26" s="72"/>
      <c r="BA26" s="72"/>
      <c r="BB26" s="72"/>
      <c r="BC26" s="5"/>
    </row>
    <row r="27" spans="2:55" ht="13.5" customHeight="1" thickTop="1" x14ac:dyDescent="0.2">
      <c r="E27" s="5"/>
      <c r="F27" s="5"/>
      <c r="G27" s="360"/>
      <c r="H27" s="360"/>
      <c r="I27" s="12"/>
      <c r="J27" s="369"/>
      <c r="K27" s="369"/>
      <c r="L27" s="43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70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V27" s="440"/>
      <c r="AW27" s="369"/>
      <c r="AX27" s="369"/>
      <c r="AY27" s="5"/>
      <c r="AZ27" s="126"/>
      <c r="BA27" s="5"/>
      <c r="BB27" s="5"/>
      <c r="BC27" s="5"/>
    </row>
    <row r="28" spans="2:55" ht="13.5" customHeight="1" x14ac:dyDescent="0.2">
      <c r="E28" s="5"/>
      <c r="F28" s="5"/>
      <c r="G28" s="360"/>
      <c r="H28" s="360"/>
      <c r="I28" s="12"/>
      <c r="J28" s="5"/>
      <c r="K28" s="5"/>
      <c r="L28" s="43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70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V28" s="441"/>
      <c r="AW28" s="5"/>
      <c r="AX28" s="5"/>
      <c r="AY28" s="845" t="s">
        <v>70</v>
      </c>
      <c r="AZ28" s="920">
        <f>'Samenvattende telresultaten 2'!AL37</f>
        <v>0</v>
      </c>
      <c r="BA28" s="5"/>
      <c r="BB28" s="5"/>
      <c r="BC28" s="5"/>
    </row>
    <row r="29" spans="2:55" ht="12.75" customHeight="1" x14ac:dyDescent="0.2">
      <c r="E29" s="5"/>
      <c r="F29" s="5"/>
      <c r="G29" s="410"/>
      <c r="H29" s="360"/>
      <c r="I29" s="12"/>
      <c r="J29" s="369"/>
      <c r="K29" s="369"/>
      <c r="L29" s="433"/>
      <c r="M29" s="37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0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V29" s="441"/>
      <c r="AW29" s="370"/>
      <c r="AX29" s="370"/>
      <c r="AY29" s="845"/>
      <c r="AZ29" s="920"/>
      <c r="BA29" s="130"/>
      <c r="BB29" s="5"/>
      <c r="BC29" s="5"/>
    </row>
    <row r="30" spans="2:55" ht="12.75" customHeight="1" x14ac:dyDescent="0.2">
      <c r="E30" s="5"/>
      <c r="F30" s="5"/>
      <c r="G30" s="410"/>
      <c r="H30" s="5"/>
      <c r="I30" s="12"/>
      <c r="J30" s="5"/>
      <c r="K30" s="5"/>
      <c r="L30" s="433"/>
      <c r="M30" s="37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70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V30" s="441"/>
      <c r="AY30" s="845"/>
      <c r="AZ30" s="920"/>
      <c r="BA30" s="130"/>
      <c r="BB30" s="5"/>
      <c r="BC30" s="5"/>
    </row>
    <row r="31" spans="2:55" ht="12.75" customHeight="1" x14ac:dyDescent="0.2">
      <c r="E31" s="925">
        <f>AE58+AZ31+N18</f>
        <v>0</v>
      </c>
      <c r="F31" s="925"/>
      <c r="G31" s="925"/>
      <c r="H31" s="5"/>
      <c r="I31" s="5"/>
      <c r="J31" s="369"/>
      <c r="K31" s="369"/>
      <c r="L31" s="434"/>
      <c r="M31" s="379"/>
      <c r="N31" s="5"/>
      <c r="O31" s="5"/>
      <c r="P31" s="5"/>
      <c r="Q31" s="5"/>
      <c r="R31" s="5"/>
      <c r="S31" s="5"/>
      <c r="T31" s="5"/>
      <c r="U31" s="5"/>
      <c r="V31" s="5"/>
      <c r="W31" s="5"/>
      <c r="X31" s="420"/>
      <c r="Y31" s="420"/>
      <c r="Z31" s="420"/>
      <c r="AA31" s="420"/>
      <c r="AB31" s="420"/>
      <c r="AC31" s="421"/>
      <c r="AD31" s="420"/>
      <c r="AE31" s="420"/>
      <c r="AF31" s="420"/>
      <c r="AG31" s="420"/>
      <c r="AH31" s="420"/>
      <c r="AI31" s="420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V31" s="442"/>
      <c r="AW31" s="370"/>
      <c r="AX31" s="370"/>
      <c r="AY31" s="876" t="s">
        <v>69</v>
      </c>
      <c r="AZ31" s="878">
        <f>'Samenvattende telresultaten 2'!AK37</f>
        <v>0</v>
      </c>
      <c r="BA31" s="940">
        <f>AZ28+AZ31+AZ35</f>
        <v>0</v>
      </c>
      <c r="BB31" s="940"/>
      <c r="BC31" s="5"/>
    </row>
    <row r="32" spans="2:55" ht="12.75" customHeight="1" thickBot="1" x14ac:dyDescent="0.25">
      <c r="E32" s="925"/>
      <c r="F32" s="925"/>
      <c r="G32" s="925"/>
      <c r="H32" s="358"/>
      <c r="I32" s="358"/>
      <c r="L32" s="435"/>
      <c r="M32" s="10"/>
      <c r="X32" s="420"/>
      <c r="Y32" s="420"/>
      <c r="Z32" s="420"/>
      <c r="AA32" s="420"/>
      <c r="AB32" s="420"/>
      <c r="AC32" s="421"/>
      <c r="AD32" s="420"/>
      <c r="AE32" s="420"/>
      <c r="AF32" s="420"/>
      <c r="AG32" s="420"/>
      <c r="AH32" s="420"/>
      <c r="AI32" s="420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V32" s="442"/>
      <c r="AY32" s="876"/>
      <c r="AZ32" s="878"/>
      <c r="BA32" s="940"/>
      <c r="BB32" s="940"/>
      <c r="BC32" s="129"/>
    </row>
    <row r="33" spans="1:57" ht="12.75" customHeight="1" thickTop="1" x14ac:dyDescent="0.2">
      <c r="E33" s="925"/>
      <c r="F33" s="925"/>
      <c r="G33" s="925"/>
      <c r="H33" s="358"/>
      <c r="I33" s="358"/>
      <c r="J33" s="370"/>
      <c r="K33" s="370"/>
      <c r="L33" s="435"/>
      <c r="M33" s="10"/>
      <c r="W33" s="865">
        <f>E42+AI61+BA31+Q14</f>
        <v>3119</v>
      </c>
      <c r="X33" s="866"/>
      <c r="Y33" s="866"/>
      <c r="Z33" s="866"/>
      <c r="AA33" s="866"/>
      <c r="AB33" s="866"/>
      <c r="AC33" s="866"/>
      <c r="AD33" s="866"/>
      <c r="AE33" s="866"/>
      <c r="AF33" s="866"/>
      <c r="AG33" s="866"/>
      <c r="AH33" s="866"/>
      <c r="AI33" s="866"/>
      <c r="AJ33" s="867"/>
      <c r="AK33" s="5"/>
      <c r="AL33" s="5"/>
      <c r="AM33" s="5"/>
      <c r="AN33" s="5"/>
      <c r="AO33" s="5"/>
      <c r="AP33" s="5"/>
      <c r="AQ33" s="5"/>
      <c r="AR33" s="5"/>
      <c r="AS33" s="5"/>
      <c r="AT33" s="5"/>
      <c r="AV33" s="442"/>
      <c r="AW33" s="451">
        <f>'Samenvattende telresultaten 1'!AV37</f>
        <v>4</v>
      </c>
      <c r="AX33" s="370"/>
      <c r="AY33" s="876"/>
      <c r="AZ33" s="878"/>
      <c r="BA33" s="940"/>
      <c r="BB33" s="940"/>
      <c r="BC33" s="129"/>
    </row>
    <row r="34" spans="1:57" ht="13.5" customHeight="1" x14ac:dyDescent="0.2">
      <c r="F34" s="358"/>
      <c r="G34" s="358"/>
      <c r="H34" s="358"/>
      <c r="I34" s="358"/>
      <c r="K34" s="879">
        <f>'Samenvattende telresultaten 2'!AT37</f>
        <v>3</v>
      </c>
      <c r="L34" s="874">
        <f>'Samenvattende telresultaten 2'!AS37</f>
        <v>46</v>
      </c>
      <c r="M34" s="10"/>
      <c r="W34" s="868"/>
      <c r="X34" s="869"/>
      <c r="Y34" s="869"/>
      <c r="Z34" s="869"/>
      <c r="AA34" s="869"/>
      <c r="AB34" s="869"/>
      <c r="AC34" s="869"/>
      <c r="AD34" s="869"/>
      <c r="AE34" s="869"/>
      <c r="AF34" s="869"/>
      <c r="AG34" s="869"/>
      <c r="AH34" s="869"/>
      <c r="AI34" s="869"/>
      <c r="AJ34" s="870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V34" s="874">
        <f>'Samenvattende telresultaten 2'!AQ37</f>
        <v>143</v>
      </c>
      <c r="AW34" s="862">
        <f>'Samenvattende telresultaten 2'!AV37</f>
        <v>4</v>
      </c>
      <c r="AY34" s="923" t="s">
        <v>68</v>
      </c>
      <c r="AZ34" s="398"/>
    </row>
    <row r="35" spans="1:57" ht="13.5" customHeight="1" x14ac:dyDescent="0.2">
      <c r="H35" s="373"/>
      <c r="I35" s="355"/>
      <c r="J35" s="370"/>
      <c r="K35" s="879"/>
      <c r="L35" s="874"/>
      <c r="M35" s="10"/>
      <c r="W35" s="868"/>
      <c r="X35" s="869"/>
      <c r="Y35" s="869"/>
      <c r="Z35" s="869"/>
      <c r="AA35" s="869"/>
      <c r="AB35" s="869"/>
      <c r="AC35" s="869"/>
      <c r="AD35" s="869"/>
      <c r="AE35" s="869"/>
      <c r="AF35" s="869"/>
      <c r="AG35" s="869"/>
      <c r="AH35" s="869"/>
      <c r="AI35" s="869"/>
      <c r="AJ35" s="870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V35" s="874"/>
      <c r="AW35" s="862"/>
      <c r="AX35" s="370"/>
      <c r="AY35" s="923"/>
      <c r="AZ35" s="864">
        <f>'Samenvattende telresultaten 2'!AJ37</f>
        <v>0</v>
      </c>
      <c r="BA35" s="128"/>
    </row>
    <row r="36" spans="1:57" ht="12.75" customHeight="1" x14ac:dyDescent="0.2">
      <c r="H36" s="374"/>
      <c r="I36" s="355"/>
      <c r="J36" s="355"/>
      <c r="K36" s="879"/>
      <c r="L36" s="874"/>
      <c r="M36" s="388"/>
      <c r="W36" s="868"/>
      <c r="X36" s="869"/>
      <c r="Y36" s="869"/>
      <c r="Z36" s="869"/>
      <c r="AA36" s="869"/>
      <c r="AB36" s="869"/>
      <c r="AC36" s="869"/>
      <c r="AD36" s="869"/>
      <c r="AE36" s="869"/>
      <c r="AF36" s="869"/>
      <c r="AG36" s="869"/>
      <c r="AH36" s="869"/>
      <c r="AI36" s="869"/>
      <c r="AJ36" s="870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V36" s="874"/>
      <c r="AW36" s="862"/>
      <c r="AY36" s="923"/>
      <c r="AZ36" s="864"/>
      <c r="BA36" s="128"/>
    </row>
    <row r="37" spans="1:57" ht="12.75" customHeight="1" thickBot="1" x14ac:dyDescent="0.25">
      <c r="A37" s="842" t="str">
        <f>'Licht vervoer'!J5</f>
        <v>Afrit E314 Zuid (West)</v>
      </c>
      <c r="B37" s="842"/>
      <c r="D37" s="5"/>
      <c r="E37" s="75"/>
      <c r="F37" s="75"/>
      <c r="G37" s="75"/>
      <c r="H37" s="75"/>
      <c r="I37" s="75"/>
      <c r="J37" s="377"/>
      <c r="K37" s="880"/>
      <c r="L37" s="875"/>
      <c r="M37" s="389"/>
      <c r="N37" s="75"/>
      <c r="O37" s="75"/>
      <c r="P37" s="75"/>
      <c r="Q37" s="75"/>
      <c r="R37" s="75"/>
      <c r="S37" s="75"/>
      <c r="T37" s="75"/>
      <c r="U37" s="75"/>
      <c r="V37" s="75"/>
      <c r="W37" s="868"/>
      <c r="X37" s="869"/>
      <c r="Y37" s="869"/>
      <c r="Z37" s="869"/>
      <c r="AA37" s="869"/>
      <c r="AB37" s="869"/>
      <c r="AC37" s="869"/>
      <c r="AD37" s="869"/>
      <c r="AE37" s="869"/>
      <c r="AF37" s="869"/>
      <c r="AG37" s="869"/>
      <c r="AH37" s="869"/>
      <c r="AI37" s="869"/>
      <c r="AJ37" s="870"/>
      <c r="AK37" s="381"/>
      <c r="AL37" s="381"/>
      <c r="AM37" s="381"/>
      <c r="AN37" s="381"/>
      <c r="AO37" s="381"/>
      <c r="AP37" s="381"/>
      <c r="AQ37" s="381"/>
      <c r="AR37" s="381"/>
      <c r="AS37" s="381"/>
      <c r="AT37" s="381"/>
      <c r="AU37" s="75"/>
      <c r="AV37" s="875"/>
      <c r="AW37" s="863"/>
      <c r="AX37" s="371"/>
      <c r="AY37" s="75"/>
      <c r="AZ37" s="75"/>
      <c r="BA37" s="75"/>
      <c r="BB37" s="75"/>
      <c r="BC37" s="5"/>
      <c r="BE37" s="855" t="str">
        <f>'Licht vervoer'!J7</f>
        <v>Toerit E314 Zuid (Oost)</v>
      </c>
    </row>
    <row r="38" spans="1:57" ht="13.5" customHeight="1" x14ac:dyDescent="0.2">
      <c r="A38" s="842"/>
      <c r="B38" s="842"/>
      <c r="D38" s="5"/>
      <c r="J38" s="417"/>
      <c r="K38" s="856" t="s">
        <v>61</v>
      </c>
      <c r="L38" s="858" t="s">
        <v>60</v>
      </c>
      <c r="M38" s="375"/>
      <c r="W38" s="868"/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70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V38" s="858" t="s">
        <v>60</v>
      </c>
      <c r="AW38" s="860" t="s">
        <v>61</v>
      </c>
      <c r="BE38" s="855"/>
    </row>
    <row r="39" spans="1:57" ht="12.75" customHeight="1" x14ac:dyDescent="0.2">
      <c r="H39" s="469"/>
      <c r="I39" s="930" t="s">
        <v>62</v>
      </c>
      <c r="J39" s="376"/>
      <c r="K39" s="857"/>
      <c r="L39" s="859"/>
      <c r="M39" s="375"/>
      <c r="W39" s="868"/>
      <c r="X39" s="869"/>
      <c r="Y39" s="869"/>
      <c r="Z39" s="869"/>
      <c r="AA39" s="869"/>
      <c r="AB39" s="869"/>
      <c r="AC39" s="869"/>
      <c r="AD39" s="869"/>
      <c r="AE39" s="869"/>
      <c r="AF39" s="869"/>
      <c r="AG39" s="869"/>
      <c r="AH39" s="869"/>
      <c r="AI39" s="869"/>
      <c r="AJ39" s="870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V39" s="859"/>
      <c r="AW39" s="861"/>
      <c r="AX39" s="370"/>
    </row>
    <row r="40" spans="1:57" ht="12.75" customHeight="1" x14ac:dyDescent="0.2">
      <c r="H40" s="910">
        <f>'Samenvattende telresultaten 2'!AD37</f>
        <v>179</v>
      </c>
      <c r="I40" s="930"/>
      <c r="J40" s="12"/>
      <c r="K40" s="857"/>
      <c r="L40" s="859"/>
      <c r="M40" s="10"/>
      <c r="W40" s="868"/>
      <c r="X40" s="869"/>
      <c r="Y40" s="869"/>
      <c r="Z40" s="869"/>
      <c r="AA40" s="869"/>
      <c r="AB40" s="869"/>
      <c r="AC40" s="869"/>
      <c r="AD40" s="869"/>
      <c r="AE40" s="869"/>
      <c r="AF40" s="869"/>
      <c r="AG40" s="869"/>
      <c r="AH40" s="869"/>
      <c r="AI40" s="869"/>
      <c r="AJ40" s="870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V40" s="859"/>
      <c r="AW40" s="861"/>
    </row>
    <row r="41" spans="1:57" ht="12.75" customHeight="1" x14ac:dyDescent="0.2">
      <c r="H41" s="910"/>
      <c r="I41" s="930"/>
      <c r="J41" s="376"/>
      <c r="K41" s="857"/>
      <c r="L41" s="859"/>
      <c r="M41" s="10"/>
      <c r="W41" s="868"/>
      <c r="X41" s="869"/>
      <c r="Y41" s="869"/>
      <c r="Z41" s="869"/>
      <c r="AA41" s="869"/>
      <c r="AB41" s="869"/>
      <c r="AC41" s="869"/>
      <c r="AD41" s="869"/>
      <c r="AE41" s="869"/>
      <c r="AF41" s="869"/>
      <c r="AG41" s="869"/>
      <c r="AH41" s="869"/>
      <c r="AI41" s="869"/>
      <c r="AJ41" s="870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V41" s="859"/>
      <c r="AW41" s="861"/>
      <c r="AX41" s="370"/>
    </row>
    <row r="42" spans="1:57" ht="13.5" customHeight="1" thickBot="1" x14ac:dyDescent="0.25">
      <c r="D42" s="125"/>
      <c r="E42" s="938">
        <f>H40+H43+H46</f>
        <v>300</v>
      </c>
      <c r="F42" s="938"/>
      <c r="G42" s="938"/>
      <c r="H42" s="468"/>
      <c r="I42" s="931" t="s">
        <v>65</v>
      </c>
      <c r="J42" s="12"/>
      <c r="K42" s="857"/>
      <c r="L42" s="859"/>
      <c r="M42" s="10"/>
      <c r="W42" s="871"/>
      <c r="X42" s="872"/>
      <c r="Y42" s="872"/>
      <c r="Z42" s="872"/>
      <c r="AA42" s="872"/>
      <c r="AB42" s="872"/>
      <c r="AC42" s="872"/>
      <c r="AD42" s="872"/>
      <c r="AE42" s="872"/>
      <c r="AF42" s="872"/>
      <c r="AG42" s="872"/>
      <c r="AH42" s="872"/>
      <c r="AI42" s="872"/>
      <c r="AJ42" s="873"/>
      <c r="AK42" s="5"/>
      <c r="AL42" s="5"/>
      <c r="AM42" s="5"/>
      <c r="AN42" s="5"/>
      <c r="AO42" s="5"/>
      <c r="AP42" s="5"/>
      <c r="AQ42" s="5"/>
      <c r="AR42" s="5"/>
      <c r="AS42" s="5"/>
      <c r="AT42" s="5"/>
      <c r="AV42" s="859"/>
      <c r="AW42" s="861"/>
      <c r="BA42" s="843">
        <f>H43+AQ58+Y18</f>
        <v>981</v>
      </c>
      <c r="BB42" s="843"/>
    </row>
    <row r="43" spans="1:57" ht="13.5" customHeight="1" thickTop="1" x14ac:dyDescent="0.2">
      <c r="D43" s="125"/>
      <c r="E43" s="938"/>
      <c r="F43" s="938"/>
      <c r="G43" s="938"/>
      <c r="H43" s="911">
        <f>'Samenvattende telresultaten 2'!AE37</f>
        <v>13</v>
      </c>
      <c r="I43" s="931"/>
      <c r="J43" s="376"/>
      <c r="K43" s="857"/>
      <c r="L43" s="859"/>
      <c r="M43" s="10"/>
      <c r="X43" s="420"/>
      <c r="Y43" s="420"/>
      <c r="Z43" s="420"/>
      <c r="AA43" s="420"/>
      <c r="AB43" s="420"/>
      <c r="AC43" s="421"/>
      <c r="AD43" s="420"/>
      <c r="AE43" s="420"/>
      <c r="AF43" s="420"/>
      <c r="AG43" s="420"/>
      <c r="AH43" s="420"/>
      <c r="AI43" s="420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V43" s="859"/>
      <c r="AW43" s="861"/>
      <c r="AX43" s="370"/>
      <c r="AZ43" s="143"/>
      <c r="BA43" s="843"/>
      <c r="BB43" s="843"/>
    </row>
    <row r="44" spans="1:57" ht="12.75" customHeight="1" x14ac:dyDescent="0.2">
      <c r="E44" s="938"/>
      <c r="F44" s="938"/>
      <c r="G44" s="938"/>
      <c r="H44" s="911"/>
      <c r="I44" s="931"/>
      <c r="J44" s="12"/>
      <c r="K44" s="857"/>
      <c r="L44" s="859"/>
      <c r="M44" s="10"/>
      <c r="X44" s="420"/>
      <c r="Y44" s="420"/>
      <c r="Z44" s="420"/>
      <c r="AA44" s="420"/>
      <c r="AB44" s="420"/>
      <c r="AC44" s="421"/>
      <c r="AD44" s="420"/>
      <c r="AE44" s="420"/>
      <c r="AF44" s="420"/>
      <c r="AG44" s="420"/>
      <c r="AH44" s="420"/>
      <c r="AI44" s="420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V44" s="859"/>
      <c r="AW44" s="861"/>
      <c r="AZ44" s="143"/>
      <c r="BA44" s="843"/>
      <c r="BB44" s="843"/>
    </row>
    <row r="45" spans="1:57" ht="12.75" customHeight="1" x14ac:dyDescent="0.2">
      <c r="E45" s="938"/>
      <c r="F45" s="938"/>
      <c r="G45" s="938"/>
      <c r="H45" s="467"/>
      <c r="I45" s="932" t="s">
        <v>64</v>
      </c>
      <c r="J45" s="376"/>
      <c r="K45" s="857"/>
      <c r="L45" s="859"/>
      <c r="M45" s="10"/>
      <c r="AD45" s="70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V45" s="859"/>
      <c r="AW45" s="861"/>
      <c r="AX45" s="370"/>
      <c r="BA45" s="843"/>
      <c r="BB45" s="843"/>
    </row>
    <row r="46" spans="1:57" ht="12.75" customHeight="1" x14ac:dyDescent="0.2">
      <c r="H46" s="920">
        <f>'Samenvattende telresultaten 2'!AF37</f>
        <v>108</v>
      </c>
      <c r="I46" s="932"/>
      <c r="K46" s="857"/>
      <c r="L46" s="859"/>
      <c r="M46" s="10"/>
      <c r="AD46" s="70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V46" s="859"/>
      <c r="AW46" s="861"/>
    </row>
    <row r="47" spans="1:57" ht="12.75" customHeight="1" x14ac:dyDescent="0.2">
      <c r="H47" s="920"/>
      <c r="I47" s="932"/>
      <c r="J47" s="370"/>
      <c r="K47" s="857"/>
      <c r="L47" s="859"/>
      <c r="M47" s="10"/>
      <c r="AD47" s="70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V47" s="859"/>
      <c r="AW47" s="861"/>
      <c r="AX47" s="370"/>
    </row>
    <row r="48" spans="1:57" ht="12.75" customHeight="1" x14ac:dyDescent="0.2">
      <c r="H48" s="352"/>
      <c r="I48" s="352"/>
      <c r="L48" s="433"/>
      <c r="M48" s="10"/>
      <c r="AD48" s="70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V48" s="441"/>
    </row>
    <row r="49" spans="2:56" ht="12.75" customHeight="1" thickBot="1" x14ac:dyDescent="0.25">
      <c r="B49" s="5"/>
      <c r="C49" s="5"/>
      <c r="D49" s="5"/>
      <c r="E49" s="72"/>
      <c r="F49" s="72"/>
      <c r="G49" s="72"/>
      <c r="H49" s="72"/>
      <c r="I49" s="72"/>
      <c r="J49" s="372"/>
      <c r="K49" s="431"/>
      <c r="L49" s="436"/>
      <c r="M49" s="37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70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443"/>
      <c r="AW49" s="372"/>
      <c r="AX49" s="372"/>
      <c r="AY49" s="72"/>
      <c r="AZ49" s="72"/>
      <c r="BA49" s="72"/>
      <c r="BB49" s="72"/>
      <c r="BC49" s="5"/>
      <c r="BD49" s="5"/>
    </row>
    <row r="50" spans="2:56" ht="32.1" customHeight="1" thickTop="1" thickBot="1" x14ac:dyDescent="0.25">
      <c r="B50" s="5"/>
      <c r="C50" s="5"/>
      <c r="D50" s="5"/>
      <c r="E50" s="5"/>
      <c r="F50" s="5"/>
      <c r="G50" s="5"/>
      <c r="H50" s="5"/>
      <c r="I50" s="5"/>
      <c r="J50" s="404"/>
      <c r="K50" s="379"/>
      <c r="L50" s="423"/>
      <c r="M50" s="427"/>
      <c r="N50" s="428"/>
      <c r="O50" s="428"/>
      <c r="P50" s="429"/>
      <c r="Q50" s="429"/>
      <c r="R50" s="429"/>
      <c r="S50" s="429"/>
      <c r="T50" s="429"/>
      <c r="U50" s="846" t="s">
        <v>60</v>
      </c>
      <c r="V50" s="846"/>
      <c r="W50" s="846"/>
      <c r="X50" s="846"/>
      <c r="Y50" s="846"/>
      <c r="Z50" s="846"/>
      <c r="AA50" s="846"/>
      <c r="AB50" s="846"/>
      <c r="AC50" s="847"/>
      <c r="AD50" s="850">
        <f>'Samenvattende telresultaten 2'!AP37</f>
        <v>0</v>
      </c>
      <c r="AE50" s="851"/>
      <c r="AF50" s="851"/>
      <c r="AG50" s="851"/>
      <c r="AH50" s="428"/>
      <c r="AI50" s="428"/>
      <c r="AJ50" s="428"/>
      <c r="AK50" s="428"/>
      <c r="AL50" s="428"/>
      <c r="AM50" s="428"/>
      <c r="AN50" s="428"/>
      <c r="AO50" s="428"/>
      <c r="AP50" s="428"/>
      <c r="AQ50" s="428"/>
      <c r="AR50" s="428"/>
      <c r="AS50" s="428"/>
      <c r="AT50" s="428"/>
      <c r="AU50" s="430"/>
      <c r="AV50" s="422"/>
      <c r="AW50" s="404"/>
      <c r="AX50" s="404"/>
      <c r="AY50" s="126"/>
      <c r="AZ50" s="126"/>
      <c r="BA50" s="126"/>
      <c r="BB50" s="126"/>
      <c r="BC50" s="5"/>
      <c r="BD50" s="5"/>
    </row>
    <row r="51" spans="2:56" ht="20.25" customHeight="1" x14ac:dyDescent="0.45">
      <c r="B51" s="5"/>
      <c r="C51" s="5"/>
      <c r="D51" s="5"/>
      <c r="J51" s="5"/>
      <c r="K51" s="5"/>
      <c r="L51" s="424"/>
      <c r="M51" s="369"/>
      <c r="N51" s="382"/>
      <c r="O51" s="369"/>
      <c r="P51" s="375"/>
      <c r="Q51" s="380"/>
      <c r="R51" s="379"/>
      <c r="S51" s="380"/>
      <c r="T51" s="379"/>
      <c r="U51" s="934" t="s">
        <v>61</v>
      </c>
      <c r="V51" s="934"/>
      <c r="W51" s="934"/>
      <c r="X51" s="934"/>
      <c r="Y51" s="934"/>
      <c r="Z51" s="934"/>
      <c r="AA51" s="934"/>
      <c r="AB51" s="934"/>
      <c r="AC51" s="935"/>
      <c r="AD51" s="936">
        <f>'Samenvattende telresultaten 2'!AU37</f>
        <v>0</v>
      </c>
      <c r="AE51" s="937"/>
      <c r="AF51" s="937"/>
      <c r="AG51" s="937"/>
      <c r="AH51" s="5"/>
      <c r="AI51" s="369"/>
      <c r="AJ51" s="5"/>
      <c r="AK51" s="369"/>
      <c r="AL51" s="5"/>
      <c r="AM51" s="369"/>
      <c r="AN51" s="5"/>
      <c r="AO51" s="369"/>
      <c r="AP51" s="5"/>
      <c r="AQ51" s="369"/>
      <c r="AR51" s="379"/>
      <c r="AS51" s="369"/>
      <c r="AT51" s="5"/>
      <c r="AU51" s="370"/>
      <c r="AV51" s="405"/>
      <c r="AW51" s="5"/>
      <c r="AX51" s="5"/>
      <c r="AY51" s="5"/>
      <c r="AZ51" s="5"/>
      <c r="BC51" s="5"/>
    </row>
    <row r="52" spans="2:56" ht="13.5" customHeight="1" x14ac:dyDescent="0.4">
      <c r="B52" s="5"/>
      <c r="C52" s="5"/>
      <c r="D52" s="5"/>
      <c r="J52" s="5"/>
      <c r="K52" s="5"/>
      <c r="L52" s="424"/>
      <c r="M52" s="369"/>
      <c r="N52" s="382"/>
      <c r="O52" s="411"/>
      <c r="P52" s="412"/>
      <c r="Q52" s="413"/>
      <c r="R52" s="414"/>
      <c r="S52" s="413"/>
      <c r="T52" s="414"/>
      <c r="U52" s="369"/>
      <c r="V52" s="379"/>
      <c r="W52" s="369"/>
      <c r="X52" s="379"/>
      <c r="Y52" s="369"/>
      <c r="Z52" s="379"/>
      <c r="AA52" s="369"/>
      <c r="AB52" s="382"/>
      <c r="AC52" s="369"/>
      <c r="AD52" s="70"/>
      <c r="AE52" s="369"/>
      <c r="AF52" s="5"/>
      <c r="AG52" s="380"/>
      <c r="AH52" s="5"/>
      <c r="AI52" s="369"/>
      <c r="AJ52" s="5"/>
      <c r="AK52" s="369"/>
      <c r="AL52" s="5"/>
      <c r="AM52" s="369"/>
      <c r="AN52" s="5"/>
      <c r="AO52" s="369"/>
      <c r="AP52" s="5"/>
      <c r="AQ52" s="369"/>
      <c r="AR52" s="379"/>
      <c r="AS52" s="369"/>
      <c r="AT52" s="5"/>
      <c r="AU52" s="370"/>
      <c r="AV52" s="405"/>
      <c r="AW52" s="5"/>
      <c r="AX52" s="5"/>
      <c r="AY52" s="5"/>
      <c r="AZ52" s="5"/>
      <c r="BC52" s="5"/>
    </row>
    <row r="53" spans="2:56" ht="13.5" customHeight="1" x14ac:dyDescent="0.2">
      <c r="J53" s="5"/>
      <c r="K53" s="5"/>
      <c r="L53" s="424"/>
      <c r="M53" s="369"/>
      <c r="N53" s="382"/>
      <c r="O53" s="369"/>
      <c r="P53" s="375"/>
      <c r="Q53" s="380"/>
      <c r="R53" s="379"/>
      <c r="S53" s="380"/>
      <c r="T53" s="379"/>
      <c r="U53" s="369"/>
      <c r="V53" s="379"/>
      <c r="W53" s="369"/>
      <c r="X53" s="379"/>
      <c r="Y53" s="369"/>
      <c r="Z53" s="379"/>
      <c r="AA53" s="369"/>
      <c r="AB53" s="382"/>
      <c r="AC53" s="369"/>
      <c r="AD53" s="70"/>
      <c r="AE53" s="369"/>
      <c r="AF53" s="5"/>
      <c r="AG53" s="380"/>
      <c r="AH53" s="5"/>
      <c r="AI53" s="369"/>
      <c r="AJ53" s="5"/>
      <c r="AK53" s="369"/>
      <c r="AL53" s="5"/>
      <c r="AM53" s="369"/>
      <c r="AN53" s="5"/>
      <c r="AO53" s="369"/>
      <c r="AP53" s="5"/>
      <c r="AQ53" s="369"/>
      <c r="AR53" s="379"/>
      <c r="AS53" s="369"/>
      <c r="AT53" s="5"/>
      <c r="AU53" s="370"/>
      <c r="AV53" s="405"/>
      <c r="AW53" s="5"/>
      <c r="AX53" s="5"/>
      <c r="AY53" s="5"/>
      <c r="AZ53" s="5"/>
    </row>
    <row r="54" spans="2:56" ht="6.95" customHeight="1" x14ac:dyDescent="0.2">
      <c r="G54" s="360"/>
      <c r="H54" s="362"/>
      <c r="I54" s="362"/>
      <c r="J54" s="5"/>
      <c r="K54" s="5"/>
      <c r="L54" s="424"/>
      <c r="M54" s="369"/>
      <c r="N54" s="379"/>
      <c r="O54" s="369"/>
      <c r="P54" s="375"/>
      <c r="Q54" s="380"/>
      <c r="R54" s="379"/>
      <c r="S54" s="380"/>
      <c r="T54" s="379"/>
      <c r="U54" s="369"/>
      <c r="V54" s="379"/>
      <c r="W54" s="369"/>
      <c r="X54" s="379"/>
      <c r="Y54" s="369"/>
      <c r="Z54" s="379"/>
      <c r="AA54" s="369"/>
      <c r="AB54" s="382"/>
      <c r="AC54" s="369"/>
      <c r="AD54" s="70"/>
      <c r="AE54" s="369"/>
      <c r="AF54" s="5"/>
      <c r="AG54" s="380"/>
      <c r="AH54" s="5"/>
      <c r="AI54" s="369"/>
      <c r="AJ54" s="5"/>
      <c r="AK54" s="369"/>
      <c r="AL54" s="5"/>
      <c r="AM54" s="369"/>
      <c r="AN54" s="5"/>
      <c r="AO54" s="369"/>
      <c r="AP54" s="5"/>
      <c r="AQ54" s="369"/>
      <c r="AR54" s="379"/>
      <c r="AS54" s="369"/>
      <c r="AT54" s="5"/>
      <c r="AU54" s="370"/>
      <c r="AV54" s="405"/>
      <c r="AW54" s="5"/>
      <c r="AX54" s="5"/>
      <c r="AY54" s="5"/>
      <c r="AZ54" s="367"/>
      <c r="BA54" s="360"/>
    </row>
    <row r="55" spans="2:56" ht="7.5" customHeight="1" x14ac:dyDescent="0.2">
      <c r="G55" s="360"/>
      <c r="H55" s="362"/>
      <c r="I55" s="362"/>
      <c r="J55" s="5"/>
      <c r="K55" s="5"/>
      <c r="L55" s="424"/>
      <c r="M55" s="5"/>
      <c r="N55" s="379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70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V55" s="406"/>
      <c r="AW55" s="5"/>
      <c r="AX55" s="5"/>
      <c r="AY55" s="5"/>
      <c r="AZ55" s="367"/>
      <c r="BA55" s="360"/>
    </row>
    <row r="56" spans="2:56" ht="19.5" customHeight="1" x14ac:dyDescent="0.2">
      <c r="G56" s="361"/>
      <c r="H56" s="363"/>
      <c r="I56" s="363"/>
      <c r="J56" s="5"/>
      <c r="K56" s="5"/>
      <c r="L56" s="42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70"/>
      <c r="AE56" s="852" t="s">
        <v>66</v>
      </c>
      <c r="AF56" s="933"/>
      <c r="AG56" s="933"/>
      <c r="AH56" s="933"/>
      <c r="AI56" s="5"/>
      <c r="AJ56" s="5"/>
      <c r="AK56" s="928" t="s">
        <v>63</v>
      </c>
      <c r="AL56" s="929"/>
      <c r="AM56" s="929"/>
      <c r="AN56" s="929"/>
      <c r="AO56" s="5"/>
      <c r="AP56" s="5"/>
      <c r="AQ56" s="845" t="s">
        <v>67</v>
      </c>
      <c r="AR56" s="924"/>
      <c r="AS56" s="924"/>
      <c r="AT56" s="924"/>
      <c r="AV56" s="406"/>
      <c r="AW56" s="5"/>
      <c r="AX56" s="5"/>
      <c r="AY56" s="5"/>
      <c r="AZ56" s="367"/>
      <c r="BA56" s="361"/>
    </row>
    <row r="57" spans="2:56" ht="12.75" customHeight="1" x14ac:dyDescent="0.2">
      <c r="J57" s="5"/>
      <c r="K57" s="5"/>
      <c r="L57" s="42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415"/>
      <c r="AE57" s="933"/>
      <c r="AF57" s="933"/>
      <c r="AG57" s="933"/>
      <c r="AH57" s="933"/>
      <c r="AI57" s="350"/>
      <c r="AJ57" s="350"/>
      <c r="AK57" s="929"/>
      <c r="AL57" s="929"/>
      <c r="AM57" s="929"/>
      <c r="AN57" s="929"/>
      <c r="AO57" s="350"/>
      <c r="AP57" s="350"/>
      <c r="AQ57" s="924"/>
      <c r="AR57" s="924"/>
      <c r="AS57" s="924"/>
      <c r="AT57" s="924"/>
      <c r="AU57" s="922"/>
      <c r="AV57" s="407"/>
      <c r="AW57" s="352"/>
      <c r="AX57" s="352"/>
      <c r="AY57" s="352"/>
      <c r="AZ57" s="5"/>
    </row>
    <row r="58" spans="2:56" ht="12.75" customHeight="1" x14ac:dyDescent="0.2">
      <c r="G58" s="360"/>
      <c r="H58" s="364"/>
      <c r="I58" s="364"/>
      <c r="J58" s="5"/>
      <c r="K58" s="5"/>
      <c r="L58" s="42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415"/>
      <c r="AE58" s="910">
        <f>'Samenvattende telresultaten 2'!AG37</f>
        <v>0</v>
      </c>
      <c r="AF58" s="910"/>
      <c r="AG58" s="910"/>
      <c r="AH58" s="910"/>
      <c r="AI58" s="350"/>
      <c r="AJ58" s="350"/>
      <c r="AK58" s="911">
        <f>'Samenvattende telresultaten 2'!AH37</f>
        <v>1028</v>
      </c>
      <c r="AL58" s="911"/>
      <c r="AM58" s="911"/>
      <c r="AN58" s="911"/>
      <c r="AO58" s="350"/>
      <c r="AP58" s="350"/>
      <c r="AQ58" s="920">
        <f>'Samenvattende telresultaten 2'!AI37</f>
        <v>663</v>
      </c>
      <c r="AR58" s="920"/>
      <c r="AS58" s="920"/>
      <c r="AT58" s="920"/>
      <c r="AU58" s="922"/>
      <c r="AV58" s="407"/>
      <c r="AW58" s="352"/>
      <c r="AX58" s="352"/>
      <c r="AY58" s="352"/>
      <c r="AZ58" s="368"/>
      <c r="BA58" s="360"/>
    </row>
    <row r="59" spans="2:56" ht="18.75" customHeight="1" x14ac:dyDescent="0.2">
      <c r="G59" s="360"/>
      <c r="H59" s="364"/>
      <c r="I59" s="364"/>
      <c r="J59" s="5"/>
      <c r="K59" s="5"/>
      <c r="L59" s="424"/>
      <c r="M59" s="5"/>
      <c r="N59" s="5"/>
      <c r="O59" s="5"/>
      <c r="P59" s="5"/>
      <c r="Q59" s="5"/>
      <c r="R59" s="12"/>
      <c r="S59" s="12"/>
      <c r="T59" s="12"/>
      <c r="U59" s="12"/>
      <c r="V59" s="12"/>
      <c r="W59" s="12"/>
      <c r="X59" s="12"/>
      <c r="Y59" s="12"/>
      <c r="Z59" s="5"/>
      <c r="AA59" s="5"/>
      <c r="AB59" s="5"/>
      <c r="AC59" s="5"/>
      <c r="AD59" s="70"/>
      <c r="AE59" s="910"/>
      <c r="AF59" s="910"/>
      <c r="AG59" s="910"/>
      <c r="AH59" s="910"/>
      <c r="AI59" s="5"/>
      <c r="AJ59" s="5"/>
      <c r="AK59" s="911"/>
      <c r="AL59" s="911"/>
      <c r="AM59" s="911"/>
      <c r="AN59" s="911"/>
      <c r="AO59" s="5"/>
      <c r="AP59" s="5"/>
      <c r="AQ59" s="920"/>
      <c r="AR59" s="920"/>
      <c r="AS59" s="920"/>
      <c r="AT59" s="920"/>
      <c r="AV59" s="406"/>
      <c r="AW59" s="5"/>
      <c r="AX59" s="5"/>
      <c r="AY59" s="5"/>
      <c r="AZ59" s="368"/>
      <c r="BA59" s="360"/>
    </row>
    <row r="60" spans="2:56" ht="18.75" customHeight="1" x14ac:dyDescent="0.2">
      <c r="G60" s="360"/>
      <c r="H60" s="364"/>
      <c r="I60" s="364"/>
      <c r="J60" s="5"/>
      <c r="K60" s="5"/>
      <c r="L60" s="424"/>
      <c r="M60" s="5"/>
      <c r="N60" s="5"/>
      <c r="O60" s="5"/>
      <c r="P60" s="5"/>
      <c r="Q60" s="5"/>
      <c r="R60" s="12"/>
      <c r="S60" s="12"/>
      <c r="T60" s="12"/>
      <c r="U60" s="12"/>
      <c r="V60" s="12"/>
      <c r="W60" s="12"/>
      <c r="X60" s="12"/>
      <c r="Y60" s="12"/>
      <c r="Z60" s="5"/>
      <c r="AA60" s="5"/>
      <c r="AB60" s="5"/>
      <c r="AC60" s="5"/>
      <c r="AD60" s="70"/>
      <c r="AE60" s="350"/>
      <c r="AF60" s="350"/>
      <c r="AG60" s="350"/>
      <c r="AH60" s="350"/>
      <c r="AI60" s="5"/>
      <c r="AJ60" s="5"/>
      <c r="AK60" s="350"/>
      <c r="AL60" s="350"/>
      <c r="AM60" s="350"/>
      <c r="AN60" s="350"/>
      <c r="AO60" s="5"/>
      <c r="AP60" s="5"/>
      <c r="AQ60" s="350"/>
      <c r="AR60" s="350"/>
      <c r="AS60" s="350"/>
      <c r="AT60" s="350"/>
      <c r="AV60" s="406"/>
      <c r="AW60" s="5"/>
      <c r="AX60" s="5"/>
      <c r="AY60" s="5"/>
      <c r="AZ60" s="368"/>
      <c r="BA60" s="360"/>
    </row>
    <row r="61" spans="2:56" ht="18.75" customHeight="1" x14ac:dyDescent="0.2">
      <c r="G61" s="360"/>
      <c r="H61" s="364"/>
      <c r="I61" s="364"/>
      <c r="J61" s="5"/>
      <c r="K61" s="5"/>
      <c r="L61" s="424"/>
      <c r="M61" s="5"/>
      <c r="N61" s="5"/>
      <c r="O61" s="5"/>
      <c r="P61" s="5"/>
      <c r="Q61" s="5"/>
      <c r="R61" s="926">
        <f>AZ35+S18+H46</f>
        <v>931</v>
      </c>
      <c r="S61" s="926"/>
      <c r="T61" s="926"/>
      <c r="U61" s="926"/>
      <c r="V61" s="926"/>
      <c r="W61" s="926"/>
      <c r="X61" s="926"/>
      <c r="Y61" s="12"/>
      <c r="Z61" s="5"/>
      <c r="AA61" s="5"/>
      <c r="AB61" s="5"/>
      <c r="AC61" s="5"/>
      <c r="AD61" s="70"/>
      <c r="AE61" s="350"/>
      <c r="AF61" s="350"/>
      <c r="AG61" s="350"/>
      <c r="AH61" s="350"/>
      <c r="AI61" s="939">
        <f>AE58+AK58+AQ58</f>
        <v>1691</v>
      </c>
      <c r="AJ61" s="939"/>
      <c r="AK61" s="939"/>
      <c r="AL61" s="939"/>
      <c r="AM61" s="939"/>
      <c r="AN61" s="939"/>
      <c r="AO61" s="939"/>
      <c r="AP61" s="939"/>
      <c r="AQ61" s="350"/>
      <c r="AR61" s="350"/>
      <c r="AS61" s="350"/>
      <c r="AT61" s="350"/>
      <c r="AV61" s="406"/>
      <c r="AW61" s="5"/>
      <c r="AX61" s="5"/>
      <c r="AY61" s="5"/>
      <c r="AZ61" s="368"/>
      <c r="BA61" s="360"/>
    </row>
    <row r="62" spans="2:56" ht="12.75" customHeight="1" x14ac:dyDescent="0.2">
      <c r="J62" s="5"/>
      <c r="K62" s="5"/>
      <c r="L62" s="424"/>
      <c r="M62" s="5"/>
      <c r="N62" s="5"/>
      <c r="O62" s="5"/>
      <c r="P62" s="5"/>
      <c r="Q62" s="5"/>
      <c r="R62" s="926"/>
      <c r="S62" s="926"/>
      <c r="T62" s="926"/>
      <c r="U62" s="926"/>
      <c r="V62" s="926"/>
      <c r="W62" s="926"/>
      <c r="X62" s="926"/>
      <c r="Y62" s="12"/>
      <c r="Z62" s="5"/>
      <c r="AA62" s="5"/>
      <c r="AB62" s="5"/>
      <c r="AC62" s="5"/>
      <c r="AD62" s="76"/>
      <c r="AE62" s="375"/>
      <c r="AF62" s="375"/>
      <c r="AG62" s="375"/>
      <c r="AH62" s="375"/>
      <c r="AI62" s="939"/>
      <c r="AJ62" s="939"/>
      <c r="AK62" s="939"/>
      <c r="AL62" s="939"/>
      <c r="AM62" s="939"/>
      <c r="AN62" s="939"/>
      <c r="AO62" s="939"/>
      <c r="AP62" s="939"/>
      <c r="AQ62" s="12"/>
      <c r="AR62" s="12"/>
      <c r="AS62" s="12"/>
      <c r="AT62" s="12"/>
      <c r="AU62" s="78"/>
      <c r="AV62" s="408"/>
      <c r="AW62" s="401"/>
      <c r="AX62" s="401"/>
      <c r="AY62" s="77"/>
      <c r="AZ62" s="5"/>
    </row>
    <row r="63" spans="2:56" ht="12.75" customHeight="1" x14ac:dyDescent="0.2">
      <c r="D63" s="919"/>
      <c r="E63" s="919"/>
      <c r="F63" s="131"/>
      <c r="G63" s="135"/>
      <c r="H63" s="132"/>
      <c r="I63" s="132"/>
      <c r="J63" s="132"/>
      <c r="K63" s="132"/>
      <c r="L63" s="425"/>
      <c r="M63" s="132"/>
      <c r="N63" s="132"/>
      <c r="O63" s="5"/>
      <c r="P63" s="5"/>
      <c r="Q63" s="5"/>
      <c r="R63" s="12"/>
      <c r="S63" s="12"/>
      <c r="T63" s="12"/>
      <c r="U63" s="12"/>
      <c r="V63" s="12"/>
      <c r="W63" s="12"/>
      <c r="X63" s="12"/>
      <c r="Y63" s="12"/>
      <c r="Z63" s="5"/>
      <c r="AA63" s="5"/>
      <c r="AB63" s="5"/>
      <c r="AC63" s="5"/>
      <c r="AD63" s="70"/>
      <c r="AE63" s="416"/>
      <c r="AF63" s="351"/>
      <c r="AG63" s="351"/>
      <c r="AH63" s="351"/>
      <c r="AI63" s="351"/>
      <c r="AJ63" s="12"/>
      <c r="AK63" s="12"/>
      <c r="AL63" s="12"/>
      <c r="AM63" s="12"/>
      <c r="AN63" s="12"/>
      <c r="AO63" s="12"/>
      <c r="AP63" s="12"/>
      <c r="AQ63" s="351"/>
      <c r="AR63" s="351"/>
      <c r="AS63" s="351"/>
      <c r="AT63" s="351"/>
      <c r="AU63" s="125"/>
      <c r="AV63" s="409"/>
      <c r="AW63" s="402"/>
      <c r="AX63" s="402"/>
      <c r="AY63" s="5"/>
      <c r="AZ63" s="135"/>
      <c r="BA63" s="909"/>
      <c r="BB63" s="909"/>
    </row>
    <row r="64" spans="2:56" ht="23.25" x14ac:dyDescent="0.2">
      <c r="G64" s="355"/>
      <c r="H64" s="355"/>
      <c r="I64" s="355"/>
      <c r="J64" s="5"/>
      <c r="K64" s="5"/>
      <c r="L64" s="6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70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418"/>
      <c r="AV64" s="403"/>
      <c r="AW64" s="403"/>
      <c r="AX64" s="403"/>
      <c r="AY64" s="5"/>
      <c r="AZ64" s="12"/>
      <c r="BA64" s="12"/>
    </row>
    <row r="66" spans="2:51" ht="14.1" customHeight="1" x14ac:dyDescent="0.2"/>
    <row r="67" spans="2:51" ht="12.75" customHeight="1" x14ac:dyDescent="0.2">
      <c r="Q67" s="927" t="str">
        <f>'Licht vervoer'!J6</f>
        <v>N26 komende van N26a</v>
      </c>
      <c r="R67" s="927"/>
      <c r="S67" s="927"/>
      <c r="T67" s="927"/>
      <c r="U67" s="927"/>
      <c r="V67" s="927"/>
      <c r="W67" s="927"/>
      <c r="X67" s="927"/>
      <c r="Y67" s="927"/>
      <c r="Z67" s="927"/>
      <c r="AA67" s="927"/>
      <c r="AB67" s="927"/>
      <c r="AC67" s="927"/>
      <c r="AD67" s="927"/>
      <c r="AE67" s="927"/>
      <c r="AF67" s="927"/>
      <c r="AG67" s="927"/>
      <c r="AH67" s="927"/>
      <c r="AI67" s="927"/>
      <c r="AJ67" s="927"/>
      <c r="AK67" s="927"/>
      <c r="AL67" s="927"/>
      <c r="AM67" s="927"/>
      <c r="AN67" s="927"/>
      <c r="AO67" s="927"/>
      <c r="AP67" s="927"/>
      <c r="AQ67" s="927"/>
    </row>
    <row r="68" spans="2:51" ht="18" customHeight="1" x14ac:dyDescent="0.35">
      <c r="B68" s="151"/>
      <c r="C68" s="152"/>
      <c r="D68" s="151"/>
      <c r="E68" s="153"/>
      <c r="F68" s="159"/>
      <c r="G68" s="160"/>
      <c r="H68" s="160"/>
      <c r="I68" s="160"/>
      <c r="J68" s="161"/>
      <c r="K68" s="161"/>
      <c r="L68" s="161"/>
      <c r="M68" s="161"/>
      <c r="N68" s="161"/>
      <c r="O68" s="161"/>
      <c r="P68" s="161"/>
      <c r="Q68" s="927"/>
      <c r="R68" s="927"/>
      <c r="S68" s="927"/>
      <c r="T68" s="927"/>
      <c r="U68" s="927"/>
      <c r="V68" s="927"/>
      <c r="W68" s="927"/>
      <c r="X68" s="927"/>
      <c r="Y68" s="927"/>
      <c r="Z68" s="927"/>
      <c r="AA68" s="927"/>
      <c r="AB68" s="927"/>
      <c r="AC68" s="927"/>
      <c r="AD68" s="927"/>
      <c r="AE68" s="927"/>
      <c r="AF68" s="927"/>
      <c r="AG68" s="927"/>
      <c r="AH68" s="927"/>
      <c r="AI68" s="927"/>
      <c r="AJ68" s="927"/>
      <c r="AK68" s="927"/>
      <c r="AL68" s="927"/>
      <c r="AM68" s="927"/>
      <c r="AN68" s="927"/>
      <c r="AO68" s="927"/>
      <c r="AP68" s="927"/>
      <c r="AQ68" s="927"/>
      <c r="AR68" s="161"/>
      <c r="AS68" s="161"/>
      <c r="AT68" s="161"/>
      <c r="AU68" s="161"/>
      <c r="AV68" s="161"/>
      <c r="AW68" s="161"/>
      <c r="AX68" s="161"/>
      <c r="AY68" s="161"/>
    </row>
    <row r="69" spans="2:51" ht="16.5" x14ac:dyDescent="0.35">
      <c r="B69" s="150"/>
      <c r="C69" s="150"/>
      <c r="D69" s="150"/>
      <c r="E69" s="150"/>
      <c r="F69" s="154"/>
      <c r="G69" s="44"/>
      <c r="H69" s="15"/>
      <c r="I69" s="15"/>
      <c r="J69" s="41"/>
      <c r="K69" s="41"/>
      <c r="L69" s="41"/>
      <c r="M69" s="41"/>
      <c r="N69" s="41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44"/>
      <c r="AV69" s="44"/>
      <c r="AW69" s="44"/>
      <c r="AX69" s="44"/>
      <c r="AY69" s="15"/>
    </row>
    <row r="70" spans="2:51" ht="16.5" x14ac:dyDescent="0.35">
      <c r="B70" s="150"/>
      <c r="C70" s="150"/>
      <c r="D70" s="150"/>
      <c r="E70" s="150"/>
      <c r="F70" s="41"/>
      <c r="G70" s="44"/>
      <c r="H70" s="15"/>
      <c r="I70" s="15"/>
      <c r="J70" s="155"/>
      <c r="K70" s="155"/>
      <c r="L70" s="155"/>
      <c r="M70" s="155"/>
      <c r="N70" s="155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44"/>
      <c r="AV70" s="44"/>
      <c r="AW70" s="44"/>
      <c r="AX70" s="44"/>
      <c r="AY70" s="15"/>
    </row>
    <row r="71" spans="2:51" ht="16.5" x14ac:dyDescent="0.35">
      <c r="B71" s="156"/>
      <c r="C71" s="150"/>
      <c r="D71" s="162"/>
      <c r="E71" s="157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</row>
    <row r="72" spans="2:51" ht="16.5" x14ac:dyDescent="0.35">
      <c r="B72" s="156"/>
      <c r="C72" s="150"/>
      <c r="D72" s="162"/>
      <c r="E72" s="157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</row>
    <row r="73" spans="2:51" ht="16.5" x14ac:dyDescent="0.35">
      <c r="B73" s="156"/>
      <c r="C73" s="150"/>
      <c r="D73" s="162"/>
      <c r="E73" s="157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</row>
    <row r="74" spans="2:51" ht="16.5" x14ac:dyDescent="0.35">
      <c r="B74" s="156"/>
      <c r="C74" s="150"/>
      <c r="D74" s="162"/>
      <c r="E74" s="157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</row>
    <row r="75" spans="2:51" ht="16.5" x14ac:dyDescent="0.35">
      <c r="B75" s="156"/>
      <c r="C75" s="150"/>
      <c r="D75" s="162"/>
      <c r="E75" s="157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</row>
    <row r="76" spans="2:51" ht="16.5" x14ac:dyDescent="0.35">
      <c r="B76" s="156"/>
      <c r="C76" s="150"/>
      <c r="D76" s="162"/>
      <c r="E76" s="157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</row>
    <row r="77" spans="2:51" ht="16.5" x14ac:dyDescent="0.35">
      <c r="B77" s="156"/>
      <c r="C77" s="150"/>
      <c r="D77" s="162"/>
      <c r="E77" s="157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</row>
    <row r="78" spans="2:51" ht="16.5" x14ac:dyDescent="0.35">
      <c r="B78" s="156"/>
      <c r="C78" s="150"/>
      <c r="D78" s="162"/>
      <c r="E78" s="157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</row>
  </sheetData>
  <sheetProtection selectLockedCells="1"/>
  <mergeCells count="88">
    <mergeCell ref="Q67:AQ68"/>
    <mergeCell ref="Q9:AQ10"/>
    <mergeCell ref="A37:B38"/>
    <mergeCell ref="BE37:BE38"/>
    <mergeCell ref="K38:K47"/>
    <mergeCell ref="L38:L47"/>
    <mergeCell ref="AV38:AV47"/>
    <mergeCell ref="AW38:AW47"/>
    <mergeCell ref="AW34:AW37"/>
    <mergeCell ref="AZ35:AZ36"/>
    <mergeCell ref="H46:H47"/>
    <mergeCell ref="H43:H44"/>
    <mergeCell ref="AY28:AY30"/>
    <mergeCell ref="AY31:AY33"/>
    <mergeCell ref="AY34:AY36"/>
    <mergeCell ref="AE56:AH57"/>
    <mergeCell ref="AV34:AV37"/>
    <mergeCell ref="E31:G33"/>
    <mergeCell ref="I45:I47"/>
    <mergeCell ref="S18:W19"/>
    <mergeCell ref="Q14:Y16"/>
    <mergeCell ref="AH14:AQ16"/>
    <mergeCell ref="AE17:AE18"/>
    <mergeCell ref="N18:Q19"/>
    <mergeCell ref="Y18:AB19"/>
    <mergeCell ref="K34:K37"/>
    <mergeCell ref="L34:L37"/>
    <mergeCell ref="W33:AJ42"/>
    <mergeCell ref="H40:H41"/>
    <mergeCell ref="I39:I41"/>
    <mergeCell ref="I42:I44"/>
    <mergeCell ref="B1:BC1"/>
    <mergeCell ref="B3:D3"/>
    <mergeCell ref="B4:D4"/>
    <mergeCell ref="AQ3:AW3"/>
    <mergeCell ref="AY3:BC3"/>
    <mergeCell ref="O3:AD4"/>
    <mergeCell ref="B2:AY2"/>
    <mergeCell ref="AZ2:BC2"/>
    <mergeCell ref="AY4:BC4"/>
    <mergeCell ref="E3:I3"/>
    <mergeCell ref="E4:I4"/>
    <mergeCell ref="B7:D7"/>
    <mergeCell ref="B6:D6"/>
    <mergeCell ref="O5:AD5"/>
    <mergeCell ref="O6:AD6"/>
    <mergeCell ref="B5:D5"/>
    <mergeCell ref="O7:AD7"/>
    <mergeCell ref="E5:I5"/>
    <mergeCell ref="E6:I6"/>
    <mergeCell ref="E7:I8"/>
    <mergeCell ref="AY5:BC5"/>
    <mergeCell ref="AY6:BC6"/>
    <mergeCell ref="AQ6:AW6"/>
    <mergeCell ref="AF5:AP5"/>
    <mergeCell ref="AF6:AP6"/>
    <mergeCell ref="AY7:BC8"/>
    <mergeCell ref="BA24:BB24"/>
    <mergeCell ref="T20:V21"/>
    <mergeCell ref="AZ28:AZ30"/>
    <mergeCell ref="BA31:BB33"/>
    <mergeCell ref="AF7:AP7"/>
    <mergeCell ref="O8:AD8"/>
    <mergeCell ref="AZ31:AZ33"/>
    <mergeCell ref="AQ7:AW7"/>
    <mergeCell ref="AF8:AP8"/>
    <mergeCell ref="U26:AC26"/>
    <mergeCell ref="N20:P21"/>
    <mergeCell ref="AD51:AG51"/>
    <mergeCell ref="AD25:AG25"/>
    <mergeCell ref="AD50:AG50"/>
    <mergeCell ref="AD26:AG26"/>
    <mergeCell ref="Y20:AB21"/>
    <mergeCell ref="U25:AC25"/>
    <mergeCell ref="BA42:BB45"/>
    <mergeCell ref="R61:X62"/>
    <mergeCell ref="D63:E63"/>
    <mergeCell ref="BA63:BB63"/>
    <mergeCell ref="AE58:AH59"/>
    <mergeCell ref="E42:G45"/>
    <mergeCell ref="AI61:AP62"/>
    <mergeCell ref="AU57:AU58"/>
    <mergeCell ref="AK58:AN59"/>
    <mergeCell ref="AQ58:AT59"/>
    <mergeCell ref="AQ56:AT57"/>
    <mergeCell ref="AK56:AN57"/>
    <mergeCell ref="U50:AC50"/>
    <mergeCell ref="U51:AC51"/>
  </mergeCells>
  <phoneticPr fontId="2" type="noConversion"/>
  <pageMargins left="0.17" right="0.16" top="0.38" bottom="0.17" header="0.5" footer="0.18"/>
  <pageSetup paperSize="9" scale="50" orientation="landscape" r:id="rId1"/>
  <headerFooter alignWithMargins="0">
    <oddFooter>&amp;LKwaliteitssysteem AWV
F-EVT-PP03-11 Geldig vanaf 01-05-2011 Versie 1.0</oddFooter>
  </headerFooter>
  <rowBreaks count="1" manualBreakCount="1">
    <brk id="68" max="56" man="1"/>
  </rowBreaks>
  <colBreaks count="1" manualBreakCount="1">
    <brk id="57" max="6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26" r:id="rId4" name="Check Box 330">
              <controlPr defaultSize="0" autoFill="0" autoLine="0" autoPict="0">
                <anchor moveWithCells="1">
                  <from>
                    <xdr:col>30</xdr:col>
                    <xdr:colOff>76200</xdr:colOff>
                    <xdr:row>4</xdr:row>
                    <xdr:rowOff>66675</xdr:rowOff>
                  </from>
                  <to>
                    <xdr:col>32</xdr:col>
                    <xdr:colOff>57150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5" name="Check Box 331">
              <controlPr defaultSize="0" autoFill="0" autoLine="0" autoPict="0">
                <anchor moveWithCells="1">
                  <from>
                    <xdr:col>30</xdr:col>
                    <xdr:colOff>85725</xdr:colOff>
                    <xdr:row>5</xdr:row>
                    <xdr:rowOff>47625</xdr:rowOff>
                  </from>
                  <to>
                    <xdr:col>32</xdr:col>
                    <xdr:colOff>66675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6" name="Check Box 332">
              <controlPr defaultSize="0" autoFill="0" autoLine="0" autoPict="0">
                <anchor moveWithCells="1">
                  <from>
                    <xdr:col>30</xdr:col>
                    <xdr:colOff>85725</xdr:colOff>
                    <xdr:row>6</xdr:row>
                    <xdr:rowOff>28575</xdr:rowOff>
                  </from>
                  <to>
                    <xdr:col>32</xdr:col>
                    <xdr:colOff>66675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7" name="Check Box 333">
              <controlPr defaultSize="0" autoFill="0" autoLine="0" autoPict="0">
                <anchor moveWithCells="1">
                  <from>
                    <xdr:col>30</xdr:col>
                    <xdr:colOff>85725</xdr:colOff>
                    <xdr:row>7</xdr:row>
                    <xdr:rowOff>28575</xdr:rowOff>
                  </from>
                  <to>
                    <xdr:col>32</xdr:col>
                    <xdr:colOff>66675</xdr:colOff>
                    <xdr:row>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AW53"/>
  <sheetViews>
    <sheetView topLeftCell="B1" workbookViewId="0">
      <selection activeCell="O22" sqref="O22"/>
    </sheetView>
  </sheetViews>
  <sheetFormatPr defaultRowHeight="12.75" x14ac:dyDescent="0.2"/>
  <cols>
    <col min="2" max="2" width="6.42578125" customWidth="1"/>
    <col min="3" max="3" width="6.7109375" customWidth="1"/>
    <col min="4" max="4" width="3.7109375" customWidth="1"/>
    <col min="5" max="5" width="6.7109375" customWidth="1"/>
    <col min="28" max="28" width="13.28515625" bestFit="1" customWidth="1"/>
    <col min="29" max="29" width="9.42578125" customWidth="1"/>
    <col min="42" max="42" width="10.7109375" bestFit="1" customWidth="1"/>
  </cols>
  <sheetData>
    <row r="1" spans="1:49" ht="13.5" thickBot="1" x14ac:dyDescent="0.25"/>
    <row r="2" spans="1:49" ht="18" x14ac:dyDescent="0.35">
      <c r="B2" s="23" t="s">
        <v>25</v>
      </c>
      <c r="C2" s="115">
        <f>'Licht vervoer'!B10</f>
        <v>0.29166666666666669</v>
      </c>
      <c r="D2" s="24" t="s">
        <v>26</v>
      </c>
      <c r="E2" s="60">
        <f>'Licht vervoer'!E10</f>
        <v>0.37500000000000017</v>
      </c>
      <c r="F2" s="963" t="s">
        <v>14</v>
      </c>
      <c r="G2" s="964"/>
      <c r="H2" s="965"/>
      <c r="I2" s="950" t="s">
        <v>15</v>
      </c>
      <c r="J2" s="951"/>
      <c r="K2" s="952"/>
      <c r="L2" s="950" t="s">
        <v>16</v>
      </c>
      <c r="M2" s="951"/>
      <c r="N2" s="952"/>
      <c r="O2" s="950" t="s">
        <v>17</v>
      </c>
      <c r="P2" s="951"/>
      <c r="Q2" s="952"/>
      <c r="R2" s="195" t="s">
        <v>41</v>
      </c>
      <c r="S2" s="195" t="s">
        <v>41</v>
      </c>
      <c r="T2" s="195" t="s">
        <v>41</v>
      </c>
      <c r="U2" s="195" t="s">
        <v>41</v>
      </c>
      <c r="V2" s="196" t="s">
        <v>45</v>
      </c>
      <c r="W2" s="196" t="s">
        <v>45</v>
      </c>
      <c r="X2" s="196" t="s">
        <v>45</v>
      </c>
      <c r="Y2" s="196" t="s">
        <v>45</v>
      </c>
      <c r="Z2" s="279"/>
      <c r="AA2" s="276" t="s">
        <v>51</v>
      </c>
      <c r="AB2" s="237" t="s">
        <v>53</v>
      </c>
      <c r="AC2" s="236"/>
      <c r="AD2" s="963" t="s">
        <v>14</v>
      </c>
      <c r="AE2" s="964"/>
      <c r="AF2" s="965"/>
      <c r="AG2" s="950" t="s">
        <v>15</v>
      </c>
      <c r="AH2" s="951"/>
      <c r="AI2" s="952"/>
      <c r="AJ2" s="950" t="s">
        <v>16</v>
      </c>
      <c r="AK2" s="951"/>
      <c r="AL2" s="952"/>
      <c r="AM2" s="950" t="s">
        <v>17</v>
      </c>
      <c r="AN2" s="951"/>
      <c r="AO2" s="952"/>
      <c r="AP2" s="195" t="s">
        <v>41</v>
      </c>
      <c r="AQ2" s="195" t="s">
        <v>41</v>
      </c>
      <c r="AR2" s="195" t="s">
        <v>41</v>
      </c>
      <c r="AS2" s="195" t="s">
        <v>41</v>
      </c>
      <c r="AT2" s="196" t="s">
        <v>45</v>
      </c>
      <c r="AU2" s="196" t="s">
        <v>45</v>
      </c>
      <c r="AV2" s="196" t="s">
        <v>45</v>
      </c>
      <c r="AW2" s="196" t="s">
        <v>45</v>
      </c>
    </row>
    <row r="3" spans="1:49" ht="16.5" x14ac:dyDescent="0.35">
      <c r="B3" s="971" t="s">
        <v>38</v>
      </c>
      <c r="C3" s="972"/>
      <c r="D3" s="972" t="str">
        <f>'Licht vervoer'!D11</f>
        <v>Ochtend</v>
      </c>
      <c r="E3" s="975"/>
      <c r="F3" s="29">
        <v>1</v>
      </c>
      <c r="G3" s="44">
        <v>2</v>
      </c>
      <c r="H3" s="13">
        <v>3</v>
      </c>
      <c r="I3" s="40">
        <v>4</v>
      </c>
      <c r="J3" s="44">
        <v>5</v>
      </c>
      <c r="K3" s="13">
        <v>6</v>
      </c>
      <c r="L3" s="40">
        <v>7</v>
      </c>
      <c r="M3" s="44">
        <v>8</v>
      </c>
      <c r="N3" s="13">
        <v>9</v>
      </c>
      <c r="O3" s="40">
        <v>10</v>
      </c>
      <c r="P3" s="44">
        <v>11</v>
      </c>
      <c r="Q3" s="13">
        <v>12</v>
      </c>
      <c r="R3" s="948" t="s">
        <v>40</v>
      </c>
      <c r="S3" s="948" t="s">
        <v>42</v>
      </c>
      <c r="T3" s="948" t="s">
        <v>43</v>
      </c>
      <c r="U3" s="948" t="s">
        <v>44</v>
      </c>
      <c r="V3" s="948" t="s">
        <v>40</v>
      </c>
      <c r="W3" s="948" t="s">
        <v>42</v>
      </c>
      <c r="X3" s="948" t="s">
        <v>43</v>
      </c>
      <c r="Y3" s="948" t="s">
        <v>44</v>
      </c>
      <c r="Z3" s="197"/>
      <c r="AA3" s="277" t="s">
        <v>50</v>
      </c>
      <c r="AB3" s="282" t="s">
        <v>54</v>
      </c>
      <c r="AD3" s="29">
        <v>1</v>
      </c>
      <c r="AE3" s="44">
        <v>2</v>
      </c>
      <c r="AF3" s="13">
        <v>3</v>
      </c>
      <c r="AG3" s="40">
        <v>4</v>
      </c>
      <c r="AH3" s="44">
        <v>5</v>
      </c>
      <c r="AI3" s="13">
        <v>6</v>
      </c>
      <c r="AJ3" s="40">
        <v>7</v>
      </c>
      <c r="AK3" s="44">
        <v>8</v>
      </c>
      <c r="AL3" s="13">
        <v>9</v>
      </c>
      <c r="AM3" s="40">
        <v>10</v>
      </c>
      <c r="AN3" s="44">
        <v>11</v>
      </c>
      <c r="AO3" s="13">
        <v>12</v>
      </c>
      <c r="AP3" s="948" t="s">
        <v>40</v>
      </c>
      <c r="AQ3" s="948" t="s">
        <v>42</v>
      </c>
      <c r="AR3" s="948" t="s">
        <v>43</v>
      </c>
      <c r="AS3" s="948" t="s">
        <v>44</v>
      </c>
      <c r="AT3" s="948" t="s">
        <v>40</v>
      </c>
      <c r="AU3" s="948" t="s">
        <v>42</v>
      </c>
      <c r="AV3" s="948" t="s">
        <v>43</v>
      </c>
      <c r="AW3" s="948" t="s">
        <v>44</v>
      </c>
    </row>
    <row r="4" spans="1:49" ht="17.25" thickBot="1" x14ac:dyDescent="0.4">
      <c r="B4" s="973"/>
      <c r="C4" s="974"/>
      <c r="D4" s="974"/>
      <c r="E4" s="976"/>
      <c r="F4" s="43" t="s">
        <v>18</v>
      </c>
      <c r="G4" s="45" t="s">
        <v>19</v>
      </c>
      <c r="H4" s="46" t="s">
        <v>20</v>
      </c>
      <c r="I4" s="48" t="s">
        <v>18</v>
      </c>
      <c r="J4" s="45" t="s">
        <v>19</v>
      </c>
      <c r="K4" s="46" t="s">
        <v>20</v>
      </c>
      <c r="L4" s="43" t="s">
        <v>18</v>
      </c>
      <c r="M4" s="45" t="s">
        <v>19</v>
      </c>
      <c r="N4" s="46" t="s">
        <v>20</v>
      </c>
      <c r="O4" s="43" t="s">
        <v>18</v>
      </c>
      <c r="P4" s="45" t="s">
        <v>19</v>
      </c>
      <c r="Q4" s="46" t="s">
        <v>20</v>
      </c>
      <c r="R4" s="968"/>
      <c r="S4" s="949"/>
      <c r="T4" s="949"/>
      <c r="U4" s="949"/>
      <c r="V4" s="949"/>
      <c r="W4" s="949"/>
      <c r="X4" s="949"/>
      <c r="Y4" s="949"/>
      <c r="Z4" s="280"/>
      <c r="AA4" s="278" t="s">
        <v>52</v>
      </c>
      <c r="AB4" s="194"/>
      <c r="AD4" s="43" t="s">
        <v>18</v>
      </c>
      <c r="AE4" s="45" t="s">
        <v>19</v>
      </c>
      <c r="AF4" s="46" t="s">
        <v>20</v>
      </c>
      <c r="AG4" s="48" t="s">
        <v>18</v>
      </c>
      <c r="AH4" s="45" t="s">
        <v>19</v>
      </c>
      <c r="AI4" s="46" t="s">
        <v>20</v>
      </c>
      <c r="AJ4" s="43" t="s">
        <v>18</v>
      </c>
      <c r="AK4" s="45" t="s">
        <v>19</v>
      </c>
      <c r="AL4" s="46" t="s">
        <v>20</v>
      </c>
      <c r="AM4" s="43" t="s">
        <v>18</v>
      </c>
      <c r="AN4" s="45" t="s">
        <v>19</v>
      </c>
      <c r="AO4" s="46" t="s">
        <v>20</v>
      </c>
      <c r="AP4" s="968"/>
      <c r="AQ4" s="949"/>
      <c r="AR4" s="949"/>
      <c r="AS4" s="949"/>
      <c r="AT4" s="949"/>
      <c r="AU4" s="949"/>
      <c r="AV4" s="949"/>
      <c r="AW4" s="949"/>
    </row>
    <row r="5" spans="1:49" ht="16.5" x14ac:dyDescent="0.35">
      <c r="A5" s="960" t="s">
        <v>49</v>
      </c>
      <c r="B5" s="221">
        <f>'Licht vervoer'!A13</f>
        <v>0.29166666666666669</v>
      </c>
      <c r="C5" s="956" t="s">
        <v>23</v>
      </c>
      <c r="D5" s="967"/>
      <c r="E5" s="56">
        <f>'Licht vervoer'!D13</f>
        <v>0.30208333333333337</v>
      </c>
      <c r="F5" s="106">
        <f>'Licht vervoer'!F13</f>
        <v>37</v>
      </c>
      <c r="G5" s="107">
        <f>'Licht vervoer'!G13</f>
        <v>0</v>
      </c>
      <c r="H5" s="117">
        <f>'Licht vervoer'!H13</f>
        <v>51</v>
      </c>
      <c r="I5" s="106">
        <f>'Licht vervoer'!I13</f>
        <v>0</v>
      </c>
      <c r="J5" s="107">
        <f>'Licht vervoer'!J13</f>
        <v>175</v>
      </c>
      <c r="K5" s="117">
        <f>'Licht vervoer'!K13</f>
        <v>59</v>
      </c>
      <c r="L5" s="106">
        <f>'Licht vervoer'!L13</f>
        <v>0</v>
      </c>
      <c r="M5" s="107">
        <f>'Licht vervoer'!M13</f>
        <v>0</v>
      </c>
      <c r="N5" s="117">
        <f>'Licht vervoer'!N13</f>
        <v>0</v>
      </c>
      <c r="O5" s="106">
        <f>'Licht vervoer'!O13</f>
        <v>29</v>
      </c>
      <c r="P5" s="107">
        <f>'Licht vervoer'!P13</f>
        <v>114</v>
      </c>
      <c r="Q5" s="117">
        <f>'Licht vervoer'!Q13</f>
        <v>0</v>
      </c>
      <c r="R5" s="216"/>
      <c r="S5" s="216"/>
      <c r="T5" s="216"/>
      <c r="U5" s="216"/>
      <c r="V5" s="216"/>
      <c r="W5" s="216"/>
      <c r="X5" s="216"/>
      <c r="Y5" s="216"/>
      <c r="Z5" s="5"/>
      <c r="AA5" s="23">
        <f>AA39</f>
        <v>0</v>
      </c>
      <c r="AB5" s="216" t="b">
        <f>'Stromendiagram periode 1'!BD$4</f>
        <v>1</v>
      </c>
      <c r="AD5" s="246">
        <f t="shared" ref="AD5:AW5" si="0">$AA5*$AB5*F5</f>
        <v>0</v>
      </c>
      <c r="AE5" s="247">
        <f t="shared" si="0"/>
        <v>0</v>
      </c>
      <c r="AF5" s="248">
        <f t="shared" si="0"/>
        <v>0</v>
      </c>
      <c r="AG5" s="249">
        <f t="shared" si="0"/>
        <v>0</v>
      </c>
      <c r="AH5" s="247">
        <f t="shared" si="0"/>
        <v>0</v>
      </c>
      <c r="AI5" s="248">
        <f t="shared" si="0"/>
        <v>0</v>
      </c>
      <c r="AJ5" s="249">
        <f t="shared" si="0"/>
        <v>0</v>
      </c>
      <c r="AK5" s="247">
        <f t="shared" si="0"/>
        <v>0</v>
      </c>
      <c r="AL5" s="248">
        <f t="shared" si="0"/>
        <v>0</v>
      </c>
      <c r="AM5" s="249">
        <f t="shared" si="0"/>
        <v>0</v>
      </c>
      <c r="AN5" s="247">
        <f t="shared" si="0"/>
        <v>0</v>
      </c>
      <c r="AO5" s="248">
        <f t="shared" si="0"/>
        <v>0</v>
      </c>
      <c r="AP5" s="250">
        <f t="shared" si="0"/>
        <v>0</v>
      </c>
      <c r="AQ5" s="250">
        <f t="shared" si="0"/>
        <v>0</v>
      </c>
      <c r="AR5" s="250">
        <f t="shared" si="0"/>
        <v>0</v>
      </c>
      <c r="AS5" s="250">
        <f t="shared" si="0"/>
        <v>0</v>
      </c>
      <c r="AT5" s="250">
        <f t="shared" si="0"/>
        <v>0</v>
      </c>
      <c r="AU5" s="250">
        <f t="shared" si="0"/>
        <v>0</v>
      </c>
      <c r="AV5" s="250">
        <f t="shared" si="0"/>
        <v>0</v>
      </c>
      <c r="AW5" s="250">
        <f t="shared" si="0"/>
        <v>0</v>
      </c>
    </row>
    <row r="6" spans="1:49" ht="16.5" x14ac:dyDescent="0.35">
      <c r="A6" s="961"/>
      <c r="B6" s="222">
        <f>'Licht vervoer'!A14</f>
        <v>0.30208333333333337</v>
      </c>
      <c r="C6" s="958" t="s">
        <v>23</v>
      </c>
      <c r="D6" s="966"/>
      <c r="E6" s="56">
        <f>'Licht vervoer'!D14</f>
        <v>0.31250000000000006</v>
      </c>
      <c r="F6" s="109">
        <f>'Licht vervoer'!F14</f>
        <v>39</v>
      </c>
      <c r="G6" s="110">
        <f>'Licht vervoer'!G14</f>
        <v>0</v>
      </c>
      <c r="H6" s="118">
        <f>'Licht vervoer'!H14</f>
        <v>57</v>
      </c>
      <c r="I6" s="109">
        <f>'Licht vervoer'!I14</f>
        <v>0</v>
      </c>
      <c r="J6" s="110">
        <f>'Licht vervoer'!J14</f>
        <v>186</v>
      </c>
      <c r="K6" s="118">
        <f>'Licht vervoer'!K14</f>
        <v>73</v>
      </c>
      <c r="L6" s="109">
        <f>'Licht vervoer'!L14</f>
        <v>0</v>
      </c>
      <c r="M6" s="110">
        <f>'Licht vervoer'!M14</f>
        <v>0</v>
      </c>
      <c r="N6" s="118">
        <f>'Licht vervoer'!N14</f>
        <v>0</v>
      </c>
      <c r="O6" s="109">
        <f>'Licht vervoer'!O14</f>
        <v>32</v>
      </c>
      <c r="P6" s="110">
        <f>'Licht vervoer'!P14</f>
        <v>164</v>
      </c>
      <c r="Q6" s="118">
        <f>'Licht vervoer'!Q14</f>
        <v>0</v>
      </c>
      <c r="R6" s="217"/>
      <c r="S6" s="217"/>
      <c r="T6" s="217"/>
      <c r="U6" s="217"/>
      <c r="V6" s="217"/>
      <c r="W6" s="217"/>
      <c r="X6" s="217"/>
      <c r="Y6" s="217"/>
      <c r="Z6" s="5"/>
      <c r="AA6" s="281">
        <f t="shared" ref="AA6:AA12" si="1">AA40</f>
        <v>0</v>
      </c>
      <c r="AB6" s="217" t="b">
        <f>'Stromendiagram periode 1'!BD$4</f>
        <v>1</v>
      </c>
      <c r="AD6" s="251">
        <f t="shared" ref="AD6:AD36" si="2">$AA6*$AB6*F6</f>
        <v>0</v>
      </c>
      <c r="AE6" s="252">
        <f t="shared" ref="AE6:AE36" si="3">$AA6*$AB6*G6</f>
        <v>0</v>
      </c>
      <c r="AF6" s="253">
        <f t="shared" ref="AF6:AF36" si="4">$AA6*$AB6*H6</f>
        <v>0</v>
      </c>
      <c r="AG6" s="254">
        <f t="shared" ref="AG6:AG36" si="5">$AA6*$AB6*I6</f>
        <v>0</v>
      </c>
      <c r="AH6" s="252">
        <f t="shared" ref="AH6:AH36" si="6">$AA6*$AB6*J6</f>
        <v>0</v>
      </c>
      <c r="AI6" s="253">
        <f t="shared" ref="AI6:AI36" si="7">$AA6*$AB6*K6</f>
        <v>0</v>
      </c>
      <c r="AJ6" s="254">
        <f t="shared" ref="AJ6:AJ36" si="8">$AA6*$AB6*L6</f>
        <v>0</v>
      </c>
      <c r="AK6" s="252">
        <f t="shared" ref="AK6:AK36" si="9">$AA6*$AB6*M6</f>
        <v>0</v>
      </c>
      <c r="AL6" s="253">
        <f t="shared" ref="AL6:AL36" si="10">$AA6*$AB6*N6</f>
        <v>0</v>
      </c>
      <c r="AM6" s="254">
        <f t="shared" ref="AM6:AM36" si="11">$AA6*$AB6*O6</f>
        <v>0</v>
      </c>
      <c r="AN6" s="252">
        <f t="shared" ref="AN6:AN36" si="12">$AA6*$AB6*P6</f>
        <v>0</v>
      </c>
      <c r="AO6" s="253">
        <f t="shared" ref="AO6:AO36" si="13">$AA6*$AB6*Q6</f>
        <v>0</v>
      </c>
      <c r="AP6" s="255">
        <f t="shared" ref="AP6:AP36" si="14">$AA6*$AB6*R6</f>
        <v>0</v>
      </c>
      <c r="AQ6" s="255">
        <f t="shared" ref="AQ6:AQ36" si="15">$AA6*$AB6*S6</f>
        <v>0</v>
      </c>
      <c r="AR6" s="255">
        <f t="shared" ref="AR6:AR36" si="16">$AA6*$AB6*T6</f>
        <v>0</v>
      </c>
      <c r="AS6" s="255">
        <f t="shared" ref="AS6:AS36" si="17">$AA6*$AB6*U6</f>
        <v>0</v>
      </c>
      <c r="AT6" s="255">
        <f t="shared" ref="AT6:AT36" si="18">$AA6*$AB6*V6</f>
        <v>0</v>
      </c>
      <c r="AU6" s="255">
        <f t="shared" ref="AU6:AU36" si="19">$AA6*$AB6*W6</f>
        <v>0</v>
      </c>
      <c r="AV6" s="255">
        <f t="shared" ref="AV6:AV36" si="20">$AA6*$AB6*X6</f>
        <v>0</v>
      </c>
      <c r="AW6" s="255">
        <f t="shared" ref="AW6:AW36" si="21">$AA6*$AB6*Y6</f>
        <v>0</v>
      </c>
    </row>
    <row r="7" spans="1:49" ht="16.5" x14ac:dyDescent="0.35">
      <c r="A7" s="961"/>
      <c r="B7" s="222">
        <f>'Licht vervoer'!A15</f>
        <v>0.31250000000000006</v>
      </c>
      <c r="C7" s="958" t="s">
        <v>23</v>
      </c>
      <c r="D7" s="966"/>
      <c r="E7" s="56">
        <f>'Licht vervoer'!D15</f>
        <v>0.32291666666666674</v>
      </c>
      <c r="F7" s="109">
        <f>'Licht vervoer'!F15</f>
        <v>57</v>
      </c>
      <c r="G7" s="110">
        <f>'Licht vervoer'!G15</f>
        <v>0</v>
      </c>
      <c r="H7" s="118">
        <f>'Licht vervoer'!H15</f>
        <v>59</v>
      </c>
      <c r="I7" s="109">
        <f>'Licht vervoer'!I15</f>
        <v>0</v>
      </c>
      <c r="J7" s="110">
        <f>'Licht vervoer'!J15</f>
        <v>199</v>
      </c>
      <c r="K7" s="118">
        <f>'Licht vervoer'!K15</f>
        <v>93</v>
      </c>
      <c r="L7" s="109">
        <f>'Licht vervoer'!L15</f>
        <v>0</v>
      </c>
      <c r="M7" s="110">
        <f>'Licht vervoer'!M15</f>
        <v>0</v>
      </c>
      <c r="N7" s="118">
        <f>'Licht vervoer'!N15</f>
        <v>0</v>
      </c>
      <c r="O7" s="109">
        <f>'Licht vervoer'!O15</f>
        <v>32</v>
      </c>
      <c r="P7" s="110">
        <f>'Licht vervoer'!P15</f>
        <v>268</v>
      </c>
      <c r="Q7" s="118">
        <f>'Licht vervoer'!Q15</f>
        <v>0</v>
      </c>
      <c r="R7" s="217"/>
      <c r="S7" s="217"/>
      <c r="T7" s="217"/>
      <c r="U7" s="217"/>
      <c r="V7" s="217"/>
      <c r="W7" s="217"/>
      <c r="X7" s="217"/>
      <c r="Y7" s="217"/>
      <c r="Z7" s="5"/>
      <c r="AA7" s="281">
        <f t="shared" si="1"/>
        <v>0</v>
      </c>
      <c r="AB7" s="217" t="b">
        <f>'Stromendiagram periode 1'!BD$4</f>
        <v>1</v>
      </c>
      <c r="AD7" s="251">
        <f t="shared" si="2"/>
        <v>0</v>
      </c>
      <c r="AE7" s="252">
        <f t="shared" si="3"/>
        <v>0</v>
      </c>
      <c r="AF7" s="253">
        <f t="shared" si="4"/>
        <v>0</v>
      </c>
      <c r="AG7" s="254">
        <f t="shared" si="5"/>
        <v>0</v>
      </c>
      <c r="AH7" s="252">
        <f t="shared" si="6"/>
        <v>0</v>
      </c>
      <c r="AI7" s="253">
        <f t="shared" si="7"/>
        <v>0</v>
      </c>
      <c r="AJ7" s="254">
        <f t="shared" si="8"/>
        <v>0</v>
      </c>
      <c r="AK7" s="252">
        <f t="shared" si="9"/>
        <v>0</v>
      </c>
      <c r="AL7" s="253">
        <f t="shared" si="10"/>
        <v>0</v>
      </c>
      <c r="AM7" s="254">
        <f t="shared" si="11"/>
        <v>0</v>
      </c>
      <c r="AN7" s="252">
        <f t="shared" si="12"/>
        <v>0</v>
      </c>
      <c r="AO7" s="253">
        <f t="shared" si="13"/>
        <v>0</v>
      </c>
      <c r="AP7" s="255">
        <f t="shared" si="14"/>
        <v>0</v>
      </c>
      <c r="AQ7" s="255">
        <f t="shared" si="15"/>
        <v>0</v>
      </c>
      <c r="AR7" s="255">
        <f t="shared" si="16"/>
        <v>0</v>
      </c>
      <c r="AS7" s="255">
        <f t="shared" si="17"/>
        <v>0</v>
      </c>
      <c r="AT7" s="255">
        <f t="shared" si="18"/>
        <v>0</v>
      </c>
      <c r="AU7" s="255">
        <f t="shared" si="19"/>
        <v>0</v>
      </c>
      <c r="AV7" s="255">
        <f t="shared" si="20"/>
        <v>0</v>
      </c>
      <c r="AW7" s="255">
        <f t="shared" si="21"/>
        <v>0</v>
      </c>
    </row>
    <row r="8" spans="1:49" ht="16.5" x14ac:dyDescent="0.35">
      <c r="A8" s="961"/>
      <c r="B8" s="222">
        <f>'Licht vervoer'!A16</f>
        <v>0.32291666666666674</v>
      </c>
      <c r="C8" s="958" t="s">
        <v>23</v>
      </c>
      <c r="D8" s="966"/>
      <c r="E8" s="56">
        <f>'Licht vervoer'!D16</f>
        <v>0.33333333333333343</v>
      </c>
      <c r="F8" s="109">
        <f>'Licht vervoer'!F16</f>
        <v>48</v>
      </c>
      <c r="G8" s="110">
        <f>'Licht vervoer'!G16</f>
        <v>0</v>
      </c>
      <c r="H8" s="118">
        <f>'Licht vervoer'!H16</f>
        <v>100</v>
      </c>
      <c r="I8" s="109">
        <f>'Licht vervoer'!I16</f>
        <v>0</v>
      </c>
      <c r="J8" s="110">
        <f>'Licht vervoer'!J16</f>
        <v>177</v>
      </c>
      <c r="K8" s="118">
        <f>'Licht vervoer'!K16</f>
        <v>97</v>
      </c>
      <c r="L8" s="109">
        <f>'Licht vervoer'!L16</f>
        <v>0</v>
      </c>
      <c r="M8" s="110">
        <f>'Licht vervoer'!M16</f>
        <v>0</v>
      </c>
      <c r="N8" s="118">
        <f>'Licht vervoer'!N16</f>
        <v>0</v>
      </c>
      <c r="O8" s="109">
        <f>'Licht vervoer'!O16</f>
        <v>34</v>
      </c>
      <c r="P8" s="110">
        <f>'Licht vervoer'!P16</f>
        <v>238</v>
      </c>
      <c r="Q8" s="118">
        <f>'Licht vervoer'!Q16</f>
        <v>0</v>
      </c>
      <c r="R8" s="217"/>
      <c r="S8" s="217"/>
      <c r="T8" s="217"/>
      <c r="U8" s="217"/>
      <c r="V8" s="217"/>
      <c r="W8" s="217"/>
      <c r="X8" s="217"/>
      <c r="Y8" s="217"/>
      <c r="Z8" s="5"/>
      <c r="AA8" s="281">
        <f t="shared" si="1"/>
        <v>0</v>
      </c>
      <c r="AB8" s="217" t="b">
        <f>'Stromendiagram periode 1'!BD$4</f>
        <v>1</v>
      </c>
      <c r="AD8" s="251">
        <f t="shared" si="2"/>
        <v>0</v>
      </c>
      <c r="AE8" s="252">
        <f t="shared" si="3"/>
        <v>0</v>
      </c>
      <c r="AF8" s="253">
        <f t="shared" si="4"/>
        <v>0</v>
      </c>
      <c r="AG8" s="254">
        <f t="shared" si="5"/>
        <v>0</v>
      </c>
      <c r="AH8" s="252">
        <f t="shared" si="6"/>
        <v>0</v>
      </c>
      <c r="AI8" s="253">
        <f t="shared" si="7"/>
        <v>0</v>
      </c>
      <c r="AJ8" s="254">
        <f t="shared" si="8"/>
        <v>0</v>
      </c>
      <c r="AK8" s="252">
        <f t="shared" si="9"/>
        <v>0</v>
      </c>
      <c r="AL8" s="253">
        <f t="shared" si="10"/>
        <v>0</v>
      </c>
      <c r="AM8" s="254">
        <f t="shared" si="11"/>
        <v>0</v>
      </c>
      <c r="AN8" s="252">
        <f t="shared" si="12"/>
        <v>0</v>
      </c>
      <c r="AO8" s="253">
        <f t="shared" si="13"/>
        <v>0</v>
      </c>
      <c r="AP8" s="255">
        <f t="shared" si="14"/>
        <v>0</v>
      </c>
      <c r="AQ8" s="255">
        <f t="shared" si="15"/>
        <v>0</v>
      </c>
      <c r="AR8" s="255">
        <f t="shared" si="16"/>
        <v>0</v>
      </c>
      <c r="AS8" s="255">
        <f t="shared" si="17"/>
        <v>0</v>
      </c>
      <c r="AT8" s="255">
        <f t="shared" si="18"/>
        <v>0</v>
      </c>
      <c r="AU8" s="255">
        <f t="shared" si="19"/>
        <v>0</v>
      </c>
      <c r="AV8" s="255">
        <f t="shared" si="20"/>
        <v>0</v>
      </c>
      <c r="AW8" s="255">
        <f t="shared" si="21"/>
        <v>0</v>
      </c>
    </row>
    <row r="9" spans="1:49" ht="16.5" x14ac:dyDescent="0.35">
      <c r="A9" s="961"/>
      <c r="B9" s="222">
        <f>'Licht vervoer'!A17</f>
        <v>0.33333333333333343</v>
      </c>
      <c r="C9" s="958" t="s">
        <v>23</v>
      </c>
      <c r="D9" s="966"/>
      <c r="E9" s="56">
        <f>'Licht vervoer'!D17</f>
        <v>0.34375000000000011</v>
      </c>
      <c r="F9" s="109">
        <f>'Licht vervoer'!F17</f>
        <v>60</v>
      </c>
      <c r="G9" s="110">
        <f>'Licht vervoer'!G17</f>
        <v>0</v>
      </c>
      <c r="H9" s="118">
        <f>'Licht vervoer'!H17</f>
        <v>101</v>
      </c>
      <c r="I9" s="109">
        <f>'Licht vervoer'!I17</f>
        <v>0</v>
      </c>
      <c r="J9" s="110">
        <f>'Licht vervoer'!J17</f>
        <v>202</v>
      </c>
      <c r="K9" s="118">
        <f>'Licht vervoer'!K17</f>
        <v>104</v>
      </c>
      <c r="L9" s="109">
        <f>'Licht vervoer'!L17</f>
        <v>0</v>
      </c>
      <c r="M9" s="110">
        <f>'Licht vervoer'!M17</f>
        <v>0</v>
      </c>
      <c r="N9" s="118">
        <f>'Licht vervoer'!N17</f>
        <v>0</v>
      </c>
      <c r="O9" s="109">
        <f>'Licht vervoer'!O17</f>
        <v>27</v>
      </c>
      <c r="P9" s="110">
        <f>'Licht vervoer'!P17</f>
        <v>265</v>
      </c>
      <c r="Q9" s="118">
        <f>'Licht vervoer'!Q17</f>
        <v>0</v>
      </c>
      <c r="R9" s="217"/>
      <c r="S9" s="217"/>
      <c r="T9" s="217"/>
      <c r="U9" s="217"/>
      <c r="V9" s="217"/>
      <c r="W9" s="217"/>
      <c r="X9" s="217"/>
      <c r="Y9" s="217"/>
      <c r="Z9" s="5"/>
      <c r="AA9" s="281">
        <f t="shared" si="1"/>
        <v>1</v>
      </c>
      <c r="AB9" s="217" t="b">
        <f>'Stromendiagram periode 1'!BD$4</f>
        <v>1</v>
      </c>
      <c r="AD9" s="251">
        <f t="shared" si="2"/>
        <v>60</v>
      </c>
      <c r="AE9" s="252">
        <f t="shared" si="3"/>
        <v>0</v>
      </c>
      <c r="AF9" s="253">
        <f t="shared" si="4"/>
        <v>101</v>
      </c>
      <c r="AG9" s="254">
        <f t="shared" si="5"/>
        <v>0</v>
      </c>
      <c r="AH9" s="252">
        <f t="shared" si="6"/>
        <v>202</v>
      </c>
      <c r="AI9" s="253">
        <f t="shared" si="7"/>
        <v>104</v>
      </c>
      <c r="AJ9" s="254">
        <f t="shared" si="8"/>
        <v>0</v>
      </c>
      <c r="AK9" s="252">
        <f t="shared" si="9"/>
        <v>0</v>
      </c>
      <c r="AL9" s="253">
        <f t="shared" si="10"/>
        <v>0</v>
      </c>
      <c r="AM9" s="254">
        <f t="shared" si="11"/>
        <v>27</v>
      </c>
      <c r="AN9" s="252">
        <f t="shared" si="12"/>
        <v>265</v>
      </c>
      <c r="AO9" s="253">
        <f t="shared" si="13"/>
        <v>0</v>
      </c>
      <c r="AP9" s="255">
        <f t="shared" si="14"/>
        <v>0</v>
      </c>
      <c r="AQ9" s="255">
        <f t="shared" si="15"/>
        <v>0</v>
      </c>
      <c r="AR9" s="255">
        <f t="shared" si="16"/>
        <v>0</v>
      </c>
      <c r="AS9" s="255">
        <f t="shared" si="17"/>
        <v>0</v>
      </c>
      <c r="AT9" s="255">
        <f t="shared" si="18"/>
        <v>0</v>
      </c>
      <c r="AU9" s="255">
        <f t="shared" si="19"/>
        <v>0</v>
      </c>
      <c r="AV9" s="255">
        <f t="shared" si="20"/>
        <v>0</v>
      </c>
      <c r="AW9" s="255">
        <f t="shared" si="21"/>
        <v>0</v>
      </c>
    </row>
    <row r="10" spans="1:49" ht="16.5" x14ac:dyDescent="0.35">
      <c r="A10" s="961"/>
      <c r="B10" s="222">
        <f>'Licht vervoer'!A18</f>
        <v>0.34375000000000011</v>
      </c>
      <c r="C10" s="958" t="s">
        <v>23</v>
      </c>
      <c r="D10" s="966"/>
      <c r="E10" s="56">
        <f>'Licht vervoer'!D18</f>
        <v>0.3541666666666668</v>
      </c>
      <c r="F10" s="109">
        <f>'Licht vervoer'!F18</f>
        <v>72</v>
      </c>
      <c r="G10" s="110">
        <f>'Licht vervoer'!G18</f>
        <v>1</v>
      </c>
      <c r="H10" s="118">
        <f>'Licht vervoer'!H18</f>
        <v>111</v>
      </c>
      <c r="I10" s="109">
        <f>'Licht vervoer'!I18</f>
        <v>0</v>
      </c>
      <c r="J10" s="110">
        <f>'Licht vervoer'!J18</f>
        <v>186</v>
      </c>
      <c r="K10" s="118">
        <f>'Licht vervoer'!K18</f>
        <v>96</v>
      </c>
      <c r="L10" s="109">
        <f>'Licht vervoer'!L18</f>
        <v>0</v>
      </c>
      <c r="M10" s="110">
        <f>'Licht vervoer'!M18</f>
        <v>0</v>
      </c>
      <c r="N10" s="118">
        <f>'Licht vervoer'!N18</f>
        <v>0</v>
      </c>
      <c r="O10" s="109">
        <f>'Licht vervoer'!O18</f>
        <v>44</v>
      </c>
      <c r="P10" s="110">
        <f>'Licht vervoer'!P18</f>
        <v>315</v>
      </c>
      <c r="Q10" s="118">
        <f>'Licht vervoer'!Q18</f>
        <v>0</v>
      </c>
      <c r="R10" s="217"/>
      <c r="S10" s="217"/>
      <c r="T10" s="217"/>
      <c r="U10" s="217"/>
      <c r="V10" s="217"/>
      <c r="W10" s="217"/>
      <c r="X10" s="217"/>
      <c r="Y10" s="217"/>
      <c r="Z10" s="5"/>
      <c r="AA10" s="281">
        <f t="shared" si="1"/>
        <v>1</v>
      </c>
      <c r="AB10" s="217" t="b">
        <f>'Stromendiagram periode 1'!BD$4</f>
        <v>1</v>
      </c>
      <c r="AD10" s="251">
        <f t="shared" si="2"/>
        <v>72</v>
      </c>
      <c r="AE10" s="252">
        <f t="shared" si="3"/>
        <v>1</v>
      </c>
      <c r="AF10" s="253">
        <f t="shared" si="4"/>
        <v>111</v>
      </c>
      <c r="AG10" s="254">
        <f t="shared" si="5"/>
        <v>0</v>
      </c>
      <c r="AH10" s="252">
        <f t="shared" si="6"/>
        <v>186</v>
      </c>
      <c r="AI10" s="253">
        <f t="shared" si="7"/>
        <v>96</v>
      </c>
      <c r="AJ10" s="254">
        <f t="shared" si="8"/>
        <v>0</v>
      </c>
      <c r="AK10" s="252">
        <f t="shared" si="9"/>
        <v>0</v>
      </c>
      <c r="AL10" s="253">
        <f t="shared" si="10"/>
        <v>0</v>
      </c>
      <c r="AM10" s="254">
        <f t="shared" si="11"/>
        <v>44</v>
      </c>
      <c r="AN10" s="252">
        <f t="shared" si="12"/>
        <v>315</v>
      </c>
      <c r="AO10" s="253">
        <f t="shared" si="13"/>
        <v>0</v>
      </c>
      <c r="AP10" s="255">
        <f t="shared" si="14"/>
        <v>0</v>
      </c>
      <c r="AQ10" s="255">
        <f t="shared" si="15"/>
        <v>0</v>
      </c>
      <c r="AR10" s="255">
        <f t="shared" si="16"/>
        <v>0</v>
      </c>
      <c r="AS10" s="255">
        <f t="shared" si="17"/>
        <v>0</v>
      </c>
      <c r="AT10" s="255">
        <f t="shared" si="18"/>
        <v>0</v>
      </c>
      <c r="AU10" s="255">
        <f t="shared" si="19"/>
        <v>0</v>
      </c>
      <c r="AV10" s="255">
        <f t="shared" si="20"/>
        <v>0</v>
      </c>
      <c r="AW10" s="255">
        <f t="shared" si="21"/>
        <v>0</v>
      </c>
    </row>
    <row r="11" spans="1:49" ht="16.5" x14ac:dyDescent="0.35">
      <c r="A11" s="961"/>
      <c r="B11" s="222">
        <f>'Licht vervoer'!A19</f>
        <v>0.3541666666666668</v>
      </c>
      <c r="C11" s="958" t="s">
        <v>23</v>
      </c>
      <c r="D11" s="966"/>
      <c r="E11" s="56">
        <f>'Licht vervoer'!D19</f>
        <v>0.36458333333333348</v>
      </c>
      <c r="F11" s="109">
        <f>'Licht vervoer'!F19</f>
        <v>57</v>
      </c>
      <c r="G11" s="110">
        <f>'Licht vervoer'!G19</f>
        <v>0</v>
      </c>
      <c r="H11" s="118">
        <f>'Licht vervoer'!H19</f>
        <v>110</v>
      </c>
      <c r="I11" s="109">
        <f>'Licht vervoer'!I19</f>
        <v>0</v>
      </c>
      <c r="J11" s="110">
        <f>'Licht vervoer'!J19</f>
        <v>197</v>
      </c>
      <c r="K11" s="118">
        <f>'Licht vervoer'!K19</f>
        <v>72</v>
      </c>
      <c r="L11" s="109">
        <f>'Licht vervoer'!L19</f>
        <v>0</v>
      </c>
      <c r="M11" s="110">
        <f>'Licht vervoer'!M19</f>
        <v>0</v>
      </c>
      <c r="N11" s="118">
        <f>'Licht vervoer'!N19</f>
        <v>0</v>
      </c>
      <c r="O11" s="109">
        <f>'Licht vervoer'!O19</f>
        <v>31</v>
      </c>
      <c r="P11" s="110">
        <f>'Licht vervoer'!P19</f>
        <v>281</v>
      </c>
      <c r="Q11" s="118">
        <f>'Licht vervoer'!Q19</f>
        <v>0</v>
      </c>
      <c r="R11" s="217"/>
      <c r="S11" s="217"/>
      <c r="T11" s="217"/>
      <c r="U11" s="217"/>
      <c r="V11" s="217"/>
      <c r="W11" s="217"/>
      <c r="X11" s="217"/>
      <c r="Y11" s="217"/>
      <c r="Z11" s="5"/>
      <c r="AA11" s="281">
        <f t="shared" si="1"/>
        <v>1</v>
      </c>
      <c r="AB11" s="217" t="b">
        <f>'Stromendiagram periode 1'!BD$4</f>
        <v>1</v>
      </c>
      <c r="AD11" s="251">
        <f t="shared" si="2"/>
        <v>57</v>
      </c>
      <c r="AE11" s="252">
        <f t="shared" si="3"/>
        <v>0</v>
      </c>
      <c r="AF11" s="253">
        <f t="shared" si="4"/>
        <v>110</v>
      </c>
      <c r="AG11" s="254">
        <f t="shared" si="5"/>
        <v>0</v>
      </c>
      <c r="AH11" s="252">
        <f t="shared" si="6"/>
        <v>197</v>
      </c>
      <c r="AI11" s="253">
        <f t="shared" si="7"/>
        <v>72</v>
      </c>
      <c r="AJ11" s="254">
        <f t="shared" si="8"/>
        <v>0</v>
      </c>
      <c r="AK11" s="252">
        <f t="shared" si="9"/>
        <v>0</v>
      </c>
      <c r="AL11" s="253">
        <f t="shared" si="10"/>
        <v>0</v>
      </c>
      <c r="AM11" s="254">
        <f t="shared" si="11"/>
        <v>31</v>
      </c>
      <c r="AN11" s="252">
        <f t="shared" si="12"/>
        <v>281</v>
      </c>
      <c r="AO11" s="253">
        <f t="shared" si="13"/>
        <v>0</v>
      </c>
      <c r="AP11" s="255">
        <f t="shared" si="14"/>
        <v>0</v>
      </c>
      <c r="AQ11" s="255">
        <f t="shared" si="15"/>
        <v>0</v>
      </c>
      <c r="AR11" s="255">
        <f t="shared" si="16"/>
        <v>0</v>
      </c>
      <c r="AS11" s="255">
        <f t="shared" si="17"/>
        <v>0</v>
      </c>
      <c r="AT11" s="255">
        <f t="shared" si="18"/>
        <v>0</v>
      </c>
      <c r="AU11" s="255">
        <f t="shared" si="19"/>
        <v>0</v>
      </c>
      <c r="AV11" s="255">
        <f t="shared" si="20"/>
        <v>0</v>
      </c>
      <c r="AW11" s="255">
        <f t="shared" si="21"/>
        <v>0</v>
      </c>
    </row>
    <row r="12" spans="1:49" ht="17.25" thickBot="1" x14ac:dyDescent="0.4">
      <c r="A12" s="962"/>
      <c r="B12" s="223">
        <f>'Licht vervoer'!A20</f>
        <v>0.36458333333333348</v>
      </c>
      <c r="C12" s="969" t="s">
        <v>23</v>
      </c>
      <c r="D12" s="977"/>
      <c r="E12" s="59">
        <f>'Licht vervoer'!D20</f>
        <v>0.37500000000000017</v>
      </c>
      <c r="F12" s="165">
        <f>'Licht vervoer'!F20</f>
        <v>67</v>
      </c>
      <c r="G12" s="166">
        <f>'Licht vervoer'!G20</f>
        <v>0</v>
      </c>
      <c r="H12" s="167">
        <f>'Licht vervoer'!H20</f>
        <v>110</v>
      </c>
      <c r="I12" s="165">
        <f>'Licht vervoer'!I20</f>
        <v>0</v>
      </c>
      <c r="J12" s="166">
        <f>'Licht vervoer'!J20</f>
        <v>205</v>
      </c>
      <c r="K12" s="167">
        <f>'Licht vervoer'!K20</f>
        <v>72</v>
      </c>
      <c r="L12" s="165">
        <f>'Licht vervoer'!L20</f>
        <v>0</v>
      </c>
      <c r="M12" s="166">
        <f>'Licht vervoer'!M20</f>
        <v>0</v>
      </c>
      <c r="N12" s="167">
        <f>'Licht vervoer'!N20</f>
        <v>0</v>
      </c>
      <c r="O12" s="165">
        <f>'Licht vervoer'!O20</f>
        <v>30</v>
      </c>
      <c r="P12" s="166">
        <f>'Licht vervoer'!P20</f>
        <v>267</v>
      </c>
      <c r="Q12" s="167">
        <f>'Licht vervoer'!Q20</f>
        <v>0</v>
      </c>
      <c r="R12" s="218"/>
      <c r="S12" s="218"/>
      <c r="T12" s="218"/>
      <c r="U12" s="218"/>
      <c r="V12" s="218"/>
      <c r="W12" s="218"/>
      <c r="X12" s="218"/>
      <c r="Y12" s="218"/>
      <c r="Z12" s="5"/>
      <c r="AA12" s="140">
        <f t="shared" si="1"/>
        <v>1</v>
      </c>
      <c r="AB12" s="218" t="b">
        <f>'Stromendiagram periode 1'!BD$4</f>
        <v>1</v>
      </c>
      <c r="AD12" s="256">
        <f t="shared" si="2"/>
        <v>67</v>
      </c>
      <c r="AE12" s="257">
        <f t="shared" si="3"/>
        <v>0</v>
      </c>
      <c r="AF12" s="258">
        <f t="shared" si="4"/>
        <v>110</v>
      </c>
      <c r="AG12" s="259">
        <f t="shared" si="5"/>
        <v>0</v>
      </c>
      <c r="AH12" s="257">
        <f t="shared" si="6"/>
        <v>205</v>
      </c>
      <c r="AI12" s="258">
        <f t="shared" si="7"/>
        <v>72</v>
      </c>
      <c r="AJ12" s="259">
        <f t="shared" si="8"/>
        <v>0</v>
      </c>
      <c r="AK12" s="257">
        <f t="shared" si="9"/>
        <v>0</v>
      </c>
      <c r="AL12" s="258">
        <f t="shared" si="10"/>
        <v>0</v>
      </c>
      <c r="AM12" s="259">
        <f t="shared" si="11"/>
        <v>30</v>
      </c>
      <c r="AN12" s="257">
        <f t="shared" si="12"/>
        <v>267</v>
      </c>
      <c r="AO12" s="258">
        <f t="shared" si="13"/>
        <v>0</v>
      </c>
      <c r="AP12" s="260">
        <f t="shared" si="14"/>
        <v>0</v>
      </c>
      <c r="AQ12" s="260">
        <f t="shared" si="15"/>
        <v>0</v>
      </c>
      <c r="AR12" s="260">
        <f t="shared" si="16"/>
        <v>0</v>
      </c>
      <c r="AS12" s="260">
        <f t="shared" si="17"/>
        <v>0</v>
      </c>
      <c r="AT12" s="260">
        <f t="shared" si="18"/>
        <v>0</v>
      </c>
      <c r="AU12" s="260">
        <f t="shared" si="19"/>
        <v>0</v>
      </c>
      <c r="AV12" s="260">
        <f t="shared" si="20"/>
        <v>0</v>
      </c>
      <c r="AW12" s="260">
        <f t="shared" si="21"/>
        <v>0</v>
      </c>
    </row>
    <row r="13" spans="1:49" ht="16.5" x14ac:dyDescent="0.35">
      <c r="A13" s="960" t="s">
        <v>48</v>
      </c>
      <c r="B13" s="55">
        <f>'Licht vervoer'!A13</f>
        <v>0.29166666666666669</v>
      </c>
      <c r="C13" s="956" t="s">
        <v>23</v>
      </c>
      <c r="D13" s="957"/>
      <c r="E13" s="56">
        <f>'Licht vervoer'!D13</f>
        <v>0.30208333333333337</v>
      </c>
      <c r="F13" s="173">
        <f>'Zwaar vervoer'!F13*2</f>
        <v>12</v>
      </c>
      <c r="G13" s="174">
        <f>'Zwaar vervoer'!G13*2</f>
        <v>0</v>
      </c>
      <c r="H13" s="175">
        <f>'Zwaar vervoer'!H13*2</f>
        <v>16</v>
      </c>
      <c r="I13" s="176">
        <f>'Zwaar vervoer'!I13*2</f>
        <v>0</v>
      </c>
      <c r="J13" s="174">
        <f>'Zwaar vervoer'!J13*2</f>
        <v>32</v>
      </c>
      <c r="K13" s="175">
        <f>'Zwaar vervoer'!K13*2</f>
        <v>4</v>
      </c>
      <c r="L13" s="176">
        <f>'Zwaar vervoer'!L13*2</f>
        <v>0</v>
      </c>
      <c r="M13" s="174">
        <f>'Zwaar vervoer'!M13*2</f>
        <v>0</v>
      </c>
      <c r="N13" s="175">
        <f>'Zwaar vervoer'!N13*2</f>
        <v>0</v>
      </c>
      <c r="O13" s="176">
        <f>'Zwaar vervoer'!O13*2</f>
        <v>14</v>
      </c>
      <c r="P13" s="174">
        <f>'Zwaar vervoer'!P13*2</f>
        <v>30</v>
      </c>
      <c r="Q13" s="175">
        <f>'Zwaar vervoer'!Q13*2</f>
        <v>0</v>
      </c>
      <c r="R13" s="219"/>
      <c r="S13" s="219"/>
      <c r="T13" s="219"/>
      <c r="U13" s="219"/>
      <c r="V13" s="219"/>
      <c r="W13" s="219"/>
      <c r="X13" s="219"/>
      <c r="Y13" s="219"/>
      <c r="Z13" s="5"/>
      <c r="AA13" s="281">
        <f>AA39</f>
        <v>0</v>
      </c>
      <c r="AB13" s="193" t="b">
        <f>'Stromendiagram periode 1'!BD$5</f>
        <v>1</v>
      </c>
      <c r="AD13" s="220">
        <f t="shared" si="2"/>
        <v>0</v>
      </c>
      <c r="AE13" s="261">
        <f t="shared" si="3"/>
        <v>0</v>
      </c>
      <c r="AF13" s="262">
        <f t="shared" si="4"/>
        <v>0</v>
      </c>
      <c r="AG13" s="263">
        <f t="shared" si="5"/>
        <v>0</v>
      </c>
      <c r="AH13" s="261">
        <f t="shared" si="6"/>
        <v>0</v>
      </c>
      <c r="AI13" s="262">
        <f t="shared" si="7"/>
        <v>0</v>
      </c>
      <c r="AJ13" s="263">
        <f t="shared" si="8"/>
        <v>0</v>
      </c>
      <c r="AK13" s="261">
        <f t="shared" si="9"/>
        <v>0</v>
      </c>
      <c r="AL13" s="262">
        <f t="shared" si="10"/>
        <v>0</v>
      </c>
      <c r="AM13" s="263">
        <f t="shared" si="11"/>
        <v>0</v>
      </c>
      <c r="AN13" s="261">
        <f t="shared" si="12"/>
        <v>0</v>
      </c>
      <c r="AO13" s="262">
        <f t="shared" si="13"/>
        <v>0</v>
      </c>
      <c r="AP13" s="264">
        <f t="shared" si="14"/>
        <v>0</v>
      </c>
      <c r="AQ13" s="264">
        <f t="shared" si="15"/>
        <v>0</v>
      </c>
      <c r="AR13" s="264">
        <f t="shared" si="16"/>
        <v>0</v>
      </c>
      <c r="AS13" s="264">
        <f t="shared" si="17"/>
        <v>0</v>
      </c>
      <c r="AT13" s="264">
        <f t="shared" si="18"/>
        <v>0</v>
      </c>
      <c r="AU13" s="264">
        <f t="shared" si="19"/>
        <v>0</v>
      </c>
      <c r="AV13" s="264">
        <f t="shared" si="20"/>
        <v>0</v>
      </c>
      <c r="AW13" s="264">
        <f t="shared" si="21"/>
        <v>0</v>
      </c>
    </row>
    <row r="14" spans="1:49" ht="16.5" x14ac:dyDescent="0.35">
      <c r="A14" s="961"/>
      <c r="B14" s="57">
        <f>'Licht vervoer'!A14</f>
        <v>0.30208333333333337</v>
      </c>
      <c r="C14" s="958" t="s">
        <v>23</v>
      </c>
      <c r="D14" s="959"/>
      <c r="E14" s="56">
        <f>'Licht vervoer'!D14</f>
        <v>0.31250000000000006</v>
      </c>
      <c r="F14" s="177">
        <f>'Zwaar vervoer'!F14*2</f>
        <v>2</v>
      </c>
      <c r="G14" s="120">
        <f>'Zwaar vervoer'!G14*2</f>
        <v>0</v>
      </c>
      <c r="H14" s="178">
        <f>'Zwaar vervoer'!H14*2</f>
        <v>12</v>
      </c>
      <c r="I14" s="179">
        <f>'Zwaar vervoer'!I14*2</f>
        <v>0</v>
      </c>
      <c r="J14" s="120">
        <f>'Zwaar vervoer'!J14*2</f>
        <v>30</v>
      </c>
      <c r="K14" s="178">
        <f>'Zwaar vervoer'!K14*2</f>
        <v>12</v>
      </c>
      <c r="L14" s="179">
        <f>'Zwaar vervoer'!L14*2</f>
        <v>0</v>
      </c>
      <c r="M14" s="120">
        <f>'Zwaar vervoer'!M14*2</f>
        <v>0</v>
      </c>
      <c r="N14" s="178">
        <f>'Zwaar vervoer'!N14*2</f>
        <v>0</v>
      </c>
      <c r="O14" s="179">
        <f>'Zwaar vervoer'!O14*2</f>
        <v>16</v>
      </c>
      <c r="P14" s="120">
        <f>'Zwaar vervoer'!P14*2</f>
        <v>40</v>
      </c>
      <c r="Q14" s="178">
        <f>'Zwaar vervoer'!Q14*2</f>
        <v>0</v>
      </c>
      <c r="R14" s="217"/>
      <c r="S14" s="217"/>
      <c r="T14" s="217"/>
      <c r="U14" s="217"/>
      <c r="V14" s="217"/>
      <c r="W14" s="217"/>
      <c r="X14" s="217"/>
      <c r="Y14" s="217"/>
      <c r="Z14" s="5"/>
      <c r="AA14" s="281">
        <f t="shared" ref="AA14:AA20" si="22">AA40</f>
        <v>0</v>
      </c>
      <c r="AB14" s="193" t="b">
        <f>'Stromendiagram periode 1'!BD$5</f>
        <v>1</v>
      </c>
      <c r="AD14" s="251">
        <f t="shared" si="2"/>
        <v>0</v>
      </c>
      <c r="AE14" s="252">
        <f t="shared" si="3"/>
        <v>0</v>
      </c>
      <c r="AF14" s="253">
        <f t="shared" si="4"/>
        <v>0</v>
      </c>
      <c r="AG14" s="254">
        <f t="shared" si="5"/>
        <v>0</v>
      </c>
      <c r="AH14" s="252">
        <f t="shared" si="6"/>
        <v>0</v>
      </c>
      <c r="AI14" s="253">
        <f t="shared" si="7"/>
        <v>0</v>
      </c>
      <c r="AJ14" s="254">
        <f t="shared" si="8"/>
        <v>0</v>
      </c>
      <c r="AK14" s="252">
        <f t="shared" si="9"/>
        <v>0</v>
      </c>
      <c r="AL14" s="253">
        <f t="shared" si="10"/>
        <v>0</v>
      </c>
      <c r="AM14" s="254">
        <f t="shared" si="11"/>
        <v>0</v>
      </c>
      <c r="AN14" s="252">
        <f t="shared" si="12"/>
        <v>0</v>
      </c>
      <c r="AO14" s="253">
        <f t="shared" si="13"/>
        <v>0</v>
      </c>
      <c r="AP14" s="255">
        <f t="shared" si="14"/>
        <v>0</v>
      </c>
      <c r="AQ14" s="255">
        <f t="shared" si="15"/>
        <v>0</v>
      </c>
      <c r="AR14" s="255">
        <f t="shared" si="16"/>
        <v>0</v>
      </c>
      <c r="AS14" s="255">
        <f t="shared" si="17"/>
        <v>0</v>
      </c>
      <c r="AT14" s="255">
        <f t="shared" si="18"/>
        <v>0</v>
      </c>
      <c r="AU14" s="255">
        <f t="shared" si="19"/>
        <v>0</v>
      </c>
      <c r="AV14" s="255">
        <f t="shared" si="20"/>
        <v>0</v>
      </c>
      <c r="AW14" s="255">
        <f t="shared" si="21"/>
        <v>0</v>
      </c>
    </row>
    <row r="15" spans="1:49" ht="16.5" x14ac:dyDescent="0.35">
      <c r="A15" s="961"/>
      <c r="B15" s="57">
        <f>'Licht vervoer'!A15</f>
        <v>0.31250000000000006</v>
      </c>
      <c r="C15" s="958" t="s">
        <v>23</v>
      </c>
      <c r="D15" s="959"/>
      <c r="E15" s="56">
        <f>'Licht vervoer'!D15</f>
        <v>0.32291666666666674</v>
      </c>
      <c r="F15" s="38">
        <f>'Zwaar vervoer'!F15*2</f>
        <v>4</v>
      </c>
      <c r="G15" s="52">
        <f>'Zwaar vervoer'!G15*2</f>
        <v>0</v>
      </c>
      <c r="H15" s="145">
        <f>'Zwaar vervoer'!H15*2</f>
        <v>6</v>
      </c>
      <c r="I15" s="172">
        <f>'Zwaar vervoer'!I15*2</f>
        <v>0</v>
      </c>
      <c r="J15" s="52">
        <f>'Zwaar vervoer'!J15*2</f>
        <v>30</v>
      </c>
      <c r="K15" s="145">
        <f>'Zwaar vervoer'!K15*2</f>
        <v>6</v>
      </c>
      <c r="L15" s="172">
        <f>'Zwaar vervoer'!L15*2</f>
        <v>0</v>
      </c>
      <c r="M15" s="52">
        <f>'Zwaar vervoer'!M15*2</f>
        <v>0</v>
      </c>
      <c r="N15" s="145">
        <f>'Zwaar vervoer'!N15*2</f>
        <v>0</v>
      </c>
      <c r="O15" s="172">
        <f>'Zwaar vervoer'!O15*2</f>
        <v>12</v>
      </c>
      <c r="P15" s="52">
        <f>'Zwaar vervoer'!P15*2</f>
        <v>40</v>
      </c>
      <c r="Q15" s="145">
        <f>'Zwaar vervoer'!Q15*2</f>
        <v>0</v>
      </c>
      <c r="R15" s="217"/>
      <c r="S15" s="217"/>
      <c r="T15" s="217"/>
      <c r="U15" s="217"/>
      <c r="V15" s="217"/>
      <c r="W15" s="217"/>
      <c r="X15" s="217"/>
      <c r="Y15" s="217"/>
      <c r="Z15" s="5"/>
      <c r="AA15" s="281">
        <f t="shared" si="22"/>
        <v>0</v>
      </c>
      <c r="AB15" s="193" t="b">
        <f>'Stromendiagram periode 1'!BD$5</f>
        <v>1</v>
      </c>
      <c r="AD15" s="251">
        <f t="shared" si="2"/>
        <v>0</v>
      </c>
      <c r="AE15" s="252">
        <f t="shared" si="3"/>
        <v>0</v>
      </c>
      <c r="AF15" s="253">
        <f t="shared" si="4"/>
        <v>0</v>
      </c>
      <c r="AG15" s="254">
        <f t="shared" si="5"/>
        <v>0</v>
      </c>
      <c r="AH15" s="252">
        <f t="shared" si="6"/>
        <v>0</v>
      </c>
      <c r="AI15" s="253">
        <f t="shared" si="7"/>
        <v>0</v>
      </c>
      <c r="AJ15" s="254">
        <f t="shared" si="8"/>
        <v>0</v>
      </c>
      <c r="AK15" s="252">
        <f t="shared" si="9"/>
        <v>0</v>
      </c>
      <c r="AL15" s="253">
        <f t="shared" si="10"/>
        <v>0</v>
      </c>
      <c r="AM15" s="254">
        <f t="shared" si="11"/>
        <v>0</v>
      </c>
      <c r="AN15" s="252">
        <f t="shared" si="12"/>
        <v>0</v>
      </c>
      <c r="AO15" s="253">
        <f t="shared" si="13"/>
        <v>0</v>
      </c>
      <c r="AP15" s="255">
        <f t="shared" si="14"/>
        <v>0</v>
      </c>
      <c r="AQ15" s="255">
        <f t="shared" si="15"/>
        <v>0</v>
      </c>
      <c r="AR15" s="255">
        <f t="shared" si="16"/>
        <v>0</v>
      </c>
      <c r="AS15" s="255">
        <f t="shared" si="17"/>
        <v>0</v>
      </c>
      <c r="AT15" s="255">
        <f t="shared" si="18"/>
        <v>0</v>
      </c>
      <c r="AU15" s="255">
        <f t="shared" si="19"/>
        <v>0</v>
      </c>
      <c r="AV15" s="255">
        <f t="shared" si="20"/>
        <v>0</v>
      </c>
      <c r="AW15" s="255">
        <f t="shared" si="21"/>
        <v>0</v>
      </c>
    </row>
    <row r="16" spans="1:49" ht="16.5" x14ac:dyDescent="0.35">
      <c r="A16" s="961"/>
      <c r="B16" s="57">
        <f>'Licht vervoer'!A16</f>
        <v>0.32291666666666674</v>
      </c>
      <c r="C16" s="958" t="s">
        <v>23</v>
      </c>
      <c r="D16" s="959"/>
      <c r="E16" s="56">
        <f>'Licht vervoer'!D16</f>
        <v>0.33333333333333343</v>
      </c>
      <c r="F16" s="184">
        <f>'Zwaar vervoer'!F16*2</f>
        <v>12</v>
      </c>
      <c r="G16" s="185">
        <f>'Zwaar vervoer'!G16*2</f>
        <v>0</v>
      </c>
      <c r="H16" s="186">
        <f>'Zwaar vervoer'!H16*2</f>
        <v>10</v>
      </c>
      <c r="I16" s="187">
        <f>'Zwaar vervoer'!I16*2</f>
        <v>0</v>
      </c>
      <c r="J16" s="185">
        <f>'Zwaar vervoer'!J16*2</f>
        <v>16</v>
      </c>
      <c r="K16" s="186">
        <f>'Zwaar vervoer'!K16*2</f>
        <v>8</v>
      </c>
      <c r="L16" s="187">
        <f>'Zwaar vervoer'!L16*2</f>
        <v>0</v>
      </c>
      <c r="M16" s="185">
        <f>'Zwaar vervoer'!M16*2</f>
        <v>0</v>
      </c>
      <c r="N16" s="186">
        <f>'Zwaar vervoer'!N16*2</f>
        <v>0</v>
      </c>
      <c r="O16" s="187">
        <f>'Zwaar vervoer'!O16*2</f>
        <v>8</v>
      </c>
      <c r="P16" s="185">
        <f>'Zwaar vervoer'!P16*2</f>
        <v>50</v>
      </c>
      <c r="Q16" s="186">
        <f>'Zwaar vervoer'!Q16*2</f>
        <v>0</v>
      </c>
      <c r="R16" s="217"/>
      <c r="S16" s="217"/>
      <c r="T16" s="217"/>
      <c r="U16" s="217"/>
      <c r="V16" s="217"/>
      <c r="W16" s="217"/>
      <c r="X16" s="217"/>
      <c r="Y16" s="217"/>
      <c r="Z16" s="5"/>
      <c r="AA16" s="281">
        <f t="shared" si="22"/>
        <v>0</v>
      </c>
      <c r="AB16" s="193" t="b">
        <f>'Stromendiagram periode 1'!BD$5</f>
        <v>1</v>
      </c>
      <c r="AD16" s="251">
        <f t="shared" si="2"/>
        <v>0</v>
      </c>
      <c r="AE16" s="252">
        <f t="shared" si="3"/>
        <v>0</v>
      </c>
      <c r="AF16" s="253">
        <f t="shared" si="4"/>
        <v>0</v>
      </c>
      <c r="AG16" s="254">
        <f t="shared" si="5"/>
        <v>0</v>
      </c>
      <c r="AH16" s="252">
        <f t="shared" si="6"/>
        <v>0</v>
      </c>
      <c r="AI16" s="253">
        <f t="shared" si="7"/>
        <v>0</v>
      </c>
      <c r="AJ16" s="254">
        <f t="shared" si="8"/>
        <v>0</v>
      </c>
      <c r="AK16" s="252">
        <f t="shared" si="9"/>
        <v>0</v>
      </c>
      <c r="AL16" s="253">
        <f t="shared" si="10"/>
        <v>0</v>
      </c>
      <c r="AM16" s="254">
        <f t="shared" si="11"/>
        <v>0</v>
      </c>
      <c r="AN16" s="252">
        <f t="shared" si="12"/>
        <v>0</v>
      </c>
      <c r="AO16" s="253">
        <f t="shared" si="13"/>
        <v>0</v>
      </c>
      <c r="AP16" s="255">
        <f t="shared" si="14"/>
        <v>0</v>
      </c>
      <c r="AQ16" s="255">
        <f t="shared" si="15"/>
        <v>0</v>
      </c>
      <c r="AR16" s="255">
        <f t="shared" si="16"/>
        <v>0</v>
      </c>
      <c r="AS16" s="255">
        <f t="shared" si="17"/>
        <v>0</v>
      </c>
      <c r="AT16" s="255">
        <f t="shared" si="18"/>
        <v>0</v>
      </c>
      <c r="AU16" s="255">
        <f t="shared" si="19"/>
        <v>0</v>
      </c>
      <c r="AV16" s="255">
        <f t="shared" si="20"/>
        <v>0</v>
      </c>
      <c r="AW16" s="255">
        <f t="shared" si="21"/>
        <v>0</v>
      </c>
    </row>
    <row r="17" spans="1:49" ht="16.5" x14ac:dyDescent="0.35">
      <c r="A17" s="961"/>
      <c r="B17" s="57">
        <f>'Licht vervoer'!A17</f>
        <v>0.33333333333333343</v>
      </c>
      <c r="C17" s="958" t="s">
        <v>23</v>
      </c>
      <c r="D17" s="959"/>
      <c r="E17" s="56">
        <f>'Licht vervoer'!D17</f>
        <v>0.34375000000000011</v>
      </c>
      <c r="F17" s="38">
        <f>'Zwaar vervoer'!F17*2</f>
        <v>10</v>
      </c>
      <c r="G17" s="52">
        <f>'Zwaar vervoer'!G17*2</f>
        <v>0</v>
      </c>
      <c r="H17" s="145">
        <f>'Zwaar vervoer'!H17*2</f>
        <v>8</v>
      </c>
      <c r="I17" s="172">
        <f>'Zwaar vervoer'!I17*2</f>
        <v>0</v>
      </c>
      <c r="J17" s="52">
        <f>'Zwaar vervoer'!J17*2</f>
        <v>24</v>
      </c>
      <c r="K17" s="145">
        <f>'Zwaar vervoer'!K17*2</f>
        <v>12</v>
      </c>
      <c r="L17" s="172">
        <f>'Zwaar vervoer'!L17*2</f>
        <v>0</v>
      </c>
      <c r="M17" s="52">
        <f>'Zwaar vervoer'!M17*2</f>
        <v>0</v>
      </c>
      <c r="N17" s="145">
        <f>'Zwaar vervoer'!N17*2</f>
        <v>0</v>
      </c>
      <c r="O17" s="172">
        <f>'Zwaar vervoer'!O17*2</f>
        <v>14</v>
      </c>
      <c r="P17" s="52">
        <f>'Zwaar vervoer'!P17*2</f>
        <v>12</v>
      </c>
      <c r="Q17" s="145">
        <f>'Zwaar vervoer'!Q17*2</f>
        <v>0</v>
      </c>
      <c r="R17" s="217"/>
      <c r="S17" s="217"/>
      <c r="T17" s="217"/>
      <c r="U17" s="217"/>
      <c r="V17" s="217"/>
      <c r="W17" s="217"/>
      <c r="X17" s="217"/>
      <c r="Y17" s="217"/>
      <c r="Z17" s="5"/>
      <c r="AA17" s="281">
        <f t="shared" si="22"/>
        <v>1</v>
      </c>
      <c r="AB17" s="193" t="b">
        <f>'Stromendiagram periode 1'!BD$5</f>
        <v>1</v>
      </c>
      <c r="AD17" s="251">
        <f t="shared" si="2"/>
        <v>10</v>
      </c>
      <c r="AE17" s="252">
        <f t="shared" si="3"/>
        <v>0</v>
      </c>
      <c r="AF17" s="253">
        <f t="shared" si="4"/>
        <v>8</v>
      </c>
      <c r="AG17" s="254">
        <f t="shared" si="5"/>
        <v>0</v>
      </c>
      <c r="AH17" s="252">
        <f t="shared" si="6"/>
        <v>24</v>
      </c>
      <c r="AI17" s="253">
        <f t="shared" si="7"/>
        <v>12</v>
      </c>
      <c r="AJ17" s="254">
        <f t="shared" si="8"/>
        <v>0</v>
      </c>
      <c r="AK17" s="252">
        <f t="shared" si="9"/>
        <v>0</v>
      </c>
      <c r="AL17" s="253">
        <f t="shared" si="10"/>
        <v>0</v>
      </c>
      <c r="AM17" s="254">
        <f t="shared" si="11"/>
        <v>14</v>
      </c>
      <c r="AN17" s="252">
        <f t="shared" si="12"/>
        <v>12</v>
      </c>
      <c r="AO17" s="253">
        <f t="shared" si="13"/>
        <v>0</v>
      </c>
      <c r="AP17" s="255">
        <f t="shared" si="14"/>
        <v>0</v>
      </c>
      <c r="AQ17" s="255">
        <f t="shared" si="15"/>
        <v>0</v>
      </c>
      <c r="AR17" s="255">
        <f t="shared" si="16"/>
        <v>0</v>
      </c>
      <c r="AS17" s="255">
        <f t="shared" si="17"/>
        <v>0</v>
      </c>
      <c r="AT17" s="255">
        <f t="shared" si="18"/>
        <v>0</v>
      </c>
      <c r="AU17" s="255">
        <f t="shared" si="19"/>
        <v>0</v>
      </c>
      <c r="AV17" s="255">
        <f t="shared" si="20"/>
        <v>0</v>
      </c>
      <c r="AW17" s="255">
        <f t="shared" si="21"/>
        <v>0</v>
      </c>
    </row>
    <row r="18" spans="1:49" ht="16.5" x14ac:dyDescent="0.35">
      <c r="A18" s="961"/>
      <c r="B18" s="57">
        <f>'Licht vervoer'!A18</f>
        <v>0.34375000000000011</v>
      </c>
      <c r="C18" s="958" t="s">
        <v>23</v>
      </c>
      <c r="D18" s="959"/>
      <c r="E18" s="56">
        <f>'Licht vervoer'!D18</f>
        <v>0.3541666666666668</v>
      </c>
      <c r="F18" s="38">
        <f>'Zwaar vervoer'!F18*2</f>
        <v>8</v>
      </c>
      <c r="G18" s="52">
        <f>'Zwaar vervoer'!G18*2</f>
        <v>0</v>
      </c>
      <c r="H18" s="145">
        <f>'Zwaar vervoer'!H18*2</f>
        <v>10</v>
      </c>
      <c r="I18" s="172">
        <f>'Zwaar vervoer'!I18*2</f>
        <v>0</v>
      </c>
      <c r="J18" s="52">
        <f>'Zwaar vervoer'!J18*2</f>
        <v>26</v>
      </c>
      <c r="K18" s="145">
        <f>'Zwaar vervoer'!K18*2</f>
        <v>4</v>
      </c>
      <c r="L18" s="172">
        <f>'Zwaar vervoer'!L18*2</f>
        <v>0</v>
      </c>
      <c r="M18" s="52">
        <f>'Zwaar vervoer'!M18*2</f>
        <v>0</v>
      </c>
      <c r="N18" s="145">
        <f>'Zwaar vervoer'!N18*2</f>
        <v>0</v>
      </c>
      <c r="O18" s="172">
        <f>'Zwaar vervoer'!O18*2</f>
        <v>6</v>
      </c>
      <c r="P18" s="52">
        <f>'Zwaar vervoer'!P18*2</f>
        <v>44</v>
      </c>
      <c r="Q18" s="145">
        <f>'Zwaar vervoer'!Q18*2</f>
        <v>0</v>
      </c>
      <c r="R18" s="217"/>
      <c r="S18" s="217"/>
      <c r="T18" s="217"/>
      <c r="U18" s="217"/>
      <c r="V18" s="217"/>
      <c r="W18" s="217"/>
      <c r="X18" s="217"/>
      <c r="Y18" s="217"/>
      <c r="Z18" s="5"/>
      <c r="AA18" s="281">
        <f t="shared" si="22"/>
        <v>1</v>
      </c>
      <c r="AB18" s="193" t="b">
        <f>'Stromendiagram periode 1'!BD$5</f>
        <v>1</v>
      </c>
      <c r="AD18" s="251">
        <f t="shared" si="2"/>
        <v>8</v>
      </c>
      <c r="AE18" s="252">
        <f t="shared" si="3"/>
        <v>0</v>
      </c>
      <c r="AF18" s="253">
        <f t="shared" si="4"/>
        <v>10</v>
      </c>
      <c r="AG18" s="254">
        <f t="shared" si="5"/>
        <v>0</v>
      </c>
      <c r="AH18" s="252">
        <f t="shared" si="6"/>
        <v>26</v>
      </c>
      <c r="AI18" s="253">
        <f t="shared" si="7"/>
        <v>4</v>
      </c>
      <c r="AJ18" s="254">
        <f t="shared" si="8"/>
        <v>0</v>
      </c>
      <c r="AK18" s="252">
        <f t="shared" si="9"/>
        <v>0</v>
      </c>
      <c r="AL18" s="253">
        <f t="shared" si="10"/>
        <v>0</v>
      </c>
      <c r="AM18" s="254">
        <f t="shared" si="11"/>
        <v>6</v>
      </c>
      <c r="AN18" s="252">
        <f t="shared" si="12"/>
        <v>44</v>
      </c>
      <c r="AO18" s="253">
        <f t="shared" si="13"/>
        <v>0</v>
      </c>
      <c r="AP18" s="255">
        <f t="shared" si="14"/>
        <v>0</v>
      </c>
      <c r="AQ18" s="255">
        <f t="shared" si="15"/>
        <v>0</v>
      </c>
      <c r="AR18" s="255">
        <f t="shared" si="16"/>
        <v>0</v>
      </c>
      <c r="AS18" s="255">
        <f t="shared" si="17"/>
        <v>0</v>
      </c>
      <c r="AT18" s="255">
        <f t="shared" si="18"/>
        <v>0</v>
      </c>
      <c r="AU18" s="255">
        <f t="shared" si="19"/>
        <v>0</v>
      </c>
      <c r="AV18" s="255">
        <f t="shared" si="20"/>
        <v>0</v>
      </c>
      <c r="AW18" s="255">
        <f t="shared" si="21"/>
        <v>0</v>
      </c>
    </row>
    <row r="19" spans="1:49" ht="16.5" x14ac:dyDescent="0.35">
      <c r="A19" s="961"/>
      <c r="B19" s="57">
        <f>'Licht vervoer'!A19</f>
        <v>0.3541666666666668</v>
      </c>
      <c r="C19" s="958" t="s">
        <v>23</v>
      </c>
      <c r="D19" s="959"/>
      <c r="E19" s="56">
        <f>'Licht vervoer'!D19</f>
        <v>0.36458333333333348</v>
      </c>
      <c r="F19" s="180">
        <f>'Zwaar vervoer'!F19*2</f>
        <v>14</v>
      </c>
      <c r="G19" s="181">
        <f>'Zwaar vervoer'!G19*2</f>
        <v>0</v>
      </c>
      <c r="H19" s="182">
        <f>'Zwaar vervoer'!H19*2</f>
        <v>16</v>
      </c>
      <c r="I19" s="183">
        <f>'Zwaar vervoer'!I19*2</f>
        <v>0</v>
      </c>
      <c r="J19" s="181">
        <f>'Zwaar vervoer'!J19*2</f>
        <v>36</v>
      </c>
      <c r="K19" s="182">
        <f>'Zwaar vervoer'!K19*2</f>
        <v>16</v>
      </c>
      <c r="L19" s="183">
        <f>'Zwaar vervoer'!L19*2</f>
        <v>0</v>
      </c>
      <c r="M19" s="181">
        <f>'Zwaar vervoer'!M19*2</f>
        <v>0</v>
      </c>
      <c r="N19" s="182">
        <f>'Zwaar vervoer'!N19*2</f>
        <v>0</v>
      </c>
      <c r="O19" s="183">
        <f>'Zwaar vervoer'!O19*2</f>
        <v>6</v>
      </c>
      <c r="P19" s="181">
        <f>'Zwaar vervoer'!P19*2</f>
        <v>18</v>
      </c>
      <c r="Q19" s="182">
        <f>'Zwaar vervoer'!Q19*2</f>
        <v>0</v>
      </c>
      <c r="R19" s="217"/>
      <c r="S19" s="217"/>
      <c r="T19" s="217"/>
      <c r="U19" s="217"/>
      <c r="V19" s="217"/>
      <c r="W19" s="217"/>
      <c r="X19" s="217"/>
      <c r="Y19" s="217"/>
      <c r="Z19" s="5"/>
      <c r="AA19" s="281">
        <f t="shared" si="22"/>
        <v>1</v>
      </c>
      <c r="AB19" s="193" t="b">
        <f>'Stromendiagram periode 1'!BD$5</f>
        <v>1</v>
      </c>
      <c r="AD19" s="251">
        <f t="shared" si="2"/>
        <v>14</v>
      </c>
      <c r="AE19" s="252">
        <f t="shared" si="3"/>
        <v>0</v>
      </c>
      <c r="AF19" s="253">
        <f t="shared" si="4"/>
        <v>16</v>
      </c>
      <c r="AG19" s="254">
        <f t="shared" si="5"/>
        <v>0</v>
      </c>
      <c r="AH19" s="252">
        <f t="shared" si="6"/>
        <v>36</v>
      </c>
      <c r="AI19" s="253">
        <f t="shared" si="7"/>
        <v>16</v>
      </c>
      <c r="AJ19" s="254">
        <f t="shared" si="8"/>
        <v>0</v>
      </c>
      <c r="AK19" s="252">
        <f t="shared" si="9"/>
        <v>0</v>
      </c>
      <c r="AL19" s="253">
        <f t="shared" si="10"/>
        <v>0</v>
      </c>
      <c r="AM19" s="254">
        <f t="shared" si="11"/>
        <v>6</v>
      </c>
      <c r="AN19" s="252">
        <f t="shared" si="12"/>
        <v>18</v>
      </c>
      <c r="AO19" s="253">
        <f t="shared" si="13"/>
        <v>0</v>
      </c>
      <c r="AP19" s="255">
        <f t="shared" si="14"/>
        <v>0</v>
      </c>
      <c r="AQ19" s="255">
        <f t="shared" si="15"/>
        <v>0</v>
      </c>
      <c r="AR19" s="255">
        <f t="shared" si="16"/>
        <v>0</v>
      </c>
      <c r="AS19" s="255">
        <f t="shared" si="17"/>
        <v>0</v>
      </c>
      <c r="AT19" s="255">
        <f t="shared" si="18"/>
        <v>0</v>
      </c>
      <c r="AU19" s="255">
        <f t="shared" si="19"/>
        <v>0</v>
      </c>
      <c r="AV19" s="255">
        <f t="shared" si="20"/>
        <v>0</v>
      </c>
      <c r="AW19" s="255">
        <f t="shared" si="21"/>
        <v>0</v>
      </c>
    </row>
    <row r="20" spans="1:49" ht="17.25" thickBot="1" x14ac:dyDescent="0.4">
      <c r="A20" s="962"/>
      <c r="B20" s="58">
        <f>'Licht vervoer'!A20</f>
        <v>0.36458333333333348</v>
      </c>
      <c r="C20" s="969" t="s">
        <v>23</v>
      </c>
      <c r="D20" s="970"/>
      <c r="E20" s="164">
        <f>'Licht vervoer'!D20</f>
        <v>0.37500000000000017</v>
      </c>
      <c r="F20" s="168">
        <f>'Zwaar vervoer'!F20*2</f>
        <v>16</v>
      </c>
      <c r="G20" s="169">
        <f>'Zwaar vervoer'!G20*2</f>
        <v>0</v>
      </c>
      <c r="H20" s="170">
        <f>'Zwaar vervoer'!H20*2</f>
        <v>12</v>
      </c>
      <c r="I20" s="171">
        <f>'Zwaar vervoer'!I20*2</f>
        <v>0</v>
      </c>
      <c r="J20" s="169">
        <f>'Zwaar vervoer'!J20*2</f>
        <v>26</v>
      </c>
      <c r="K20" s="170">
        <f>'Zwaar vervoer'!K20*2</f>
        <v>24</v>
      </c>
      <c r="L20" s="171">
        <f>'Zwaar vervoer'!L20*2</f>
        <v>0</v>
      </c>
      <c r="M20" s="169">
        <f>'Zwaar vervoer'!M20*2</f>
        <v>0</v>
      </c>
      <c r="N20" s="170">
        <f>'Zwaar vervoer'!N20*2</f>
        <v>0</v>
      </c>
      <c r="O20" s="171">
        <f>'Zwaar vervoer'!O20*2</f>
        <v>12</v>
      </c>
      <c r="P20" s="169">
        <f>'Zwaar vervoer'!P20*2</f>
        <v>18</v>
      </c>
      <c r="Q20" s="170">
        <f>'Zwaar vervoer'!Q20*2</f>
        <v>0</v>
      </c>
      <c r="R20" s="218"/>
      <c r="S20" s="218"/>
      <c r="T20" s="245"/>
      <c r="U20" s="218"/>
      <c r="V20" s="218"/>
      <c r="W20" s="218"/>
      <c r="X20" s="218"/>
      <c r="Y20" s="218"/>
      <c r="Z20" s="5"/>
      <c r="AA20" s="140">
        <f t="shared" si="22"/>
        <v>1</v>
      </c>
      <c r="AB20" s="194" t="b">
        <f>'Stromendiagram periode 1'!BD$5</f>
        <v>1</v>
      </c>
      <c r="AD20" s="256">
        <f t="shared" si="2"/>
        <v>16</v>
      </c>
      <c r="AE20" s="257">
        <f t="shared" si="3"/>
        <v>0</v>
      </c>
      <c r="AF20" s="258">
        <f t="shared" si="4"/>
        <v>12</v>
      </c>
      <c r="AG20" s="259">
        <f t="shared" si="5"/>
        <v>0</v>
      </c>
      <c r="AH20" s="257">
        <f t="shared" si="6"/>
        <v>26</v>
      </c>
      <c r="AI20" s="258">
        <f t="shared" si="7"/>
        <v>24</v>
      </c>
      <c r="AJ20" s="259">
        <f t="shared" si="8"/>
        <v>0</v>
      </c>
      <c r="AK20" s="257">
        <f t="shared" si="9"/>
        <v>0</v>
      </c>
      <c r="AL20" s="258">
        <f t="shared" si="10"/>
        <v>0</v>
      </c>
      <c r="AM20" s="259">
        <f t="shared" si="11"/>
        <v>12</v>
      </c>
      <c r="AN20" s="257">
        <f t="shared" si="12"/>
        <v>18</v>
      </c>
      <c r="AO20" s="258">
        <f t="shared" si="13"/>
        <v>0</v>
      </c>
      <c r="AP20" s="260">
        <f t="shared" si="14"/>
        <v>0</v>
      </c>
      <c r="AQ20" s="260">
        <f t="shared" si="15"/>
        <v>0</v>
      </c>
      <c r="AR20" s="260">
        <f t="shared" si="16"/>
        <v>0</v>
      </c>
      <c r="AS20" s="260">
        <f t="shared" si="17"/>
        <v>0</v>
      </c>
      <c r="AT20" s="260">
        <f t="shared" si="18"/>
        <v>0</v>
      </c>
      <c r="AU20" s="260">
        <f t="shared" si="19"/>
        <v>0</v>
      </c>
      <c r="AV20" s="260">
        <f t="shared" si="20"/>
        <v>0</v>
      </c>
      <c r="AW20" s="260">
        <f t="shared" si="21"/>
        <v>0</v>
      </c>
    </row>
    <row r="21" spans="1:49" ht="16.5" x14ac:dyDescent="0.35">
      <c r="A21" s="960" t="s">
        <v>47</v>
      </c>
      <c r="B21" s="55">
        <f>'Licht vervoer'!A13</f>
        <v>0.29166666666666669</v>
      </c>
      <c r="C21" s="956" t="s">
        <v>23</v>
      </c>
      <c r="D21" s="957"/>
      <c r="E21" s="56">
        <f>'Licht vervoer'!D13</f>
        <v>0.30208333333333337</v>
      </c>
      <c r="F21" s="188">
        <f>IF(' Fietsers '!$S$5=TRUE,' Fietsers '!F14/2,0)</f>
        <v>0</v>
      </c>
      <c r="G21" s="189">
        <f>IF(' Fietsers '!$S$5=TRUE,' Fietsers '!G14/2,0)</f>
        <v>0</v>
      </c>
      <c r="H21" s="108">
        <f>IF(' Fietsers '!$S$5=TRUE,' Fietsers '!H14/2,0)</f>
        <v>0</v>
      </c>
      <c r="I21" s="121">
        <f>IF(' Fietsers '!$S$6=TRUE,' Fietsers '!I14/2,0)</f>
        <v>0</v>
      </c>
      <c r="J21" s="121">
        <f>IF(' Fietsers '!$S$6=TRUE,' Fietsers '!J14/2,0)</f>
        <v>0</v>
      </c>
      <c r="K21" s="117">
        <f>IF(' Fietsers '!$S$6=TRUE,' Fietsers '!K14/2,0)</f>
        <v>0</v>
      </c>
      <c r="L21" s="121">
        <f>IF(' Fietsers '!$S$7=TRUE,' Fietsers '!L14/2,0)</f>
        <v>0</v>
      </c>
      <c r="M21" s="121">
        <f>IF(' Fietsers '!$S$7=TRUE,' Fietsers '!M14/2,0)</f>
        <v>0</v>
      </c>
      <c r="N21" s="117">
        <f>IF(' Fietsers '!$S$7=TRUE,' Fietsers '!N14/2,0)</f>
        <v>0</v>
      </c>
      <c r="O21" s="121">
        <f>IF(' Fietsers '!$S$8=TRUE,' Fietsers '!O14/2,0)</f>
        <v>0</v>
      </c>
      <c r="P21" s="121">
        <f>IF(' Fietsers '!$S$8=TRUE,' Fietsers '!P14/2,0)</f>
        <v>0</v>
      </c>
      <c r="Q21" s="121">
        <f>IF(' Fietsers '!$S$8=TRUE,' Fietsers '!Q14/2,0)</f>
        <v>0</v>
      </c>
      <c r="R21" s="215">
        <f>IF(' Fietsers '!$S$5=FALSE,' Fietsers '!G14,0)</f>
        <v>0</v>
      </c>
      <c r="S21" s="163">
        <f>IF(' Fietsers '!$S$6=FALSE,' Fietsers '!J14,0)</f>
        <v>2</v>
      </c>
      <c r="T21" s="163">
        <f>IF(' Fietsers '!$S$7=FALSE,' Fietsers '!M14,0)</f>
        <v>0</v>
      </c>
      <c r="U21" s="215">
        <f>IF(' Fietsers '!$S$8=FALSE,' Fietsers '!P14,0)</f>
        <v>11</v>
      </c>
      <c r="V21" s="215"/>
      <c r="W21" s="215"/>
      <c r="X21" s="215"/>
      <c r="Y21" s="215"/>
      <c r="Z21" s="151"/>
      <c r="AA21" s="281">
        <f>AA39</f>
        <v>0</v>
      </c>
      <c r="AB21" s="193" t="b">
        <f>'Stromendiagram periode 1'!BD$6</f>
        <v>1</v>
      </c>
      <c r="AD21" s="220">
        <f t="shared" si="2"/>
        <v>0</v>
      </c>
      <c r="AE21" s="261">
        <f t="shared" si="3"/>
        <v>0</v>
      </c>
      <c r="AF21" s="262">
        <f t="shared" si="4"/>
        <v>0</v>
      </c>
      <c r="AG21" s="263">
        <f t="shared" si="5"/>
        <v>0</v>
      </c>
      <c r="AH21" s="261">
        <f t="shared" si="6"/>
        <v>0</v>
      </c>
      <c r="AI21" s="262">
        <f t="shared" si="7"/>
        <v>0</v>
      </c>
      <c r="AJ21" s="263">
        <f t="shared" si="8"/>
        <v>0</v>
      </c>
      <c r="AK21" s="261">
        <f t="shared" si="9"/>
        <v>0</v>
      </c>
      <c r="AL21" s="262">
        <f t="shared" si="10"/>
        <v>0</v>
      </c>
      <c r="AM21" s="263">
        <f t="shared" si="11"/>
        <v>0</v>
      </c>
      <c r="AN21" s="261">
        <f t="shared" si="12"/>
        <v>0</v>
      </c>
      <c r="AO21" s="262">
        <f t="shared" si="13"/>
        <v>0</v>
      </c>
      <c r="AP21" s="264">
        <f>$AA21*$AB21*R21</f>
        <v>0</v>
      </c>
      <c r="AQ21" s="264">
        <f t="shared" si="15"/>
        <v>0</v>
      </c>
      <c r="AR21" s="264">
        <f t="shared" si="16"/>
        <v>0</v>
      </c>
      <c r="AS21" s="264">
        <f t="shared" si="17"/>
        <v>0</v>
      </c>
      <c r="AT21" s="264">
        <f t="shared" si="18"/>
        <v>0</v>
      </c>
      <c r="AU21" s="264">
        <f t="shared" si="19"/>
        <v>0</v>
      </c>
      <c r="AV21" s="264">
        <f t="shared" si="20"/>
        <v>0</v>
      </c>
      <c r="AW21" s="264">
        <f t="shared" si="21"/>
        <v>0</v>
      </c>
    </row>
    <row r="22" spans="1:49" ht="16.5" x14ac:dyDescent="0.35">
      <c r="A22" s="961"/>
      <c r="B22" s="57">
        <f>'Licht vervoer'!A14</f>
        <v>0.30208333333333337</v>
      </c>
      <c r="C22" s="958" t="s">
        <v>23</v>
      </c>
      <c r="D22" s="959"/>
      <c r="E22" s="56">
        <f>'Licht vervoer'!D14</f>
        <v>0.31250000000000006</v>
      </c>
      <c r="F22" s="188">
        <f>IF(' Fietsers '!$S$5=TRUE,' Fietsers '!F15/2,0)</f>
        <v>0</v>
      </c>
      <c r="G22" s="190">
        <f>IF(' Fietsers '!$S$5=TRUE,' Fietsers '!G15/2,0)</f>
        <v>0</v>
      </c>
      <c r="H22" s="111">
        <f>IF(' Fietsers '!$S$5=TRUE,' Fietsers '!H15/2,0)</f>
        <v>0</v>
      </c>
      <c r="I22" s="121">
        <f>IF(' Fietsers '!$S$6=TRUE,' Fietsers '!I15/2,0)</f>
        <v>0</v>
      </c>
      <c r="J22" s="121">
        <f>IF(' Fietsers '!$S$6=TRUE,' Fietsers '!J15/2,0)</f>
        <v>0</v>
      </c>
      <c r="K22" s="118">
        <f>IF(' Fietsers '!$S$6=TRUE,' Fietsers '!K15/2,0)</f>
        <v>0</v>
      </c>
      <c r="L22" s="121">
        <f>IF(' Fietsers '!$S$7=TRUE,' Fietsers '!L15/2,0)</f>
        <v>0</v>
      </c>
      <c r="M22" s="121">
        <f>IF(' Fietsers '!$S$7=TRUE,' Fietsers '!M15/2,0)</f>
        <v>0</v>
      </c>
      <c r="N22" s="118">
        <f>IF(' Fietsers '!$S$7=TRUE,' Fietsers '!N15/2,0)</f>
        <v>0</v>
      </c>
      <c r="O22" s="121">
        <f>IF(' Fietsers '!$S$8=TRUE,' Fietsers '!O15/2,0)</f>
        <v>0</v>
      </c>
      <c r="P22" s="121">
        <f>IF(' Fietsers '!$S$8=TRUE,' Fietsers '!P15/2,0)</f>
        <v>0</v>
      </c>
      <c r="Q22" s="121">
        <f>IF(' Fietsers '!$S$8=TRUE,' Fietsers '!Q15/2,0)</f>
        <v>0</v>
      </c>
      <c r="R22" s="215">
        <f>IF(' Fietsers '!$S$5=FALSE,' Fietsers '!G15,0)</f>
        <v>0</v>
      </c>
      <c r="S22" s="213">
        <f>IF(' Fietsers '!$S$6=FALSE,' Fietsers '!J15,0)</f>
        <v>6</v>
      </c>
      <c r="T22" s="213">
        <f>IF(' Fietsers '!$S$7=FALSE,' Fietsers '!M15,0)</f>
        <v>0</v>
      </c>
      <c r="U22" s="215">
        <f>IF(' Fietsers '!$S$8=FALSE,' Fietsers '!P15,0)</f>
        <v>21</v>
      </c>
      <c r="V22" s="213"/>
      <c r="W22" s="213"/>
      <c r="X22" s="213"/>
      <c r="Y22" s="213"/>
      <c r="Z22" s="151"/>
      <c r="AA22" s="281">
        <f t="shared" ref="AA22:AA28" si="23">AA40</f>
        <v>0</v>
      </c>
      <c r="AB22" s="193" t="b">
        <f>'Stromendiagram periode 1'!BD$6</f>
        <v>1</v>
      </c>
      <c r="AD22" s="251">
        <f t="shared" si="2"/>
        <v>0</v>
      </c>
      <c r="AE22" s="252">
        <f t="shared" si="3"/>
        <v>0</v>
      </c>
      <c r="AF22" s="253">
        <f t="shared" si="4"/>
        <v>0</v>
      </c>
      <c r="AG22" s="254">
        <f t="shared" si="5"/>
        <v>0</v>
      </c>
      <c r="AH22" s="252">
        <f t="shared" si="6"/>
        <v>0</v>
      </c>
      <c r="AI22" s="253">
        <f t="shared" si="7"/>
        <v>0</v>
      </c>
      <c r="AJ22" s="254">
        <f t="shared" si="8"/>
        <v>0</v>
      </c>
      <c r="AK22" s="252">
        <f t="shared" si="9"/>
        <v>0</v>
      </c>
      <c r="AL22" s="253">
        <f t="shared" si="10"/>
        <v>0</v>
      </c>
      <c r="AM22" s="254">
        <f t="shared" si="11"/>
        <v>0</v>
      </c>
      <c r="AN22" s="252">
        <f t="shared" si="12"/>
        <v>0</v>
      </c>
      <c r="AO22" s="253">
        <f t="shared" si="13"/>
        <v>0</v>
      </c>
      <c r="AP22" s="255">
        <f t="shared" si="14"/>
        <v>0</v>
      </c>
      <c r="AQ22" s="255">
        <f t="shared" si="15"/>
        <v>0</v>
      </c>
      <c r="AR22" s="255">
        <f t="shared" si="16"/>
        <v>0</v>
      </c>
      <c r="AS22" s="255">
        <f t="shared" si="17"/>
        <v>0</v>
      </c>
      <c r="AT22" s="255">
        <f t="shared" si="18"/>
        <v>0</v>
      </c>
      <c r="AU22" s="255">
        <f t="shared" si="19"/>
        <v>0</v>
      </c>
      <c r="AV22" s="255">
        <f t="shared" si="20"/>
        <v>0</v>
      </c>
      <c r="AW22" s="255">
        <f t="shared" si="21"/>
        <v>0</v>
      </c>
    </row>
    <row r="23" spans="1:49" ht="16.5" x14ac:dyDescent="0.35">
      <c r="A23" s="961"/>
      <c r="B23" s="57">
        <f>'Licht vervoer'!A15</f>
        <v>0.31250000000000006</v>
      </c>
      <c r="C23" s="958" t="s">
        <v>23</v>
      </c>
      <c r="D23" s="959"/>
      <c r="E23" s="56">
        <f>'Licht vervoer'!D15</f>
        <v>0.32291666666666674</v>
      </c>
      <c r="F23" s="188">
        <f>IF(' Fietsers '!$S$5=TRUE,' Fietsers '!F16/2,0)</f>
        <v>0</v>
      </c>
      <c r="G23" s="190">
        <f>IF(' Fietsers '!$S$5=TRUE,' Fietsers '!G16/2,0)</f>
        <v>0</v>
      </c>
      <c r="H23" s="111">
        <f>IF(' Fietsers '!$S$5=TRUE,' Fietsers '!H16/2,0)</f>
        <v>0</v>
      </c>
      <c r="I23" s="121">
        <f>IF(' Fietsers '!$S$6=TRUE,' Fietsers '!I16/2,0)</f>
        <v>0</v>
      </c>
      <c r="J23" s="121">
        <f>IF(' Fietsers '!$S$6=TRUE,' Fietsers '!J16/2,0)</f>
        <v>0</v>
      </c>
      <c r="K23" s="118">
        <f>IF(' Fietsers '!$S$6=TRUE,' Fietsers '!K16/2,0)</f>
        <v>0</v>
      </c>
      <c r="L23" s="121">
        <f>IF(' Fietsers '!$S$7=TRUE,' Fietsers '!L16/2,0)</f>
        <v>0</v>
      </c>
      <c r="M23" s="121">
        <f>IF(' Fietsers '!$S$7=TRUE,' Fietsers '!M16/2,0)</f>
        <v>0</v>
      </c>
      <c r="N23" s="118">
        <f>IF(' Fietsers '!$S$7=TRUE,' Fietsers '!N16/2,0)</f>
        <v>0</v>
      </c>
      <c r="O23" s="121">
        <f>IF(' Fietsers '!$S$8=TRUE,' Fietsers '!O16/2,0)</f>
        <v>0</v>
      </c>
      <c r="P23" s="121">
        <f>IF(' Fietsers '!$S$8=TRUE,' Fietsers '!P16/2,0)</f>
        <v>0</v>
      </c>
      <c r="Q23" s="121">
        <f>IF(' Fietsers '!$S$8=TRUE,' Fietsers '!Q16/2,0)</f>
        <v>0</v>
      </c>
      <c r="R23" s="215">
        <f>IF(' Fietsers '!$S$5=FALSE,' Fietsers '!G16,0)</f>
        <v>0</v>
      </c>
      <c r="S23" s="213">
        <f>IF(' Fietsers '!$S$6=FALSE,' Fietsers '!J16,0)</f>
        <v>3</v>
      </c>
      <c r="T23" s="213">
        <f>IF(' Fietsers '!$S$7=FALSE,' Fietsers '!M16,0)</f>
        <v>0</v>
      </c>
      <c r="U23" s="215">
        <f>IF(' Fietsers '!$S$8=FALSE,' Fietsers '!P16,0)</f>
        <v>73</v>
      </c>
      <c r="V23" s="213"/>
      <c r="W23" s="213"/>
      <c r="X23" s="213"/>
      <c r="Y23" s="213"/>
      <c r="Z23" s="151"/>
      <c r="AA23" s="281">
        <f t="shared" si="23"/>
        <v>0</v>
      </c>
      <c r="AB23" s="193" t="b">
        <f>'Stromendiagram periode 1'!BD$6</f>
        <v>1</v>
      </c>
      <c r="AD23" s="251">
        <f t="shared" si="2"/>
        <v>0</v>
      </c>
      <c r="AE23" s="252">
        <f>$AA23*$AB23*G23</f>
        <v>0</v>
      </c>
      <c r="AF23" s="253">
        <f t="shared" si="4"/>
        <v>0</v>
      </c>
      <c r="AG23" s="254">
        <f t="shared" si="5"/>
        <v>0</v>
      </c>
      <c r="AH23" s="252">
        <f t="shared" si="6"/>
        <v>0</v>
      </c>
      <c r="AI23" s="253">
        <f t="shared" si="7"/>
        <v>0</v>
      </c>
      <c r="AJ23" s="254">
        <f t="shared" si="8"/>
        <v>0</v>
      </c>
      <c r="AK23" s="252">
        <f t="shared" si="9"/>
        <v>0</v>
      </c>
      <c r="AL23" s="253">
        <f t="shared" si="10"/>
        <v>0</v>
      </c>
      <c r="AM23" s="254">
        <f t="shared" si="11"/>
        <v>0</v>
      </c>
      <c r="AN23" s="252">
        <f t="shared" si="12"/>
        <v>0</v>
      </c>
      <c r="AO23" s="253">
        <f t="shared" si="13"/>
        <v>0</v>
      </c>
      <c r="AP23" s="255">
        <f t="shared" si="14"/>
        <v>0</v>
      </c>
      <c r="AQ23" s="255">
        <f t="shared" si="15"/>
        <v>0</v>
      </c>
      <c r="AR23" s="255">
        <f t="shared" si="16"/>
        <v>0</v>
      </c>
      <c r="AS23" s="255">
        <f t="shared" si="17"/>
        <v>0</v>
      </c>
      <c r="AT23" s="255">
        <f t="shared" si="18"/>
        <v>0</v>
      </c>
      <c r="AU23" s="255">
        <f t="shared" si="19"/>
        <v>0</v>
      </c>
      <c r="AV23" s="255">
        <f t="shared" si="20"/>
        <v>0</v>
      </c>
      <c r="AW23" s="255">
        <f t="shared" si="21"/>
        <v>0</v>
      </c>
    </row>
    <row r="24" spans="1:49" ht="16.5" x14ac:dyDescent="0.35">
      <c r="A24" s="961"/>
      <c r="B24" s="57">
        <f>'Licht vervoer'!A16</f>
        <v>0.32291666666666674</v>
      </c>
      <c r="C24" s="958" t="s">
        <v>23</v>
      </c>
      <c r="D24" s="959"/>
      <c r="E24" s="56">
        <f>'Licht vervoer'!D16</f>
        <v>0.33333333333333343</v>
      </c>
      <c r="F24" s="188">
        <f>IF(' Fietsers '!$S$5=TRUE,' Fietsers '!F17/2,0)</f>
        <v>0</v>
      </c>
      <c r="G24" s="190">
        <f>IF(' Fietsers '!$S$5=TRUE,' Fietsers '!G17/2,0)</f>
        <v>0</v>
      </c>
      <c r="H24" s="111">
        <f>IF(' Fietsers '!$S$5=TRUE,' Fietsers '!H17/2,0)</f>
        <v>0</v>
      </c>
      <c r="I24" s="121">
        <f>IF(' Fietsers '!$S$6=TRUE,' Fietsers '!I17/2,0)</f>
        <v>0</v>
      </c>
      <c r="J24" s="121">
        <f>IF(' Fietsers '!$S$6=TRUE,' Fietsers '!J17/2,0)</f>
        <v>0</v>
      </c>
      <c r="K24" s="118">
        <f>IF(' Fietsers '!$S$6=TRUE,' Fietsers '!K17/2,0)</f>
        <v>0</v>
      </c>
      <c r="L24" s="121">
        <f>IF(' Fietsers '!$S$7=TRUE,' Fietsers '!L17/2,0)</f>
        <v>0</v>
      </c>
      <c r="M24" s="121">
        <f>IF(' Fietsers '!$S$7=TRUE,' Fietsers '!M17/2,0)</f>
        <v>0</v>
      </c>
      <c r="N24" s="118">
        <f>IF(' Fietsers '!$S$7=TRUE,' Fietsers '!N17/2,0)</f>
        <v>0</v>
      </c>
      <c r="O24" s="121">
        <f>IF(' Fietsers '!$S$8=TRUE,' Fietsers '!O17/2,0)</f>
        <v>0</v>
      </c>
      <c r="P24" s="121">
        <f>IF(' Fietsers '!$S$8=TRUE,' Fietsers '!P17/2,0)</f>
        <v>0</v>
      </c>
      <c r="Q24" s="121">
        <f>IF(' Fietsers '!$S$8=TRUE,' Fietsers '!Q17/2,0)</f>
        <v>0</v>
      </c>
      <c r="R24" s="215">
        <f>IF(' Fietsers '!$S$5=FALSE,' Fietsers '!G17,0)</f>
        <v>0</v>
      </c>
      <c r="S24" s="213">
        <f>IF(' Fietsers '!$S$6=FALSE,' Fietsers '!J17,0)</f>
        <v>4</v>
      </c>
      <c r="T24" s="213">
        <f>IF(' Fietsers '!$S$7=FALSE,' Fietsers '!M17,0)</f>
        <v>0</v>
      </c>
      <c r="U24" s="215">
        <f>IF(' Fietsers '!$S$8=FALSE,' Fietsers '!P17,0)</f>
        <v>93</v>
      </c>
      <c r="V24" s="213"/>
      <c r="W24" s="213"/>
      <c r="X24" s="213"/>
      <c r="Y24" s="213"/>
      <c r="Z24" s="151"/>
      <c r="AA24" s="281">
        <f t="shared" si="23"/>
        <v>0</v>
      </c>
      <c r="AB24" s="193" t="b">
        <f>'Stromendiagram periode 1'!BD$6</f>
        <v>1</v>
      </c>
      <c r="AD24" s="251">
        <f t="shared" si="2"/>
        <v>0</v>
      </c>
      <c r="AE24" s="252">
        <f t="shared" si="3"/>
        <v>0</v>
      </c>
      <c r="AF24" s="253">
        <f t="shared" si="4"/>
        <v>0</v>
      </c>
      <c r="AG24" s="254">
        <f t="shared" si="5"/>
        <v>0</v>
      </c>
      <c r="AH24" s="252">
        <f t="shared" si="6"/>
        <v>0</v>
      </c>
      <c r="AI24" s="253">
        <f t="shared" si="7"/>
        <v>0</v>
      </c>
      <c r="AJ24" s="254">
        <f t="shared" si="8"/>
        <v>0</v>
      </c>
      <c r="AK24" s="252">
        <f t="shared" si="9"/>
        <v>0</v>
      </c>
      <c r="AL24" s="253">
        <f t="shared" si="10"/>
        <v>0</v>
      </c>
      <c r="AM24" s="254">
        <f t="shared" si="11"/>
        <v>0</v>
      </c>
      <c r="AN24" s="252">
        <f t="shared" si="12"/>
        <v>0</v>
      </c>
      <c r="AO24" s="253">
        <f t="shared" si="13"/>
        <v>0</v>
      </c>
      <c r="AP24" s="255">
        <f t="shared" si="14"/>
        <v>0</v>
      </c>
      <c r="AQ24" s="255">
        <f t="shared" si="15"/>
        <v>0</v>
      </c>
      <c r="AR24" s="255">
        <f t="shared" si="16"/>
        <v>0</v>
      </c>
      <c r="AS24" s="255">
        <f t="shared" si="17"/>
        <v>0</v>
      </c>
      <c r="AT24" s="255">
        <f t="shared" si="18"/>
        <v>0</v>
      </c>
      <c r="AU24" s="255">
        <f t="shared" si="19"/>
        <v>0</v>
      </c>
      <c r="AV24" s="255">
        <f t="shared" si="20"/>
        <v>0</v>
      </c>
      <c r="AW24" s="255">
        <f t="shared" si="21"/>
        <v>0</v>
      </c>
    </row>
    <row r="25" spans="1:49" ht="16.5" x14ac:dyDescent="0.35">
      <c r="A25" s="961"/>
      <c r="B25" s="57">
        <f>'Licht vervoer'!A17</f>
        <v>0.33333333333333343</v>
      </c>
      <c r="C25" s="958" t="s">
        <v>23</v>
      </c>
      <c r="D25" s="959"/>
      <c r="E25" s="56">
        <f>'Licht vervoer'!D17</f>
        <v>0.34375000000000011</v>
      </c>
      <c r="F25" s="188">
        <f>IF(' Fietsers '!$S$5=TRUE,' Fietsers '!F18/2,0)</f>
        <v>0</v>
      </c>
      <c r="G25" s="190">
        <f>IF(' Fietsers '!$S$5=TRUE,' Fietsers '!G18/2,0)</f>
        <v>0</v>
      </c>
      <c r="H25" s="111">
        <f>IF(' Fietsers '!$S$5=TRUE,' Fietsers '!H18/2,0)</f>
        <v>0</v>
      </c>
      <c r="I25" s="121">
        <f>IF(' Fietsers '!$S$6=TRUE,' Fietsers '!I18/2,0)</f>
        <v>0</v>
      </c>
      <c r="J25" s="121">
        <f>IF(' Fietsers '!$S$6=TRUE,' Fietsers '!J18/2,0)</f>
        <v>0</v>
      </c>
      <c r="K25" s="118">
        <f>IF(' Fietsers '!$S$6=TRUE,' Fietsers '!K18/2,0)</f>
        <v>0</v>
      </c>
      <c r="L25" s="121">
        <f>IF(' Fietsers '!$S$7=TRUE,' Fietsers '!L18/2,0)</f>
        <v>0</v>
      </c>
      <c r="M25" s="121">
        <f>IF(' Fietsers '!$S$7=TRUE,' Fietsers '!M18/2,0)</f>
        <v>0</v>
      </c>
      <c r="N25" s="118">
        <f>IF(' Fietsers '!$S$7=TRUE,' Fietsers '!N18/2,0)</f>
        <v>0</v>
      </c>
      <c r="O25" s="121">
        <f>IF(' Fietsers '!$S$8=TRUE,' Fietsers '!O18/2,0)</f>
        <v>0</v>
      </c>
      <c r="P25" s="121">
        <f>IF(' Fietsers '!$S$8=TRUE,' Fietsers '!P18/2,0)</f>
        <v>0</v>
      </c>
      <c r="Q25" s="121">
        <f>IF(' Fietsers '!$S$8=TRUE,' Fietsers '!Q18/2,0)</f>
        <v>0</v>
      </c>
      <c r="R25" s="215">
        <f>IF(' Fietsers '!$S$5=FALSE,' Fietsers '!G18,0)</f>
        <v>0</v>
      </c>
      <c r="S25" s="213">
        <f>IF(' Fietsers '!$S$6=FALSE,' Fietsers '!J18,0)</f>
        <v>14</v>
      </c>
      <c r="T25" s="213">
        <f>IF(' Fietsers '!$S$7=FALSE,' Fietsers '!M18,0)</f>
        <v>0</v>
      </c>
      <c r="U25" s="215">
        <f>IF(' Fietsers '!$S$8=FALSE,' Fietsers '!P18,0)</f>
        <v>125</v>
      </c>
      <c r="V25" s="213"/>
      <c r="W25" s="213"/>
      <c r="X25" s="213"/>
      <c r="Y25" s="213"/>
      <c r="Z25" s="151"/>
      <c r="AA25" s="281">
        <f t="shared" si="23"/>
        <v>1</v>
      </c>
      <c r="AB25" s="193" t="b">
        <f>'Stromendiagram periode 1'!BD$6</f>
        <v>1</v>
      </c>
      <c r="AD25" s="251">
        <f t="shared" si="2"/>
        <v>0</v>
      </c>
      <c r="AE25" s="252">
        <f t="shared" si="3"/>
        <v>0</v>
      </c>
      <c r="AF25" s="253">
        <f t="shared" si="4"/>
        <v>0</v>
      </c>
      <c r="AG25" s="254">
        <f t="shared" si="5"/>
        <v>0</v>
      </c>
      <c r="AH25" s="252">
        <f t="shared" si="6"/>
        <v>0</v>
      </c>
      <c r="AI25" s="253">
        <f t="shared" si="7"/>
        <v>0</v>
      </c>
      <c r="AJ25" s="254">
        <f t="shared" si="8"/>
        <v>0</v>
      </c>
      <c r="AK25" s="252">
        <f t="shared" si="9"/>
        <v>0</v>
      </c>
      <c r="AL25" s="253">
        <f t="shared" si="10"/>
        <v>0</v>
      </c>
      <c r="AM25" s="254">
        <f t="shared" si="11"/>
        <v>0</v>
      </c>
      <c r="AN25" s="252">
        <f t="shared" si="12"/>
        <v>0</v>
      </c>
      <c r="AO25" s="253">
        <f t="shared" si="13"/>
        <v>0</v>
      </c>
      <c r="AP25" s="255">
        <f t="shared" si="14"/>
        <v>0</v>
      </c>
      <c r="AQ25" s="255">
        <f t="shared" si="15"/>
        <v>14</v>
      </c>
      <c r="AR25" s="255">
        <f t="shared" si="16"/>
        <v>0</v>
      </c>
      <c r="AS25" s="255">
        <f t="shared" si="17"/>
        <v>125</v>
      </c>
      <c r="AT25" s="255">
        <f t="shared" si="18"/>
        <v>0</v>
      </c>
      <c r="AU25" s="255">
        <f t="shared" si="19"/>
        <v>0</v>
      </c>
      <c r="AV25" s="255">
        <f t="shared" si="20"/>
        <v>0</v>
      </c>
      <c r="AW25" s="255">
        <f t="shared" si="21"/>
        <v>0</v>
      </c>
    </row>
    <row r="26" spans="1:49" ht="16.5" x14ac:dyDescent="0.35">
      <c r="A26" s="961"/>
      <c r="B26" s="57">
        <f>'Licht vervoer'!A18</f>
        <v>0.34375000000000011</v>
      </c>
      <c r="C26" s="958" t="s">
        <v>23</v>
      </c>
      <c r="D26" s="959"/>
      <c r="E26" s="56">
        <f>'Licht vervoer'!D18</f>
        <v>0.3541666666666668</v>
      </c>
      <c r="F26" s="188">
        <f>IF(' Fietsers '!$S$5=TRUE,' Fietsers '!F19/2,0)</f>
        <v>0</v>
      </c>
      <c r="G26" s="190">
        <f>IF(' Fietsers '!$S$5=TRUE,' Fietsers '!G19/2,0)</f>
        <v>0</v>
      </c>
      <c r="H26" s="111">
        <f>IF(' Fietsers '!$S$5=TRUE,' Fietsers '!H19/2,0)</f>
        <v>0</v>
      </c>
      <c r="I26" s="121">
        <f>IF(' Fietsers '!$S$6=TRUE,' Fietsers '!I19/2,0)</f>
        <v>0</v>
      </c>
      <c r="J26" s="121">
        <f>IF(' Fietsers '!$S$6=TRUE,' Fietsers '!J19/2,0)</f>
        <v>0</v>
      </c>
      <c r="K26" s="118">
        <f>IF(' Fietsers '!$S$6=TRUE,' Fietsers '!K19/2,0)</f>
        <v>0</v>
      </c>
      <c r="L26" s="121">
        <f>IF(' Fietsers '!$S$7=TRUE,' Fietsers '!L19/2,0)</f>
        <v>0</v>
      </c>
      <c r="M26" s="121">
        <f>IF(' Fietsers '!$S$7=TRUE,' Fietsers '!M19/2,0)</f>
        <v>0</v>
      </c>
      <c r="N26" s="118">
        <f>IF(' Fietsers '!$S$7=TRUE,' Fietsers '!N19/2,0)</f>
        <v>0</v>
      </c>
      <c r="O26" s="121">
        <f>IF(' Fietsers '!$S$8=TRUE,' Fietsers '!O19/2,0)</f>
        <v>0</v>
      </c>
      <c r="P26" s="121">
        <f>IF(' Fietsers '!$S$8=TRUE,' Fietsers '!P19/2,0)</f>
        <v>0</v>
      </c>
      <c r="Q26" s="121">
        <f>IF(' Fietsers '!$S$8=TRUE,' Fietsers '!Q19/2,0)</f>
        <v>0</v>
      </c>
      <c r="R26" s="215">
        <f>IF(' Fietsers '!$S$5=FALSE,' Fietsers '!G19,0)</f>
        <v>0</v>
      </c>
      <c r="S26" s="213">
        <f>IF(' Fietsers '!$S$6=FALSE,' Fietsers '!J19,0)</f>
        <v>13</v>
      </c>
      <c r="T26" s="213">
        <f>IF(' Fietsers '!$S$7=FALSE,' Fietsers '!M19,0)</f>
        <v>0</v>
      </c>
      <c r="U26" s="215">
        <f>IF(' Fietsers '!$S$8=FALSE,' Fietsers '!P19,0)</f>
        <v>63</v>
      </c>
      <c r="V26" s="213"/>
      <c r="W26" s="213"/>
      <c r="X26" s="213"/>
      <c r="Y26" s="213"/>
      <c r="Z26" s="151"/>
      <c r="AA26" s="281">
        <f t="shared" si="23"/>
        <v>1</v>
      </c>
      <c r="AB26" s="193" t="b">
        <f>'Stromendiagram periode 1'!BD$6</f>
        <v>1</v>
      </c>
      <c r="AD26" s="251">
        <f t="shared" si="2"/>
        <v>0</v>
      </c>
      <c r="AE26" s="252">
        <f t="shared" si="3"/>
        <v>0</v>
      </c>
      <c r="AF26" s="253">
        <f t="shared" si="4"/>
        <v>0</v>
      </c>
      <c r="AG26" s="254">
        <f t="shared" si="5"/>
        <v>0</v>
      </c>
      <c r="AH26" s="252">
        <f t="shared" si="6"/>
        <v>0</v>
      </c>
      <c r="AI26" s="253">
        <f t="shared" si="7"/>
        <v>0</v>
      </c>
      <c r="AJ26" s="254">
        <f t="shared" si="8"/>
        <v>0</v>
      </c>
      <c r="AK26" s="252">
        <f t="shared" si="9"/>
        <v>0</v>
      </c>
      <c r="AL26" s="253">
        <f t="shared" si="10"/>
        <v>0</v>
      </c>
      <c r="AM26" s="254">
        <f t="shared" si="11"/>
        <v>0</v>
      </c>
      <c r="AN26" s="252">
        <f t="shared" si="12"/>
        <v>0</v>
      </c>
      <c r="AO26" s="253">
        <f t="shared" si="13"/>
        <v>0</v>
      </c>
      <c r="AP26" s="255">
        <f t="shared" si="14"/>
        <v>0</v>
      </c>
      <c r="AQ26" s="255">
        <f t="shared" si="15"/>
        <v>13</v>
      </c>
      <c r="AR26" s="255">
        <f t="shared" si="16"/>
        <v>0</v>
      </c>
      <c r="AS26" s="255">
        <f t="shared" si="17"/>
        <v>63</v>
      </c>
      <c r="AT26" s="255">
        <f t="shared" si="18"/>
        <v>0</v>
      </c>
      <c r="AU26" s="255">
        <f t="shared" si="19"/>
        <v>0</v>
      </c>
      <c r="AV26" s="255">
        <f t="shared" si="20"/>
        <v>0</v>
      </c>
      <c r="AW26" s="255">
        <f t="shared" si="21"/>
        <v>0</v>
      </c>
    </row>
    <row r="27" spans="1:49" ht="16.5" x14ac:dyDescent="0.35">
      <c r="A27" s="961"/>
      <c r="B27" s="57">
        <f>'Licht vervoer'!A19</f>
        <v>0.3541666666666668</v>
      </c>
      <c r="C27" s="958" t="s">
        <v>23</v>
      </c>
      <c r="D27" s="959"/>
      <c r="E27" s="56">
        <f>'Licht vervoer'!D19</f>
        <v>0.36458333333333348</v>
      </c>
      <c r="F27" s="188">
        <f>IF(' Fietsers '!$S$5=TRUE,' Fietsers '!F20/2,0)</f>
        <v>0</v>
      </c>
      <c r="G27" s="190">
        <f>IF(' Fietsers '!$S$5=TRUE,' Fietsers '!G20/2,0)</f>
        <v>0</v>
      </c>
      <c r="H27" s="111">
        <f>IF(' Fietsers '!$S$5=TRUE,' Fietsers '!H20/2,0)</f>
        <v>0</v>
      </c>
      <c r="I27" s="121">
        <f>IF(' Fietsers '!$S$6=TRUE,' Fietsers '!I20/2,0)</f>
        <v>0</v>
      </c>
      <c r="J27" s="121">
        <f>IF(' Fietsers '!$S$6=TRUE,' Fietsers '!J20/2,0)</f>
        <v>0</v>
      </c>
      <c r="K27" s="118">
        <f>IF(' Fietsers '!$S$6=TRUE,' Fietsers '!K20/2,0)</f>
        <v>0</v>
      </c>
      <c r="L27" s="121">
        <f>IF(' Fietsers '!$S$7=TRUE,' Fietsers '!L20/2,0)</f>
        <v>0</v>
      </c>
      <c r="M27" s="121">
        <f>IF(' Fietsers '!$S$7=TRUE,' Fietsers '!M20/2,0)</f>
        <v>0</v>
      </c>
      <c r="N27" s="118">
        <f>IF(' Fietsers '!$S$7=TRUE,' Fietsers '!N20/2,0)</f>
        <v>0</v>
      </c>
      <c r="O27" s="121">
        <f>IF(' Fietsers '!$S$8=TRUE,' Fietsers '!O20/2,0)</f>
        <v>0</v>
      </c>
      <c r="P27" s="121">
        <f>IF(' Fietsers '!$S$8=TRUE,' Fietsers '!P20/2,0)</f>
        <v>0</v>
      </c>
      <c r="Q27" s="121">
        <f>IF(' Fietsers '!$S$8=TRUE,' Fietsers '!Q20/2,0)</f>
        <v>0</v>
      </c>
      <c r="R27" s="215">
        <f>IF(' Fietsers '!$S$5=FALSE,' Fietsers '!G20,0)</f>
        <v>0</v>
      </c>
      <c r="S27" s="213">
        <f>IF(' Fietsers '!$S$6=FALSE,' Fietsers '!J20,0)</f>
        <v>6</v>
      </c>
      <c r="T27" s="213">
        <f>IF(' Fietsers '!$S$7=FALSE,' Fietsers '!M20,0)</f>
        <v>0</v>
      </c>
      <c r="U27" s="215">
        <f>IF(' Fietsers '!$S$8=FALSE,' Fietsers '!P20,0)</f>
        <v>66</v>
      </c>
      <c r="V27" s="213"/>
      <c r="W27" s="213"/>
      <c r="X27" s="213"/>
      <c r="Y27" s="213"/>
      <c r="Z27" s="151"/>
      <c r="AA27" s="281">
        <f t="shared" si="23"/>
        <v>1</v>
      </c>
      <c r="AB27" s="193" t="b">
        <f>'Stromendiagram periode 1'!BD$6</f>
        <v>1</v>
      </c>
      <c r="AD27" s="251">
        <f t="shared" si="2"/>
        <v>0</v>
      </c>
      <c r="AE27" s="252">
        <f t="shared" si="3"/>
        <v>0</v>
      </c>
      <c r="AF27" s="253">
        <f t="shared" si="4"/>
        <v>0</v>
      </c>
      <c r="AG27" s="254">
        <f t="shared" si="5"/>
        <v>0</v>
      </c>
      <c r="AH27" s="252">
        <f t="shared" si="6"/>
        <v>0</v>
      </c>
      <c r="AI27" s="253">
        <f t="shared" si="7"/>
        <v>0</v>
      </c>
      <c r="AJ27" s="254">
        <f t="shared" si="8"/>
        <v>0</v>
      </c>
      <c r="AK27" s="252">
        <f t="shared" si="9"/>
        <v>0</v>
      </c>
      <c r="AL27" s="253">
        <f t="shared" si="10"/>
        <v>0</v>
      </c>
      <c r="AM27" s="254">
        <f t="shared" si="11"/>
        <v>0</v>
      </c>
      <c r="AN27" s="252">
        <f t="shared" si="12"/>
        <v>0</v>
      </c>
      <c r="AO27" s="253">
        <f t="shared" si="13"/>
        <v>0</v>
      </c>
      <c r="AP27" s="255">
        <f t="shared" si="14"/>
        <v>0</v>
      </c>
      <c r="AQ27" s="255">
        <f t="shared" si="15"/>
        <v>6</v>
      </c>
      <c r="AR27" s="255">
        <f t="shared" si="16"/>
        <v>0</v>
      </c>
      <c r="AS27" s="255">
        <f t="shared" si="17"/>
        <v>66</v>
      </c>
      <c r="AT27" s="255">
        <f t="shared" si="18"/>
        <v>0</v>
      </c>
      <c r="AU27" s="255">
        <f t="shared" si="19"/>
        <v>0</v>
      </c>
      <c r="AV27" s="255">
        <f t="shared" si="20"/>
        <v>0</v>
      </c>
      <c r="AW27" s="255">
        <f t="shared" si="21"/>
        <v>0</v>
      </c>
    </row>
    <row r="28" spans="1:49" ht="17.25" thickBot="1" x14ac:dyDescent="0.4">
      <c r="A28" s="962"/>
      <c r="B28" s="58">
        <f>'Licht vervoer'!A20</f>
        <v>0.36458333333333348</v>
      </c>
      <c r="C28" s="969" t="s">
        <v>23</v>
      </c>
      <c r="D28" s="970"/>
      <c r="E28" s="59">
        <f>'Licht vervoer'!D20</f>
        <v>0.37500000000000017</v>
      </c>
      <c r="F28" s="188">
        <f>IF(' Fietsers '!$S$5=TRUE,' Fietsers '!F21/2,0)</f>
        <v>0</v>
      </c>
      <c r="G28" s="191">
        <f>IF(' Fietsers '!$S$5=TRUE,' Fietsers '!G21/2,0)</f>
        <v>0</v>
      </c>
      <c r="H28" s="114">
        <f>IF(' Fietsers '!$S$5=TRUE,' Fietsers '!H21/2,0)</f>
        <v>0</v>
      </c>
      <c r="I28" s="121">
        <f>IF(' Fietsers '!$S$6=TRUE,' Fietsers '!I21/2,0)</f>
        <v>0</v>
      </c>
      <c r="J28" s="121">
        <f>IF(' Fietsers '!$S$6=TRUE,' Fietsers '!J21/2,0)</f>
        <v>0</v>
      </c>
      <c r="K28" s="119">
        <f>IF(' Fietsers '!$S$6=TRUE,' Fietsers '!K21/2,0)</f>
        <v>0</v>
      </c>
      <c r="L28" s="121">
        <f>IF(' Fietsers '!$S$7=TRUE,' Fietsers '!L21/2,0)</f>
        <v>0</v>
      </c>
      <c r="M28" s="121">
        <f>IF(' Fietsers '!$S$7=TRUE,' Fietsers '!M21/2,0)</f>
        <v>0</v>
      </c>
      <c r="N28" s="119">
        <f>IF(' Fietsers '!$S$7=TRUE,' Fietsers '!N21/2,0)</f>
        <v>0</v>
      </c>
      <c r="O28" s="121">
        <f>IF(' Fietsers '!$S$8=TRUE,' Fietsers '!O21/2,0)</f>
        <v>0</v>
      </c>
      <c r="P28" s="121">
        <f>IF(' Fietsers '!$S$8=TRUE,' Fietsers '!P21/2,0)</f>
        <v>0</v>
      </c>
      <c r="Q28" s="121">
        <f>IF(' Fietsers '!$S$8=TRUE,' Fietsers '!Q21/2,0)</f>
        <v>0</v>
      </c>
      <c r="R28" s="214">
        <f>IF(' Fietsers '!$S$5=FALSE,' Fietsers '!G21,0)</f>
        <v>0</v>
      </c>
      <c r="S28" s="214">
        <f>IF(' Fietsers '!$S$6=FALSE,' Fietsers '!J21,0)</f>
        <v>2</v>
      </c>
      <c r="T28" s="214">
        <f>IF(' Fietsers '!$S$7=FALSE,' Fietsers '!M21,0)</f>
        <v>0</v>
      </c>
      <c r="U28" s="214">
        <f>IF(' Fietsers '!$S$8=FALSE,' Fietsers '!P21,0)</f>
        <v>37</v>
      </c>
      <c r="V28" s="214"/>
      <c r="W28" s="214"/>
      <c r="X28" s="214"/>
      <c r="Y28" s="214"/>
      <c r="Z28" s="151"/>
      <c r="AA28" s="140">
        <f t="shared" si="23"/>
        <v>1</v>
      </c>
      <c r="AB28" s="194" t="b">
        <f>'Stromendiagram periode 1'!BD$6</f>
        <v>1</v>
      </c>
      <c r="AD28" s="256">
        <f t="shared" si="2"/>
        <v>0</v>
      </c>
      <c r="AE28" s="257">
        <f t="shared" si="3"/>
        <v>0</v>
      </c>
      <c r="AF28" s="258">
        <f t="shared" si="4"/>
        <v>0</v>
      </c>
      <c r="AG28" s="259">
        <f t="shared" si="5"/>
        <v>0</v>
      </c>
      <c r="AH28" s="257">
        <f t="shared" si="6"/>
        <v>0</v>
      </c>
      <c r="AI28" s="258">
        <f t="shared" si="7"/>
        <v>0</v>
      </c>
      <c r="AJ28" s="259">
        <f t="shared" si="8"/>
        <v>0</v>
      </c>
      <c r="AK28" s="257">
        <f t="shared" si="9"/>
        <v>0</v>
      </c>
      <c r="AL28" s="258">
        <f t="shared" si="10"/>
        <v>0</v>
      </c>
      <c r="AM28" s="259">
        <f t="shared" si="11"/>
        <v>0</v>
      </c>
      <c r="AN28" s="257">
        <f t="shared" si="12"/>
        <v>0</v>
      </c>
      <c r="AO28" s="258">
        <f t="shared" si="13"/>
        <v>0</v>
      </c>
      <c r="AP28" s="260">
        <f t="shared" si="14"/>
        <v>0</v>
      </c>
      <c r="AQ28" s="260">
        <f t="shared" si="15"/>
        <v>2</v>
      </c>
      <c r="AR28" s="260">
        <f t="shared" si="16"/>
        <v>0</v>
      </c>
      <c r="AS28" s="260">
        <f t="shared" si="17"/>
        <v>37</v>
      </c>
      <c r="AT28" s="260">
        <f t="shared" si="18"/>
        <v>0</v>
      </c>
      <c r="AU28" s="260">
        <f t="shared" si="19"/>
        <v>0</v>
      </c>
      <c r="AV28" s="260">
        <f t="shared" si="20"/>
        <v>0</v>
      </c>
      <c r="AW28" s="260">
        <f t="shared" si="21"/>
        <v>0</v>
      </c>
    </row>
    <row r="29" spans="1:49" ht="16.5" x14ac:dyDescent="0.35">
      <c r="A29" s="960" t="s">
        <v>46</v>
      </c>
      <c r="B29" s="198">
        <f>Voetgangers!A13</f>
        <v>0.29166666666666669</v>
      </c>
      <c r="C29" s="956" t="s">
        <v>23</v>
      </c>
      <c r="D29" s="957"/>
      <c r="E29" s="201">
        <f>Voetgangers!D13</f>
        <v>0.30208333333333337</v>
      </c>
      <c r="F29" s="204"/>
      <c r="G29" s="205"/>
      <c r="H29" s="206"/>
      <c r="I29" s="204"/>
      <c r="J29" s="205"/>
      <c r="K29" s="206"/>
      <c r="L29" s="204"/>
      <c r="M29" s="205"/>
      <c r="N29" s="206"/>
      <c r="O29" s="204"/>
      <c r="P29" s="205"/>
      <c r="Q29" s="206"/>
      <c r="R29" s="219"/>
      <c r="S29" s="219"/>
      <c r="T29" s="219"/>
      <c r="U29" s="219"/>
      <c r="V29" s="163">
        <f>Voetgangers!G13</f>
        <v>0</v>
      </c>
      <c r="W29" s="163">
        <f>Voetgangers!J13</f>
        <v>0</v>
      </c>
      <c r="X29" s="163">
        <f>Voetgangers!M13</f>
        <v>2</v>
      </c>
      <c r="Y29" s="163">
        <f>Voetgangers!P13</f>
        <v>0</v>
      </c>
      <c r="Z29" s="151"/>
      <c r="AA29" s="281">
        <f>AA39</f>
        <v>0</v>
      </c>
      <c r="AB29" s="193" t="b">
        <f>'Stromendiagram periode 1'!BD$8</f>
        <v>1</v>
      </c>
      <c r="AD29" s="220">
        <f t="shared" si="2"/>
        <v>0</v>
      </c>
      <c r="AE29" s="261">
        <f t="shared" si="3"/>
        <v>0</v>
      </c>
      <c r="AF29" s="262">
        <f t="shared" si="4"/>
        <v>0</v>
      </c>
      <c r="AG29" s="263">
        <f t="shared" si="5"/>
        <v>0</v>
      </c>
      <c r="AH29" s="261">
        <f t="shared" si="6"/>
        <v>0</v>
      </c>
      <c r="AI29" s="262">
        <f t="shared" si="7"/>
        <v>0</v>
      </c>
      <c r="AJ29" s="263">
        <f t="shared" si="8"/>
        <v>0</v>
      </c>
      <c r="AK29" s="261">
        <f t="shared" si="9"/>
        <v>0</v>
      </c>
      <c r="AL29" s="262">
        <f t="shared" si="10"/>
        <v>0</v>
      </c>
      <c r="AM29" s="263">
        <f t="shared" si="11"/>
        <v>0</v>
      </c>
      <c r="AN29" s="261">
        <f t="shared" si="12"/>
        <v>0</v>
      </c>
      <c r="AO29" s="262">
        <f t="shared" si="13"/>
        <v>0</v>
      </c>
      <c r="AP29" s="264">
        <f t="shared" si="14"/>
        <v>0</v>
      </c>
      <c r="AQ29" s="264">
        <f t="shared" si="15"/>
        <v>0</v>
      </c>
      <c r="AR29" s="264">
        <f t="shared" si="16"/>
        <v>0</v>
      </c>
      <c r="AS29" s="264">
        <f t="shared" si="17"/>
        <v>0</v>
      </c>
      <c r="AT29" s="264">
        <f t="shared" si="18"/>
        <v>0</v>
      </c>
      <c r="AU29" s="264">
        <f t="shared" si="19"/>
        <v>0</v>
      </c>
      <c r="AV29" s="264">
        <f t="shared" si="20"/>
        <v>0</v>
      </c>
      <c r="AW29" s="264">
        <f t="shared" si="21"/>
        <v>0</v>
      </c>
    </row>
    <row r="30" spans="1:49" ht="16.5" x14ac:dyDescent="0.35">
      <c r="A30" s="961"/>
      <c r="B30" s="199">
        <f>Voetgangers!A14</f>
        <v>0.30208333333333337</v>
      </c>
      <c r="C30" s="958" t="s">
        <v>23</v>
      </c>
      <c r="D30" s="959"/>
      <c r="E30" s="202">
        <f>Voetgangers!D14</f>
        <v>0.31250000000000006</v>
      </c>
      <c r="F30" s="207"/>
      <c r="G30" s="208"/>
      <c r="H30" s="209"/>
      <c r="I30" s="207"/>
      <c r="J30" s="208"/>
      <c r="K30" s="209"/>
      <c r="L30" s="207"/>
      <c r="M30" s="208"/>
      <c r="N30" s="209"/>
      <c r="O30" s="207"/>
      <c r="P30" s="208"/>
      <c r="Q30" s="209"/>
      <c r="R30" s="217"/>
      <c r="S30" s="217"/>
      <c r="T30" s="217"/>
      <c r="U30" s="217"/>
      <c r="V30" s="213">
        <f>Voetgangers!G14</f>
        <v>0</v>
      </c>
      <c r="W30" s="213">
        <f>Voetgangers!J14</f>
        <v>0</v>
      </c>
      <c r="X30" s="213">
        <f>Voetgangers!M14</f>
        <v>1</v>
      </c>
      <c r="Y30" s="213">
        <f>Voetgangers!P14</f>
        <v>0</v>
      </c>
      <c r="Z30" s="151"/>
      <c r="AA30" s="281">
        <f t="shared" ref="AA30:AA36" si="24">AA40</f>
        <v>0</v>
      </c>
      <c r="AB30" s="193" t="b">
        <f>'Stromendiagram periode 1'!BD$8</f>
        <v>1</v>
      </c>
      <c r="AD30" s="251">
        <f t="shared" si="2"/>
        <v>0</v>
      </c>
      <c r="AE30" s="252">
        <f t="shared" si="3"/>
        <v>0</v>
      </c>
      <c r="AF30" s="253">
        <f t="shared" si="4"/>
        <v>0</v>
      </c>
      <c r="AG30" s="254">
        <f t="shared" si="5"/>
        <v>0</v>
      </c>
      <c r="AH30" s="252">
        <f t="shared" si="6"/>
        <v>0</v>
      </c>
      <c r="AI30" s="253">
        <f t="shared" si="7"/>
        <v>0</v>
      </c>
      <c r="AJ30" s="254">
        <f t="shared" si="8"/>
        <v>0</v>
      </c>
      <c r="AK30" s="252">
        <f t="shared" si="9"/>
        <v>0</v>
      </c>
      <c r="AL30" s="253">
        <f t="shared" si="10"/>
        <v>0</v>
      </c>
      <c r="AM30" s="254">
        <f t="shared" si="11"/>
        <v>0</v>
      </c>
      <c r="AN30" s="252">
        <f t="shared" si="12"/>
        <v>0</v>
      </c>
      <c r="AO30" s="253">
        <f t="shared" si="13"/>
        <v>0</v>
      </c>
      <c r="AP30" s="255">
        <f t="shared" si="14"/>
        <v>0</v>
      </c>
      <c r="AQ30" s="255">
        <f t="shared" si="15"/>
        <v>0</v>
      </c>
      <c r="AR30" s="255">
        <f t="shared" si="16"/>
        <v>0</v>
      </c>
      <c r="AS30" s="255">
        <f t="shared" si="17"/>
        <v>0</v>
      </c>
      <c r="AT30" s="255">
        <f t="shared" si="18"/>
        <v>0</v>
      </c>
      <c r="AU30" s="255">
        <f t="shared" si="19"/>
        <v>0</v>
      </c>
      <c r="AV30" s="255">
        <f t="shared" si="20"/>
        <v>0</v>
      </c>
      <c r="AW30" s="255">
        <f t="shared" si="21"/>
        <v>0</v>
      </c>
    </row>
    <row r="31" spans="1:49" ht="16.5" x14ac:dyDescent="0.35">
      <c r="A31" s="961"/>
      <c r="B31" s="199">
        <f>Voetgangers!A15</f>
        <v>0.31250000000000006</v>
      </c>
      <c r="C31" s="958" t="s">
        <v>23</v>
      </c>
      <c r="D31" s="959"/>
      <c r="E31" s="202">
        <f>Voetgangers!D15</f>
        <v>0.32291666666666674</v>
      </c>
      <c r="F31" s="207"/>
      <c r="G31" s="208"/>
      <c r="H31" s="209"/>
      <c r="I31" s="207"/>
      <c r="J31" s="208"/>
      <c r="K31" s="209"/>
      <c r="L31" s="207"/>
      <c r="M31" s="208"/>
      <c r="N31" s="209"/>
      <c r="O31" s="207"/>
      <c r="P31" s="208"/>
      <c r="Q31" s="209"/>
      <c r="R31" s="217"/>
      <c r="S31" s="217"/>
      <c r="T31" s="217"/>
      <c r="U31" s="217"/>
      <c r="V31" s="213">
        <f>Voetgangers!G15</f>
        <v>2</v>
      </c>
      <c r="W31" s="213">
        <f>Voetgangers!J15</f>
        <v>0</v>
      </c>
      <c r="X31" s="213">
        <f>Voetgangers!M15</f>
        <v>1</v>
      </c>
      <c r="Y31" s="213">
        <f>Voetgangers!P15</f>
        <v>0</v>
      </c>
      <c r="Z31" s="151"/>
      <c r="AA31" s="281">
        <f t="shared" si="24"/>
        <v>0</v>
      </c>
      <c r="AB31" s="193" t="b">
        <f>'Stromendiagram periode 1'!BD$8</f>
        <v>1</v>
      </c>
      <c r="AD31" s="251">
        <f t="shared" si="2"/>
        <v>0</v>
      </c>
      <c r="AE31" s="252">
        <f t="shared" si="3"/>
        <v>0</v>
      </c>
      <c r="AF31" s="253">
        <f t="shared" si="4"/>
        <v>0</v>
      </c>
      <c r="AG31" s="254">
        <f t="shared" si="5"/>
        <v>0</v>
      </c>
      <c r="AH31" s="252">
        <f t="shared" si="6"/>
        <v>0</v>
      </c>
      <c r="AI31" s="253">
        <f t="shared" si="7"/>
        <v>0</v>
      </c>
      <c r="AJ31" s="254">
        <f t="shared" si="8"/>
        <v>0</v>
      </c>
      <c r="AK31" s="252">
        <f t="shared" si="9"/>
        <v>0</v>
      </c>
      <c r="AL31" s="253">
        <f t="shared" si="10"/>
        <v>0</v>
      </c>
      <c r="AM31" s="254">
        <f t="shared" si="11"/>
        <v>0</v>
      </c>
      <c r="AN31" s="252">
        <f t="shared" si="12"/>
        <v>0</v>
      </c>
      <c r="AO31" s="253">
        <f t="shared" si="13"/>
        <v>0</v>
      </c>
      <c r="AP31" s="255">
        <f t="shared" si="14"/>
        <v>0</v>
      </c>
      <c r="AQ31" s="255">
        <f t="shared" si="15"/>
        <v>0</v>
      </c>
      <c r="AR31" s="255">
        <f t="shared" si="16"/>
        <v>0</v>
      </c>
      <c r="AS31" s="255">
        <f t="shared" si="17"/>
        <v>0</v>
      </c>
      <c r="AT31" s="255">
        <f t="shared" si="18"/>
        <v>0</v>
      </c>
      <c r="AU31" s="255">
        <f t="shared" si="19"/>
        <v>0</v>
      </c>
      <c r="AV31" s="255">
        <f t="shared" si="20"/>
        <v>0</v>
      </c>
      <c r="AW31" s="255">
        <f t="shared" si="21"/>
        <v>0</v>
      </c>
    </row>
    <row r="32" spans="1:49" ht="16.5" x14ac:dyDescent="0.35">
      <c r="A32" s="961"/>
      <c r="B32" s="199">
        <f>Voetgangers!A16</f>
        <v>0.32291666666666674</v>
      </c>
      <c r="C32" s="958" t="s">
        <v>23</v>
      </c>
      <c r="D32" s="959"/>
      <c r="E32" s="202">
        <f>Voetgangers!D16</f>
        <v>0.33333333333333343</v>
      </c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9"/>
      <c r="R32" s="217"/>
      <c r="S32" s="217"/>
      <c r="T32" s="217"/>
      <c r="U32" s="217"/>
      <c r="V32" s="213">
        <f>Voetgangers!G16</f>
        <v>1</v>
      </c>
      <c r="W32" s="213">
        <f>Voetgangers!J16</f>
        <v>0</v>
      </c>
      <c r="X32" s="213">
        <f>Voetgangers!M16</f>
        <v>2</v>
      </c>
      <c r="Y32" s="213">
        <f>Voetgangers!P16</f>
        <v>0</v>
      </c>
      <c r="Z32" s="151"/>
      <c r="AA32" s="281">
        <f t="shared" si="24"/>
        <v>0</v>
      </c>
      <c r="AB32" s="193" t="b">
        <f>'Stromendiagram periode 1'!BD$8</f>
        <v>1</v>
      </c>
      <c r="AD32" s="251">
        <f t="shared" si="2"/>
        <v>0</v>
      </c>
      <c r="AE32" s="252">
        <f t="shared" si="3"/>
        <v>0</v>
      </c>
      <c r="AF32" s="253">
        <f t="shared" si="4"/>
        <v>0</v>
      </c>
      <c r="AG32" s="254">
        <f t="shared" si="5"/>
        <v>0</v>
      </c>
      <c r="AH32" s="252">
        <f t="shared" si="6"/>
        <v>0</v>
      </c>
      <c r="AI32" s="253">
        <f t="shared" si="7"/>
        <v>0</v>
      </c>
      <c r="AJ32" s="254">
        <f t="shared" si="8"/>
        <v>0</v>
      </c>
      <c r="AK32" s="252">
        <f t="shared" si="9"/>
        <v>0</v>
      </c>
      <c r="AL32" s="253">
        <f t="shared" si="10"/>
        <v>0</v>
      </c>
      <c r="AM32" s="254">
        <f t="shared" si="11"/>
        <v>0</v>
      </c>
      <c r="AN32" s="252">
        <f t="shared" si="12"/>
        <v>0</v>
      </c>
      <c r="AO32" s="253">
        <f t="shared" si="13"/>
        <v>0</v>
      </c>
      <c r="AP32" s="255">
        <f t="shared" si="14"/>
        <v>0</v>
      </c>
      <c r="AQ32" s="255">
        <f t="shared" si="15"/>
        <v>0</v>
      </c>
      <c r="AR32" s="255">
        <f t="shared" si="16"/>
        <v>0</v>
      </c>
      <c r="AS32" s="255">
        <f t="shared" si="17"/>
        <v>0</v>
      </c>
      <c r="AT32" s="255">
        <f t="shared" si="18"/>
        <v>0</v>
      </c>
      <c r="AU32" s="255">
        <f t="shared" si="19"/>
        <v>0</v>
      </c>
      <c r="AV32" s="255">
        <f t="shared" si="20"/>
        <v>0</v>
      </c>
      <c r="AW32" s="255">
        <f t="shared" si="21"/>
        <v>0</v>
      </c>
    </row>
    <row r="33" spans="1:49" ht="16.5" x14ac:dyDescent="0.35">
      <c r="A33" s="961"/>
      <c r="B33" s="199">
        <f>Voetgangers!A17</f>
        <v>0.33333333333333343</v>
      </c>
      <c r="C33" s="958" t="s">
        <v>23</v>
      </c>
      <c r="D33" s="959"/>
      <c r="E33" s="202">
        <f>Voetgangers!D17</f>
        <v>0.34375000000000011</v>
      </c>
      <c r="F33" s="207"/>
      <c r="G33" s="208"/>
      <c r="H33" s="209"/>
      <c r="I33" s="207"/>
      <c r="J33" s="208"/>
      <c r="K33" s="209"/>
      <c r="L33" s="207"/>
      <c r="M33" s="208"/>
      <c r="N33" s="209"/>
      <c r="O33" s="207"/>
      <c r="P33" s="208"/>
      <c r="Q33" s="209"/>
      <c r="R33" s="217"/>
      <c r="S33" s="217"/>
      <c r="T33" s="217"/>
      <c r="U33" s="217"/>
      <c r="V33" s="213">
        <f>Voetgangers!G17</f>
        <v>1</v>
      </c>
      <c r="W33" s="213">
        <f>Voetgangers!J17</f>
        <v>0</v>
      </c>
      <c r="X33" s="213">
        <f>Voetgangers!M17</f>
        <v>0</v>
      </c>
      <c r="Y33" s="213">
        <f>Voetgangers!P17</f>
        <v>0</v>
      </c>
      <c r="Z33" s="151"/>
      <c r="AA33" s="281">
        <f t="shared" si="24"/>
        <v>1</v>
      </c>
      <c r="AB33" s="193" t="b">
        <f>'Stromendiagram periode 1'!BD$8</f>
        <v>1</v>
      </c>
      <c r="AD33" s="251">
        <f t="shared" si="2"/>
        <v>0</v>
      </c>
      <c r="AE33" s="252">
        <f t="shared" si="3"/>
        <v>0</v>
      </c>
      <c r="AF33" s="253">
        <f t="shared" si="4"/>
        <v>0</v>
      </c>
      <c r="AG33" s="254">
        <f t="shared" si="5"/>
        <v>0</v>
      </c>
      <c r="AH33" s="252">
        <f t="shared" si="6"/>
        <v>0</v>
      </c>
      <c r="AI33" s="253">
        <f t="shared" si="7"/>
        <v>0</v>
      </c>
      <c r="AJ33" s="254">
        <f t="shared" si="8"/>
        <v>0</v>
      </c>
      <c r="AK33" s="252">
        <f t="shared" si="9"/>
        <v>0</v>
      </c>
      <c r="AL33" s="253">
        <f t="shared" si="10"/>
        <v>0</v>
      </c>
      <c r="AM33" s="254">
        <f t="shared" si="11"/>
        <v>0</v>
      </c>
      <c r="AN33" s="252">
        <f t="shared" si="12"/>
        <v>0</v>
      </c>
      <c r="AO33" s="253">
        <f t="shared" si="13"/>
        <v>0</v>
      </c>
      <c r="AP33" s="255">
        <f t="shared" si="14"/>
        <v>0</v>
      </c>
      <c r="AQ33" s="255">
        <f t="shared" si="15"/>
        <v>0</v>
      </c>
      <c r="AR33" s="255">
        <f t="shared" si="16"/>
        <v>0</v>
      </c>
      <c r="AS33" s="255">
        <f t="shared" si="17"/>
        <v>0</v>
      </c>
      <c r="AT33" s="255">
        <f t="shared" si="18"/>
        <v>1</v>
      </c>
      <c r="AU33" s="255">
        <f t="shared" si="19"/>
        <v>0</v>
      </c>
      <c r="AV33" s="255">
        <f t="shared" si="20"/>
        <v>0</v>
      </c>
      <c r="AW33" s="255">
        <f t="shared" si="21"/>
        <v>0</v>
      </c>
    </row>
    <row r="34" spans="1:49" ht="16.5" x14ac:dyDescent="0.35">
      <c r="A34" s="961"/>
      <c r="B34" s="199">
        <f>Voetgangers!A18</f>
        <v>0.34375000000000011</v>
      </c>
      <c r="C34" s="958" t="s">
        <v>23</v>
      </c>
      <c r="D34" s="959"/>
      <c r="E34" s="202">
        <f>Voetgangers!D18</f>
        <v>0.3541666666666668</v>
      </c>
      <c r="F34" s="207"/>
      <c r="G34" s="208"/>
      <c r="H34" s="209"/>
      <c r="I34" s="207"/>
      <c r="J34" s="208"/>
      <c r="K34" s="209"/>
      <c r="L34" s="207"/>
      <c r="M34" s="208"/>
      <c r="N34" s="209"/>
      <c r="O34" s="207"/>
      <c r="P34" s="208"/>
      <c r="Q34" s="209"/>
      <c r="R34" s="217"/>
      <c r="S34" s="217"/>
      <c r="T34" s="217"/>
      <c r="U34" s="217"/>
      <c r="V34" s="213">
        <f>Voetgangers!G18</f>
        <v>2</v>
      </c>
      <c r="W34" s="213">
        <f>Voetgangers!J18</f>
        <v>0</v>
      </c>
      <c r="X34" s="213">
        <f>Voetgangers!M18</f>
        <v>0</v>
      </c>
      <c r="Y34" s="213">
        <f>Voetgangers!P18</f>
        <v>0</v>
      </c>
      <c r="Z34" s="151"/>
      <c r="AA34" s="281">
        <f t="shared" si="24"/>
        <v>1</v>
      </c>
      <c r="AB34" s="193" t="b">
        <f>'Stromendiagram periode 1'!BD$8</f>
        <v>1</v>
      </c>
      <c r="AD34" s="251">
        <f t="shared" si="2"/>
        <v>0</v>
      </c>
      <c r="AE34" s="252">
        <f t="shared" si="3"/>
        <v>0</v>
      </c>
      <c r="AF34" s="253">
        <f t="shared" si="4"/>
        <v>0</v>
      </c>
      <c r="AG34" s="254">
        <f t="shared" si="5"/>
        <v>0</v>
      </c>
      <c r="AH34" s="252">
        <f t="shared" si="6"/>
        <v>0</v>
      </c>
      <c r="AI34" s="253">
        <f t="shared" si="7"/>
        <v>0</v>
      </c>
      <c r="AJ34" s="254">
        <f t="shared" si="8"/>
        <v>0</v>
      </c>
      <c r="AK34" s="252">
        <f t="shared" si="9"/>
        <v>0</v>
      </c>
      <c r="AL34" s="253">
        <f t="shared" si="10"/>
        <v>0</v>
      </c>
      <c r="AM34" s="254">
        <f t="shared" si="11"/>
        <v>0</v>
      </c>
      <c r="AN34" s="252">
        <f t="shared" si="12"/>
        <v>0</v>
      </c>
      <c r="AO34" s="253">
        <f t="shared" si="13"/>
        <v>0</v>
      </c>
      <c r="AP34" s="255">
        <f t="shared" si="14"/>
        <v>0</v>
      </c>
      <c r="AQ34" s="255">
        <f t="shared" si="15"/>
        <v>0</v>
      </c>
      <c r="AR34" s="255">
        <f t="shared" si="16"/>
        <v>0</v>
      </c>
      <c r="AS34" s="255">
        <f t="shared" si="17"/>
        <v>0</v>
      </c>
      <c r="AT34" s="255">
        <f t="shared" si="18"/>
        <v>2</v>
      </c>
      <c r="AU34" s="255">
        <f t="shared" si="19"/>
        <v>0</v>
      </c>
      <c r="AV34" s="255">
        <f t="shared" si="20"/>
        <v>0</v>
      </c>
      <c r="AW34" s="255">
        <f t="shared" si="21"/>
        <v>0</v>
      </c>
    </row>
    <row r="35" spans="1:49" ht="16.5" x14ac:dyDescent="0.35">
      <c r="A35" s="961"/>
      <c r="B35" s="199">
        <f>Voetgangers!A19</f>
        <v>0.3541666666666668</v>
      </c>
      <c r="C35" s="958" t="s">
        <v>23</v>
      </c>
      <c r="D35" s="959"/>
      <c r="E35" s="202">
        <f>Voetgangers!D19</f>
        <v>0.36458333333333348</v>
      </c>
      <c r="F35" s="207"/>
      <c r="G35" s="208"/>
      <c r="H35" s="209"/>
      <c r="I35" s="207"/>
      <c r="J35" s="208"/>
      <c r="K35" s="209"/>
      <c r="L35" s="207"/>
      <c r="M35" s="208"/>
      <c r="N35" s="209"/>
      <c r="O35" s="207"/>
      <c r="P35" s="208"/>
      <c r="Q35" s="209"/>
      <c r="R35" s="217"/>
      <c r="S35" s="217"/>
      <c r="T35" s="217"/>
      <c r="U35" s="217"/>
      <c r="V35" s="213">
        <f>Voetgangers!G19</f>
        <v>3</v>
      </c>
      <c r="W35" s="213">
        <f>Voetgangers!J19</f>
        <v>0</v>
      </c>
      <c r="X35" s="213">
        <f>Voetgangers!M19</f>
        <v>1</v>
      </c>
      <c r="Y35" s="213">
        <f>Voetgangers!P19</f>
        <v>0</v>
      </c>
      <c r="Z35" s="151"/>
      <c r="AA35" s="281">
        <f t="shared" si="24"/>
        <v>1</v>
      </c>
      <c r="AB35" s="193" t="b">
        <f>'Stromendiagram periode 1'!BD$8</f>
        <v>1</v>
      </c>
      <c r="AD35" s="251">
        <f t="shared" si="2"/>
        <v>0</v>
      </c>
      <c r="AE35" s="252">
        <f t="shared" si="3"/>
        <v>0</v>
      </c>
      <c r="AF35" s="253">
        <f t="shared" si="4"/>
        <v>0</v>
      </c>
      <c r="AG35" s="254">
        <f t="shared" si="5"/>
        <v>0</v>
      </c>
      <c r="AH35" s="252">
        <f t="shared" si="6"/>
        <v>0</v>
      </c>
      <c r="AI35" s="253">
        <f t="shared" si="7"/>
        <v>0</v>
      </c>
      <c r="AJ35" s="254">
        <f t="shared" si="8"/>
        <v>0</v>
      </c>
      <c r="AK35" s="252">
        <f t="shared" si="9"/>
        <v>0</v>
      </c>
      <c r="AL35" s="253">
        <f t="shared" si="10"/>
        <v>0</v>
      </c>
      <c r="AM35" s="254">
        <f t="shared" si="11"/>
        <v>0</v>
      </c>
      <c r="AN35" s="252">
        <f t="shared" si="12"/>
        <v>0</v>
      </c>
      <c r="AO35" s="253">
        <f t="shared" si="13"/>
        <v>0</v>
      </c>
      <c r="AP35" s="255">
        <f t="shared" si="14"/>
        <v>0</v>
      </c>
      <c r="AQ35" s="255">
        <f t="shared" si="15"/>
        <v>0</v>
      </c>
      <c r="AR35" s="255">
        <f t="shared" si="16"/>
        <v>0</v>
      </c>
      <c r="AS35" s="255">
        <f t="shared" si="17"/>
        <v>0</v>
      </c>
      <c r="AT35" s="255">
        <f t="shared" si="18"/>
        <v>3</v>
      </c>
      <c r="AU35" s="255">
        <f t="shared" si="19"/>
        <v>0</v>
      </c>
      <c r="AV35" s="255">
        <f t="shared" si="20"/>
        <v>1</v>
      </c>
      <c r="AW35" s="255">
        <f t="shared" si="21"/>
        <v>0</v>
      </c>
    </row>
    <row r="36" spans="1:49" ht="17.25" thickBot="1" x14ac:dyDescent="0.4">
      <c r="A36" s="962"/>
      <c r="B36" s="200">
        <f>Voetgangers!A20</f>
        <v>0.36458333333333348</v>
      </c>
      <c r="C36" s="969" t="s">
        <v>23</v>
      </c>
      <c r="D36" s="970"/>
      <c r="E36" s="203">
        <f>Voetgangers!D20</f>
        <v>0.37500000000000017</v>
      </c>
      <c r="F36" s="210"/>
      <c r="G36" s="211"/>
      <c r="H36" s="212"/>
      <c r="I36" s="210"/>
      <c r="J36" s="211"/>
      <c r="K36" s="212"/>
      <c r="L36" s="210"/>
      <c r="M36" s="211"/>
      <c r="N36" s="212"/>
      <c r="O36" s="210"/>
      <c r="P36" s="211"/>
      <c r="Q36" s="212"/>
      <c r="R36" s="218"/>
      <c r="S36" s="218"/>
      <c r="T36" s="218"/>
      <c r="U36" s="218"/>
      <c r="V36" s="214">
        <f>Voetgangers!G20</f>
        <v>1</v>
      </c>
      <c r="W36" s="214">
        <f>Voetgangers!J20</f>
        <v>0</v>
      </c>
      <c r="X36" s="214">
        <f>Voetgangers!M20</f>
        <v>3</v>
      </c>
      <c r="Y36" s="214">
        <f>Voetgangers!P20</f>
        <v>0</v>
      </c>
      <c r="Z36" s="151"/>
      <c r="AA36" s="140">
        <f t="shared" si="24"/>
        <v>1</v>
      </c>
      <c r="AB36" s="194" t="b">
        <f>'Stromendiagram periode 1'!BD$8</f>
        <v>1</v>
      </c>
      <c r="AD36" s="265">
        <f t="shared" si="2"/>
        <v>0</v>
      </c>
      <c r="AE36" s="266">
        <f t="shared" si="3"/>
        <v>0</v>
      </c>
      <c r="AF36" s="267">
        <f t="shared" si="4"/>
        <v>0</v>
      </c>
      <c r="AG36" s="268">
        <f t="shared" si="5"/>
        <v>0</v>
      </c>
      <c r="AH36" s="266">
        <f t="shared" si="6"/>
        <v>0</v>
      </c>
      <c r="AI36" s="267">
        <f t="shared" si="7"/>
        <v>0</v>
      </c>
      <c r="AJ36" s="268">
        <f t="shared" si="8"/>
        <v>0</v>
      </c>
      <c r="AK36" s="266">
        <f t="shared" si="9"/>
        <v>0</v>
      </c>
      <c r="AL36" s="267">
        <f t="shared" si="10"/>
        <v>0</v>
      </c>
      <c r="AM36" s="268">
        <f t="shared" si="11"/>
        <v>0</v>
      </c>
      <c r="AN36" s="266">
        <f t="shared" si="12"/>
        <v>0</v>
      </c>
      <c r="AO36" s="267">
        <f t="shared" si="13"/>
        <v>0</v>
      </c>
      <c r="AP36" s="269">
        <f t="shared" si="14"/>
        <v>0</v>
      </c>
      <c r="AQ36" s="269">
        <f t="shared" si="15"/>
        <v>0</v>
      </c>
      <c r="AR36" s="269">
        <f t="shared" si="16"/>
        <v>0</v>
      </c>
      <c r="AS36" s="269">
        <f t="shared" si="17"/>
        <v>0</v>
      </c>
      <c r="AT36" s="269">
        <f t="shared" si="18"/>
        <v>1</v>
      </c>
      <c r="AU36" s="269">
        <f t="shared" si="19"/>
        <v>0</v>
      </c>
      <c r="AV36" s="269">
        <f t="shared" si="20"/>
        <v>3</v>
      </c>
      <c r="AW36" s="269">
        <f t="shared" si="21"/>
        <v>0</v>
      </c>
    </row>
    <row r="37" spans="1:49" ht="21" thickBot="1" x14ac:dyDescent="0.45">
      <c r="AB37" t="s">
        <v>36</v>
      </c>
      <c r="AD37" s="270">
        <f>SUM(AD5:AD36)</f>
        <v>304</v>
      </c>
      <c r="AE37" s="271">
        <f t="shared" ref="AE37:AW37" si="25">SUM(AE5:AE36)</f>
        <v>1</v>
      </c>
      <c r="AF37" s="272">
        <f t="shared" si="25"/>
        <v>478</v>
      </c>
      <c r="AG37" s="273">
        <f t="shared" si="25"/>
        <v>0</v>
      </c>
      <c r="AH37" s="271">
        <f t="shared" si="25"/>
        <v>902</v>
      </c>
      <c r="AI37" s="272">
        <f t="shared" si="25"/>
        <v>400</v>
      </c>
      <c r="AJ37" s="273">
        <f t="shared" si="25"/>
        <v>0</v>
      </c>
      <c r="AK37" s="271">
        <f t="shared" si="25"/>
        <v>0</v>
      </c>
      <c r="AL37" s="272">
        <f t="shared" si="25"/>
        <v>0</v>
      </c>
      <c r="AM37" s="273">
        <f t="shared" si="25"/>
        <v>170</v>
      </c>
      <c r="AN37" s="271">
        <f t="shared" si="25"/>
        <v>1220</v>
      </c>
      <c r="AO37" s="272">
        <f t="shared" si="25"/>
        <v>0</v>
      </c>
      <c r="AP37" s="274">
        <f t="shared" si="25"/>
        <v>0</v>
      </c>
      <c r="AQ37" s="274">
        <f t="shared" si="25"/>
        <v>35</v>
      </c>
      <c r="AR37" s="274">
        <f t="shared" si="25"/>
        <v>0</v>
      </c>
      <c r="AS37" s="274">
        <f t="shared" si="25"/>
        <v>291</v>
      </c>
      <c r="AT37" s="274">
        <f t="shared" si="25"/>
        <v>7</v>
      </c>
      <c r="AU37" s="274">
        <f t="shared" si="25"/>
        <v>0</v>
      </c>
      <c r="AV37" s="274">
        <f t="shared" si="25"/>
        <v>4</v>
      </c>
      <c r="AW37" s="275">
        <f t="shared" si="25"/>
        <v>0</v>
      </c>
    </row>
    <row r="38" spans="1:49" ht="13.5" thickBot="1" x14ac:dyDescent="0.25"/>
    <row r="39" spans="1:49" ht="19.5" x14ac:dyDescent="0.4">
      <c r="A39" s="953" t="s">
        <v>21</v>
      </c>
      <c r="B39" s="198">
        <f>'Licht vervoer'!A13</f>
        <v>0.29166666666666669</v>
      </c>
      <c r="C39" s="956" t="s">
        <v>23</v>
      </c>
      <c r="D39" s="957"/>
      <c r="E39" s="201">
        <f>'Licht vervoer'!D13</f>
        <v>0.30208333333333337</v>
      </c>
      <c r="F39" s="224">
        <f t="shared" ref="F39:F46" si="26">F5+F13+F21</f>
        <v>49</v>
      </c>
      <c r="G39" s="225">
        <f t="shared" ref="G39:Q39" si="27">G5+G13+G21</f>
        <v>0</v>
      </c>
      <c r="H39" s="226">
        <f t="shared" si="27"/>
        <v>67</v>
      </c>
      <c r="I39" s="227">
        <f t="shared" si="27"/>
        <v>0</v>
      </c>
      <c r="J39" s="225">
        <f t="shared" si="27"/>
        <v>207</v>
      </c>
      <c r="K39" s="226">
        <f t="shared" si="27"/>
        <v>63</v>
      </c>
      <c r="L39" s="227">
        <f t="shared" si="27"/>
        <v>0</v>
      </c>
      <c r="M39" s="225">
        <f t="shared" si="27"/>
        <v>0</v>
      </c>
      <c r="N39" s="226">
        <f t="shared" si="27"/>
        <v>0</v>
      </c>
      <c r="O39" s="227">
        <f t="shared" si="27"/>
        <v>43</v>
      </c>
      <c r="P39" s="225">
        <f t="shared" si="27"/>
        <v>144</v>
      </c>
      <c r="Q39" s="226">
        <f t="shared" si="27"/>
        <v>0</v>
      </c>
      <c r="R39" s="238">
        <f>SUM(F39:Q39)</f>
        <v>573</v>
      </c>
      <c r="AA39">
        <f>S48</f>
        <v>0</v>
      </c>
    </row>
    <row r="40" spans="1:49" ht="19.5" x14ac:dyDescent="0.4">
      <c r="A40" s="954"/>
      <c r="B40" s="199">
        <f>'Licht vervoer'!A14</f>
        <v>0.30208333333333337</v>
      </c>
      <c r="C40" s="958" t="s">
        <v>23</v>
      </c>
      <c r="D40" s="959"/>
      <c r="E40" s="202">
        <f>'Licht vervoer'!D14</f>
        <v>0.31250000000000006</v>
      </c>
      <c r="F40" s="228">
        <f t="shared" si="26"/>
        <v>41</v>
      </c>
      <c r="G40" s="229">
        <f t="shared" ref="G40:Q40" si="28">G6+G14+G22</f>
        <v>0</v>
      </c>
      <c r="H40" s="230">
        <f t="shared" si="28"/>
        <v>69</v>
      </c>
      <c r="I40" s="231">
        <f t="shared" si="28"/>
        <v>0</v>
      </c>
      <c r="J40" s="229">
        <f t="shared" si="28"/>
        <v>216</v>
      </c>
      <c r="K40" s="230">
        <f t="shared" si="28"/>
        <v>85</v>
      </c>
      <c r="L40" s="231">
        <f t="shared" si="28"/>
        <v>0</v>
      </c>
      <c r="M40" s="229">
        <f t="shared" si="28"/>
        <v>0</v>
      </c>
      <c r="N40" s="230">
        <f t="shared" si="28"/>
        <v>0</v>
      </c>
      <c r="O40" s="231">
        <f t="shared" si="28"/>
        <v>48</v>
      </c>
      <c r="P40" s="229">
        <f t="shared" si="28"/>
        <v>204</v>
      </c>
      <c r="Q40" s="230">
        <f t="shared" si="28"/>
        <v>0</v>
      </c>
      <c r="R40" s="239">
        <f t="shared" ref="R40:R46" si="29">SUM(F40:Q40)</f>
        <v>663</v>
      </c>
      <c r="AA40">
        <f>SUM(S48:S49)</f>
        <v>0</v>
      </c>
    </row>
    <row r="41" spans="1:49" ht="19.5" x14ac:dyDescent="0.4">
      <c r="A41" s="954"/>
      <c r="B41" s="199">
        <f>'Licht vervoer'!A15</f>
        <v>0.31250000000000006</v>
      </c>
      <c r="C41" s="958" t="s">
        <v>23</v>
      </c>
      <c r="D41" s="959"/>
      <c r="E41" s="202">
        <f>'Licht vervoer'!D15</f>
        <v>0.32291666666666674</v>
      </c>
      <c r="F41" s="228">
        <f t="shared" si="26"/>
        <v>61</v>
      </c>
      <c r="G41" s="229">
        <f t="shared" ref="G41:Q41" si="30">G7+G15+G23</f>
        <v>0</v>
      </c>
      <c r="H41" s="230">
        <f t="shared" si="30"/>
        <v>65</v>
      </c>
      <c r="I41" s="231">
        <f t="shared" si="30"/>
        <v>0</v>
      </c>
      <c r="J41" s="229">
        <f t="shared" si="30"/>
        <v>229</v>
      </c>
      <c r="K41" s="230">
        <f t="shared" si="30"/>
        <v>99</v>
      </c>
      <c r="L41" s="231">
        <f t="shared" si="30"/>
        <v>0</v>
      </c>
      <c r="M41" s="229">
        <f t="shared" si="30"/>
        <v>0</v>
      </c>
      <c r="N41" s="230">
        <f t="shared" si="30"/>
        <v>0</v>
      </c>
      <c r="O41" s="231">
        <f t="shared" si="30"/>
        <v>44</v>
      </c>
      <c r="P41" s="229">
        <f t="shared" si="30"/>
        <v>308</v>
      </c>
      <c r="Q41" s="230">
        <f t="shared" si="30"/>
        <v>0</v>
      </c>
      <c r="R41" s="239">
        <f t="shared" si="29"/>
        <v>806</v>
      </c>
      <c r="AA41">
        <f>SUM(S48:S50)</f>
        <v>0</v>
      </c>
    </row>
    <row r="42" spans="1:49" ht="19.5" x14ac:dyDescent="0.4">
      <c r="A42" s="954"/>
      <c r="B42" s="199">
        <f>'Licht vervoer'!A16</f>
        <v>0.32291666666666674</v>
      </c>
      <c r="C42" s="958" t="s">
        <v>23</v>
      </c>
      <c r="D42" s="959"/>
      <c r="E42" s="202">
        <f>'Licht vervoer'!D16</f>
        <v>0.33333333333333343</v>
      </c>
      <c r="F42" s="228">
        <f t="shared" si="26"/>
        <v>60</v>
      </c>
      <c r="G42" s="229">
        <f t="shared" ref="G42:Q42" si="31">G8+G16+G24</f>
        <v>0</v>
      </c>
      <c r="H42" s="230">
        <f t="shared" si="31"/>
        <v>110</v>
      </c>
      <c r="I42" s="231">
        <f t="shared" si="31"/>
        <v>0</v>
      </c>
      <c r="J42" s="229">
        <f t="shared" si="31"/>
        <v>193</v>
      </c>
      <c r="K42" s="230">
        <f t="shared" si="31"/>
        <v>105</v>
      </c>
      <c r="L42" s="231">
        <f t="shared" si="31"/>
        <v>0</v>
      </c>
      <c r="M42" s="229">
        <f t="shared" si="31"/>
        <v>0</v>
      </c>
      <c r="N42" s="230">
        <f t="shared" si="31"/>
        <v>0</v>
      </c>
      <c r="O42" s="231">
        <f t="shared" si="31"/>
        <v>42</v>
      </c>
      <c r="P42" s="229">
        <f t="shared" si="31"/>
        <v>288</v>
      </c>
      <c r="Q42" s="230">
        <f t="shared" si="31"/>
        <v>0</v>
      </c>
      <c r="R42" s="239">
        <f t="shared" si="29"/>
        <v>798</v>
      </c>
      <c r="AA42">
        <f>SUM(S48:S51)</f>
        <v>0</v>
      </c>
    </row>
    <row r="43" spans="1:49" ht="19.5" x14ac:dyDescent="0.4">
      <c r="A43" s="954"/>
      <c r="B43" s="199">
        <f>'Licht vervoer'!A17</f>
        <v>0.33333333333333343</v>
      </c>
      <c r="C43" s="958" t="s">
        <v>23</v>
      </c>
      <c r="D43" s="959"/>
      <c r="E43" s="202">
        <f>'Licht vervoer'!D17</f>
        <v>0.34375000000000011</v>
      </c>
      <c r="F43" s="228">
        <f t="shared" si="26"/>
        <v>70</v>
      </c>
      <c r="G43" s="229">
        <f t="shared" ref="G43:Q43" si="32">G9+G17+G25</f>
        <v>0</v>
      </c>
      <c r="H43" s="230">
        <f t="shared" si="32"/>
        <v>109</v>
      </c>
      <c r="I43" s="231">
        <f t="shared" si="32"/>
        <v>0</v>
      </c>
      <c r="J43" s="229">
        <f t="shared" si="32"/>
        <v>226</v>
      </c>
      <c r="K43" s="230">
        <f t="shared" si="32"/>
        <v>116</v>
      </c>
      <c r="L43" s="231">
        <f t="shared" si="32"/>
        <v>0</v>
      </c>
      <c r="M43" s="229">
        <f t="shared" si="32"/>
        <v>0</v>
      </c>
      <c r="N43" s="230">
        <f t="shared" si="32"/>
        <v>0</v>
      </c>
      <c r="O43" s="231">
        <f t="shared" si="32"/>
        <v>41</v>
      </c>
      <c r="P43" s="229">
        <f t="shared" si="32"/>
        <v>277</v>
      </c>
      <c r="Q43" s="230">
        <f t="shared" si="32"/>
        <v>0</v>
      </c>
      <c r="R43" s="239">
        <f t="shared" si="29"/>
        <v>839</v>
      </c>
      <c r="AA43">
        <f>SUM(S49:S52)</f>
        <v>1</v>
      </c>
    </row>
    <row r="44" spans="1:49" ht="19.5" x14ac:dyDescent="0.4">
      <c r="A44" s="954"/>
      <c r="B44" s="199">
        <f>'Licht vervoer'!A18</f>
        <v>0.34375000000000011</v>
      </c>
      <c r="C44" s="958" t="s">
        <v>23</v>
      </c>
      <c r="D44" s="959"/>
      <c r="E44" s="202">
        <f>'Licht vervoer'!D18</f>
        <v>0.3541666666666668</v>
      </c>
      <c r="F44" s="228">
        <f t="shared" si="26"/>
        <v>80</v>
      </c>
      <c r="G44" s="229">
        <f t="shared" ref="G44:Q44" si="33">G10+G18+G26</f>
        <v>1</v>
      </c>
      <c r="H44" s="230">
        <f t="shared" si="33"/>
        <v>121</v>
      </c>
      <c r="I44" s="231">
        <f t="shared" si="33"/>
        <v>0</v>
      </c>
      <c r="J44" s="229">
        <f t="shared" si="33"/>
        <v>212</v>
      </c>
      <c r="K44" s="230">
        <f t="shared" si="33"/>
        <v>100</v>
      </c>
      <c r="L44" s="231">
        <f t="shared" si="33"/>
        <v>0</v>
      </c>
      <c r="M44" s="229">
        <f t="shared" si="33"/>
        <v>0</v>
      </c>
      <c r="N44" s="230">
        <f t="shared" si="33"/>
        <v>0</v>
      </c>
      <c r="O44" s="231">
        <f t="shared" si="33"/>
        <v>50</v>
      </c>
      <c r="P44" s="229">
        <f t="shared" si="33"/>
        <v>359</v>
      </c>
      <c r="Q44" s="230">
        <f t="shared" si="33"/>
        <v>0</v>
      </c>
      <c r="R44" s="239">
        <f t="shared" si="29"/>
        <v>923</v>
      </c>
      <c r="AA44">
        <f>SUM(S50:S52)</f>
        <v>1</v>
      </c>
    </row>
    <row r="45" spans="1:49" ht="19.5" x14ac:dyDescent="0.4">
      <c r="A45" s="954"/>
      <c r="B45" s="199">
        <f>'Licht vervoer'!A19</f>
        <v>0.3541666666666668</v>
      </c>
      <c r="C45" s="958" t="s">
        <v>23</v>
      </c>
      <c r="D45" s="959"/>
      <c r="E45" s="202">
        <f>'Licht vervoer'!D19</f>
        <v>0.36458333333333348</v>
      </c>
      <c r="F45" s="228">
        <f t="shared" si="26"/>
        <v>71</v>
      </c>
      <c r="G45" s="229">
        <f t="shared" ref="G45:Q45" si="34">G11+G19+G27</f>
        <v>0</v>
      </c>
      <c r="H45" s="230">
        <f t="shared" si="34"/>
        <v>126</v>
      </c>
      <c r="I45" s="231">
        <f t="shared" si="34"/>
        <v>0</v>
      </c>
      <c r="J45" s="229">
        <f t="shared" si="34"/>
        <v>233</v>
      </c>
      <c r="K45" s="230">
        <f t="shared" si="34"/>
        <v>88</v>
      </c>
      <c r="L45" s="231">
        <f t="shared" si="34"/>
        <v>0</v>
      </c>
      <c r="M45" s="229">
        <f t="shared" si="34"/>
        <v>0</v>
      </c>
      <c r="N45" s="230">
        <f t="shared" si="34"/>
        <v>0</v>
      </c>
      <c r="O45" s="231">
        <f t="shared" si="34"/>
        <v>37</v>
      </c>
      <c r="P45" s="229">
        <f t="shared" si="34"/>
        <v>299</v>
      </c>
      <c r="Q45" s="230">
        <f t="shared" si="34"/>
        <v>0</v>
      </c>
      <c r="R45" s="239">
        <f t="shared" si="29"/>
        <v>854</v>
      </c>
      <c r="AA45">
        <f>SUM(S51:S52)</f>
        <v>1</v>
      </c>
    </row>
    <row r="46" spans="1:49" ht="20.25" thickBot="1" x14ac:dyDescent="0.45">
      <c r="A46" s="955"/>
      <c r="B46" s="200">
        <f>'Licht vervoer'!A20</f>
        <v>0.36458333333333348</v>
      </c>
      <c r="C46" s="969" t="s">
        <v>23</v>
      </c>
      <c r="D46" s="970"/>
      <c r="E46" s="203">
        <f>'Licht vervoer'!D20</f>
        <v>0.37500000000000017</v>
      </c>
      <c r="F46" s="232">
        <f t="shared" si="26"/>
        <v>83</v>
      </c>
      <c r="G46" s="233">
        <f>G12+G20+G28</f>
        <v>0</v>
      </c>
      <c r="H46" s="234">
        <f>H12+H20+H28</f>
        <v>122</v>
      </c>
      <c r="I46" s="235">
        <f>I12+I20+I28</f>
        <v>0</v>
      </c>
      <c r="J46" s="233">
        <f>J12+J20+J28</f>
        <v>231</v>
      </c>
      <c r="K46" s="234">
        <f t="shared" ref="K46:Q46" si="35">K12+K20+K28</f>
        <v>96</v>
      </c>
      <c r="L46" s="235">
        <f t="shared" si="35"/>
        <v>0</v>
      </c>
      <c r="M46" s="233">
        <f t="shared" si="35"/>
        <v>0</v>
      </c>
      <c r="N46" s="234">
        <f t="shared" si="35"/>
        <v>0</v>
      </c>
      <c r="O46" s="235">
        <f t="shared" si="35"/>
        <v>42</v>
      </c>
      <c r="P46" s="233">
        <f t="shared" si="35"/>
        <v>285</v>
      </c>
      <c r="Q46" s="234">
        <f t="shared" si="35"/>
        <v>0</v>
      </c>
      <c r="R46" s="240">
        <f t="shared" si="29"/>
        <v>859</v>
      </c>
      <c r="AA46">
        <f>SUM(S52)</f>
        <v>1</v>
      </c>
    </row>
    <row r="48" spans="1:49" ht="15" x14ac:dyDescent="0.3">
      <c r="F48" s="86">
        <f>IF(AND(SUM($R39:$R42)&gt;=SUM($R40:R$43),SUM($R39:$R42)&gt;=SUM($R41:$R44),SUM($R39:$R42)&gt;=SUM($R42:$R45),SUM($R39:$R42)&gt;=SUM($R43:$R46)),SUM(F39:F42),0)</f>
        <v>0</v>
      </c>
      <c r="G48" s="86">
        <f>IF(AND(SUM($R39:$R42)&gt;=SUM($R40:R$43),SUM($R39:$R42)&gt;=SUM($R41:$R44),SUM($R39:$R42)&gt;=SUM($R42:$R45),SUM($R39:$R42)&gt;=SUM($R43:$R46)),SUM(G39:G42),0)</f>
        <v>0</v>
      </c>
      <c r="H48" s="86">
        <f>IF(AND(SUM($R39:$R42)&gt;=SUM($R40:R$43),SUM($R39:$R42)&gt;=SUM($R41:$R44),SUM($R39:$R42)&gt;=SUM($R42:$R45),SUM($R39:$R42)&gt;=SUM($R43:$R46)),SUM(H39:H42),0)</f>
        <v>0</v>
      </c>
      <c r="I48" s="86">
        <f>IF(AND(SUM($R39:$R42)&gt;=SUM($R40:U$43),SUM($R39:$R42)&gt;=SUM($R41:$R44),SUM($R39:$R42)&gt;=SUM($R42:$R45),SUM($R39:$R42)&gt;=SUM($R43:$R46)),SUM(I39:I42),0)</f>
        <v>0</v>
      </c>
      <c r="J48" s="86">
        <f>IF(AND(SUM($R39:$R42)&gt;=SUM($R40:R$43),SUM($R39:$R42)&gt;=SUM($R41:$R44),SUM($R39:$R42)&gt;=SUM($R42:$R45),SUM($R39:$R42)&gt;=SUM($R43:$R46)),SUM(J39:J42),0)</f>
        <v>0</v>
      </c>
      <c r="K48" s="86">
        <f>IF(AND(SUM($R39:$R42)&gt;=SUM($R40:R$43),SUM($R39:$R42)&gt;=SUM($R41:$R44),SUM($R39:$R42)&gt;=SUM($R42:$R45),SUM($R39:$R42)&gt;=SUM($R43:$R46)),SUM(K39:K42),0)</f>
        <v>0</v>
      </c>
      <c r="L48" s="86">
        <f>IF(AND(SUM($R39:$R42)&gt;=SUM($R40:R$43),SUM($R39:$R42)&gt;=SUM($R41:$R44),SUM($R39:$R42)&gt;=SUM($R42:$R45),SUM($R39:$R42)&gt;=SUM($R43:$R46)),SUM(L39:L42),0)</f>
        <v>0</v>
      </c>
      <c r="M48" s="86">
        <f>IF(AND(SUM($R39:$R42)&gt;=SUM($R40:U$43),SUM($R39:$R42)&gt;=SUM($R41:$R44),SUM($R39:$R42)&gt;=SUM($R42:$R45),SUM($R39:$R42)&gt;=SUM($R43:$R46)),SUM(M39:M42),0)</f>
        <v>0</v>
      </c>
      <c r="N48" s="86">
        <f>IF(AND(SUM($R39:$R42)&gt;=SUM($R40:V$43),SUM($R39:$R42)&gt;=SUM($R41:$R44),SUM($R39:$R42)&gt;=SUM($R42:$R45),SUM($R39:$R42)&gt;=SUM($R43:$R46)),SUM(N39:N42),0)</f>
        <v>0</v>
      </c>
      <c r="O48" s="86">
        <f>IF(AND(SUM($R39:$R42)&gt;=SUM($R40:R$43),SUM($R39:$R42)&gt;=SUM($R41:$R44),SUM($R39:$R42)&gt;=SUM($R42:$R45),SUM($R39:$R42)&gt;=SUM($R43:$R46)),SUM(O39:O42),0)</f>
        <v>0</v>
      </c>
      <c r="P48" s="86">
        <f>IF(AND(SUM($R39:$R42)&gt;=SUM($R40:R$43),SUM($R39:$R42)&gt;=SUM($R41:$R44),SUM($R39:$R42)&gt;=SUM($R42:$R45),SUM($R39:$R42)&gt;=SUM($R43:$R46)),SUM(P39:P42),0)</f>
        <v>0</v>
      </c>
      <c r="Q48" s="86">
        <f>IF(AND(SUM($R39:$R42)&gt;=SUM($R40:R$43),SUM($R39:$R42)&gt;=SUM($R41:$R44),SUM($R39:$R42)&gt;=SUM($R42:$R45),SUM($R39:$R42)&gt;=SUM($R43:$R46)),SUM(Q39:Q42),0)</f>
        <v>0</v>
      </c>
      <c r="R48" s="86">
        <f>IF(AND(SUM($R39:$R42)&gt;=SUM($R40:R$43),SUM($R39:$R42)&gt;=SUM($R41:$R44),SUM($R39:$R42)&gt;=SUM($R42:$R45),SUM($R39:$R42)&gt;=SUM($R43:$R46)),SUM(R39:R42),0)</f>
        <v>0</v>
      </c>
      <c r="S48" s="86">
        <f>IF(AND(SUM($R39:$R42)&gt;=SUM($R40:$R43),SUM($R39:$R42)&gt;=SUM($R41:$R44),SUM($R39:$R42)&gt;=SUM($R42:$R45),SUM($R39:$R42)&gt;=SUM($R43:$R46)),1,0)</f>
        <v>0</v>
      </c>
      <c r="T48" s="283" t="str">
        <f>"van "&amp;TEXT(B39, "uuhmm")&amp;" tot "&amp;TEXT(E42, "uuhmm")</f>
        <v>van 07h00 tot 08h00</v>
      </c>
    </row>
    <row r="49" spans="6:21" ht="15" x14ac:dyDescent="0.3">
      <c r="F49" s="86">
        <f>IF(AND(SUM($R40:$R43)&gt;=SUM($R41:R$44),SUM($R40:$R43)&gt;=SUM($R42:$R45),SUM($R40:$R43)&gt;=SUM($R43:$R46),SUM($R40:$R43)&gt;SUM($R40:$R43)),SUM(F40:F43),0)</f>
        <v>0</v>
      </c>
      <c r="G49" s="86">
        <f>IF(AND(SUM($R40:$R43)&gt;=SUM($R41:R$44),SUM($R40:$R43)&gt;=SUM($R42:$R45),SUM($R40:$R43)&gt;=SUM($R43:$R46),SUM($R40:$R43)&gt;SUM($R40:$R43)),SUM(G40:G43),0)</f>
        <v>0</v>
      </c>
      <c r="H49" s="86">
        <f>IF(AND(SUM($R40:$R43)&gt;=SUM($R41:R$44),SUM($R40:$R43)&gt;=SUM($R42:$R45),SUM($R40:$R43)&gt;=SUM($R43:$R46),SUM($R40:$R43)&gt;SUM($R40:$R43)),SUM(H40:H43),0)</f>
        <v>0</v>
      </c>
      <c r="I49" s="86">
        <f>IF(AND(SUM($R40:$R43)&gt;=SUM($R41:R$44),SUM($R40:$R43)&gt;=SUM($R42:$R45),SUM($R40:$R43)&gt;=SUM($R43:$R46),SUM($R40:$R43)&gt;SUM($R40:$R43)),SUM(I40:I43),0)</f>
        <v>0</v>
      </c>
      <c r="J49" s="86">
        <f>IF(AND(SUM($R40:$R43)&gt;=SUM($R41:R$44),SUM($R40:$R43)&gt;=SUM($R42:$R45),SUM($R40:$R43)&gt;=SUM($R43:$R46),SUM($R40:$R43)&gt;SUM($R40:$R43)),SUM(J40:J43),0)</f>
        <v>0</v>
      </c>
      <c r="K49" s="86">
        <f>IF(AND(SUM($R40:$R43)&gt;=SUM($R41:R$44),SUM($R40:$R43)&gt;=SUM($R42:$R45),SUM($R40:$R43)&gt;=SUM($R43:$R46),SUM($R40:$R43)&gt;SUM($R40:$R43)),SUM(K40:K43),0)</f>
        <v>0</v>
      </c>
      <c r="L49" s="86">
        <f>IF(AND(SUM($R40:$R43)&gt;=SUM($R41:R$44),SUM($R40:$R43)&gt;=SUM($R42:$R45),SUM($R40:$R43)&gt;=SUM($R43:$R46),SUM($R40:$R43)&gt;SUM($R40:$R43)),SUM(L40:L43),0)</f>
        <v>0</v>
      </c>
      <c r="M49" s="86">
        <f>IF(AND(SUM($R40:$R43)&gt;=SUM($R41:U$44),SUM($R40:$R43)&gt;=SUM($R42:$R45),SUM($R40:$R43)&gt;=SUM($R43:$R46),SUM($R40:$R43)&gt;SUM($R40:$R43)),SUM(M40:M43),0)</f>
        <v>0</v>
      </c>
      <c r="N49" s="86">
        <f>IF(AND(SUM($R40:$R43)&gt;=SUM($R41:V$44),SUM($R40:$R43)&gt;=SUM($R42:$R45),SUM($R40:$R43)&gt;=SUM($R43:$R46),SUM($R40:$R43)&gt;SUM($R40:$R43)),SUM(N40:N43),0)</f>
        <v>0</v>
      </c>
      <c r="O49" s="86">
        <f>IF(AND(SUM($R40:$R43)&gt;=SUM($R41:R$44),SUM($R40:$R43)&gt;=SUM($R42:$R45),SUM($R40:$R43)&gt;=SUM($R43:$R46),SUM($R40:$R43)&gt;SUM($R40:$R43)),SUM(O40:O43),0)</f>
        <v>0</v>
      </c>
      <c r="P49" s="86">
        <f>IF(AND(SUM($R40:$R43)&gt;=SUM($R41:R$44),SUM($R40:$R43)&gt;=SUM($R42:$R45),SUM($R40:$R43)&gt;=SUM($R43:$R46),SUM($R40:$R43)&gt;SUM($R40:$R43)),SUM(P40:P43),0)</f>
        <v>0</v>
      </c>
      <c r="Q49" s="86">
        <f>IF(AND(SUM($R40:$R43)&gt;=SUM($R41:R$44),SUM($R40:$R43)&gt;=SUM($R42:$R45),SUM($R40:$R43)&gt;=SUM($R43:$R46),SUM($R40:$R43)&gt;SUM($R40:$R43)),SUM(Q40:Q43),0)</f>
        <v>0</v>
      </c>
      <c r="R49" s="86">
        <f>IF(AND(SUM($R40:$R43)&gt;=SUM($R41:R$44),SUM($R40:$R43)&gt;=SUM($R42:$R45),SUM($R40:$R43)&gt;=SUM($R43:$R46),SUM($R40:$R43)&gt;SUM($R40:$R43)),SUM(R40:R43),0)</f>
        <v>0</v>
      </c>
      <c r="S49" s="86">
        <f>IF(AND(SUM($R40:$R43)&gt;=SUM($R41:$R44),SUM($R40:$R43)&gt;=SUM($R42:$R45),SUM($R40:$R43)&gt;=SUM($R43:$R46),SUM($R40:$R43)&gt;SUM($R39:$R42)),1,0)</f>
        <v>0</v>
      </c>
      <c r="T49" s="283" t="str">
        <f>"van "&amp;TEXT(B40, "uuhmm")&amp;" tot "&amp;TEXT(E43, "uuhmm")</f>
        <v>van 07h15 tot 08h15</v>
      </c>
    </row>
    <row r="50" spans="6:21" ht="15" x14ac:dyDescent="0.3">
      <c r="F50" s="86">
        <f>IF(AND(SUM($R41:$R44)&gt;=SUM($R42:$R45),SUM($R41:$R44)&gt;=SUM($R43:$R46),SUM($R41:$R44)&gt;SUM($R39:$R42),SUM($R41:$R44)&gt;SUM(R40:R43)),SUM(F41:F44),0)</f>
        <v>0</v>
      </c>
      <c r="G50" s="86">
        <f>IF(AND(SUM($R41:$R44)&gt;=SUM($R42:$R45),SUM($R41:$R44)&gt;=SUM($R43:$R46),SUM($R41:$R44)&gt;SUM($R39:$R42),SUM($R41:$R44)&gt;SUM(R40:R43)),SUM(G41:G44),0)</f>
        <v>0</v>
      </c>
      <c r="H50" s="86">
        <f>IF(AND(SUM($R41:$R44)&gt;=SUM($R42:$R45),SUM($R41:$R44)&gt;=SUM($R43:$R46),SUM($R41:$R44)&gt;SUM($R39:$R42),SUM($R41:$R44)&gt;SUM(R40:R43)),SUM(H41:H44),0)</f>
        <v>0</v>
      </c>
      <c r="I50" s="86">
        <f>IF(AND(SUM($R41:$R44)&gt;=SUM($R42:$R45),SUM($R41:$R44)&gt;=SUM($R43:$R46),SUM($R41:$R44)&gt;SUM($R39:$R42),SUM($R41:$R44)&gt;SUM(R40:R43)),SUM(I41:I44),0)</f>
        <v>0</v>
      </c>
      <c r="J50" s="86">
        <f>IF(AND(SUM($R41:$R44)&gt;=SUM($R42:$R45),SUM($R41:$R44)&gt;=SUM($R43:$R46),SUM($R41:$R44)&gt;SUM($R39:$R42),SUM($R41:$R44)&gt;SUM(R40:R43)),SUM(J41:J44),0)</f>
        <v>0</v>
      </c>
      <c r="K50" s="86">
        <f>IF(AND(SUM($R41:$R44)&gt;=SUM($R42:$R45),SUM($R41:$R44)&gt;=SUM($R43:$R46),SUM($R41:$R44)&gt;SUM($R39:$R42),SUM($R41:$R44)&gt;SUM(R40:R43)),SUM(K41:K44),0)</f>
        <v>0</v>
      </c>
      <c r="L50" s="86">
        <f>IF(AND(SUM($R41:$R44)&gt;=SUM($R42:$R45),SUM($R41:$R44)&gt;=SUM($R43:$R46),SUM($R41:$R44)&gt;SUM($R39:$R42),SUM($R41:$R44)&gt;SUM(T40:T43)),SUM(L41:L44),0)</f>
        <v>0</v>
      </c>
      <c r="M50" s="86">
        <f>IF(AND(SUM($R41:$R44)&gt;=SUM($R42:$R45),SUM($R41:$R44)&gt;=SUM($R43:$R46),SUM($R41:$R44)&gt;SUM($R39:$R42),SUM($R41:$R44)&gt;SUM(U40:U43)),SUM(M41:M44),0)</f>
        <v>0</v>
      </c>
      <c r="N50" s="86">
        <f>IF(AND(SUM($R41:$R44)&gt;=SUM($R42:$R45),SUM($R41:$R44)&gt;=SUM($R43:$R46),SUM($R41:$R44)&gt;SUM($R39:$R42),SUM($R41:$R44)&gt;SUM(R40:R43)),SUM(N41:N44),0)</f>
        <v>0</v>
      </c>
      <c r="O50" s="86">
        <f>IF(AND(SUM($R41:$R44)&gt;=SUM($R42:$R45),SUM($R41:$R44)&gt;=SUM($R43:$R46),SUM($R41:$R44)&gt;SUM($R39:$R42),SUM($R41:$R44)&gt;SUM(R40:R43)),SUM(O41:O44),0)</f>
        <v>0</v>
      </c>
      <c r="P50" s="86">
        <f>IF(AND(SUM($R41:$R44)&gt;=SUM($R42:$R45),SUM($R41:$R44)&gt;=SUM($R43:$R46),SUM($R41:$R44)&gt;SUM($R39:$R42),SUM($R41:$R44)&gt;SUM(R40:R43)),SUM(P41:P44),0)</f>
        <v>0</v>
      </c>
      <c r="Q50" s="86">
        <f>IF(AND(SUM($R41:$R44)&gt;=SUM($R42:$R45),SUM($R41:$R44)&gt;=SUM($R43:$R46),SUM($R41:$R44)&gt;SUM($R39:$R42),SUM($R41:$R44)&gt;SUM(R40:R43)),SUM(Q41:Q44),0)</f>
        <v>0</v>
      </c>
      <c r="R50" s="86">
        <f>IF(AND(SUM($R41:$R44)&gt;=SUM($R42:$R45),SUM($R41:$R44)&gt;=SUM($R43:$R46),SUM($R41:$R44)&gt;SUM($R39:$R42),SUM($R41:$R44)&gt;SUM(R40:R43)),SUM(R41:R44),0)</f>
        <v>0</v>
      </c>
      <c r="S50" s="86">
        <f>IF(AND(SUM($R41:$R44)&gt;=SUM($R42:$R45),SUM($R41:$R44)&gt;=SUM($R43:$R46),SUM($R41:$R44)&gt;SUM(R39:R42),SUM($R41:$R44)&gt;SUM(R40:R43)),1,0)</f>
        <v>0</v>
      </c>
      <c r="T50" s="283" t="str">
        <f>"van "&amp;TEXT(B41, "uuhmm")&amp;" tot "&amp;TEXT(E44, "uuhmm")</f>
        <v>van 07h30 tot 08h30</v>
      </c>
    </row>
    <row r="51" spans="6:21" ht="15" x14ac:dyDescent="0.3">
      <c r="F51" s="86">
        <f>IF(AND(SUM($R42:$R45)&gt;=SUM($R43:$R46),SUM($R42:$R45)&gt;SUM($R39:$R42),SUM($R42:$R45)&gt;SUM($R40:$R43),SUM($R42:$R45)&gt;SUM(R41:R44)),SUM(F42:F45),0)</f>
        <v>0</v>
      </c>
      <c r="G51" s="86">
        <f>IF(AND(SUM($R42:$R45)&gt;=SUM($R43:$R46),SUM($R42:$R45)&gt;SUM($R39:$R42),SUM($R42:$R45)&gt;SUM($R40:$R43),SUM($R42:$R45)&gt;SUM(R41:R44)),SUM(G42:G45),0)</f>
        <v>0</v>
      </c>
      <c r="H51" s="86">
        <f>IF(AND(SUM($R42:$R45)&gt;=SUM($R43:$R46),SUM($R42:$R45)&gt;SUM($R39:$R42),SUM($R42:$R45)&gt;SUM($R40:$R43),SUM($R42:$R45)&gt;SUM(R41:R44)),SUM(H42:H45),0)</f>
        <v>0</v>
      </c>
      <c r="I51" s="86">
        <f>IF(AND(SUM($R42:$R45)&gt;=SUM($R43:$R46),SUM($R42:$R45)&gt;SUM($R39:$R42),SUM($R42:$R45)&gt;SUM($R40:$R43),SUM($R42:$R45)&gt;SUM(R41:R44)),SUM(I42:I45),0)</f>
        <v>0</v>
      </c>
      <c r="J51" s="86">
        <f>IF(AND(SUM($R42:$R45)&gt;=SUM($R43:$R46),SUM($R42:$R45)&gt;SUM($R39:$R42),SUM($R42:$R45)&gt;SUM($R40:$R43),SUM($R42:$R45)&gt;SUM(R41:R44)),SUM(J42:J45),0)</f>
        <v>0</v>
      </c>
      <c r="K51" s="86">
        <f>IF(AND(SUM($R42:$R45)&gt;=SUM($R43:$R46),SUM($R42:$R45)&gt;SUM($R39:$R42),SUM($R42:$R45)&gt;SUM($R40:$R43),SUM($R42:$R45)&gt;SUM(R41:R44)),SUM(K42:K45),0)</f>
        <v>0</v>
      </c>
      <c r="L51" s="86">
        <f>IF(AND(SUM($R42:$R45)&gt;=SUM($R43:$R46),SUM($R42:$R45)&gt;SUM($R39:$R42),SUM($R42:$R45)&gt;SUM($R40:$R43),SUM($R42:$R45)&gt;SUM(T41:T44)),SUM(L42:L45),0)</f>
        <v>0</v>
      </c>
      <c r="M51" s="86">
        <f>IF(AND(SUM($R42:$R45)&gt;=SUM($R43:$R46),SUM($R42:$R45)&gt;SUM($R39:$R42),SUM($R42:$R45)&gt;SUM($R40:$R43),SUM($R42:$R45)&gt;SUM(R41:R44)),SUM(M42:M45),0)</f>
        <v>0</v>
      </c>
      <c r="N51" s="86">
        <f>IF(AND(SUM($R42:$R45)&gt;=SUM($R43:$R46),SUM($R42:$R45)&gt;SUM($R39:$R42),SUM($R42:$R45)&gt;SUM($R40:$R43),SUM($R42:$R45)&gt;SUM(R41:R44)),SUM(N42:N45),0)</f>
        <v>0</v>
      </c>
      <c r="O51" s="86">
        <f>IF(AND(SUM($R42:$R45)&gt;=SUM($R43:$R46),SUM($R42:$R45)&gt;SUM($R39:$R42),SUM($R42:$R45)&gt;SUM($R40:$R43),SUM($R42:$R45)&gt;SUM(R41:R44)),SUM(O42:O45),0)</f>
        <v>0</v>
      </c>
      <c r="P51" s="86">
        <f>IF(AND(SUM($R42:$R45)&gt;=SUM($R43:$R46),SUM($R42:$R45)&gt;SUM($R39:$R42),SUM($R42:$R45)&gt;SUM($R40:$R43),SUM($R42:$R45)&gt;SUM(R41:R44)),SUM(P42:P45),0)</f>
        <v>0</v>
      </c>
      <c r="Q51" s="86">
        <f>IF(AND(SUM($R42:$R45)&gt;=SUM($R43:$R46),SUM($R42:$R45)&gt;SUM($R39:$R42),SUM($R42:$R45)&gt;SUM($R40:$R43),SUM($R42:$R45)&gt;SUM(R41:R44)),SUM(Q42:Q45),0)</f>
        <v>0</v>
      </c>
      <c r="R51" s="86">
        <f>IF(AND(SUM($R42:$R45)&gt;=SUM($R43:$R46),SUM($R42:$R45)&gt;SUM($R39:$R42),SUM($R42:$R45)&gt;SUM($R40:$R43),SUM($R42:$R45)&gt;SUM(R41:R44)),SUM(R42:R45),0)</f>
        <v>0</v>
      </c>
      <c r="S51" s="86">
        <f>IF(AND(SUM($R42:$R45)&gt;=SUM($R43:$R46),SUM($R42:$R45)&gt;SUM($R39:$R42),SUM($R42:$R45)&gt;SUM(R40:R43),SUM($R42:$R45)&gt;SUM(R41:R44)),1,0)</f>
        <v>0</v>
      </c>
      <c r="T51" s="283" t="str">
        <f>"van "&amp;TEXT(B42, "uuhmm")&amp;" tot "&amp;TEXT(E45, "uuhmm")</f>
        <v>van 07h45 tot 08h45</v>
      </c>
    </row>
    <row r="52" spans="6:21" ht="15" x14ac:dyDescent="0.3">
      <c r="F52" s="86">
        <f t="shared" ref="F52:R52" si="36">IF(AND(SUM($R43:$R46)&gt;SUM($R39:$R42),SUM($R43:$R46)&gt;SUM($R40:$R43),SUM($R43:$R46)&gt;SUM($R41:$R44),SUM($R43:$R46)&gt;SUM($R42:$R45)),SUM(F43:F46),0)</f>
        <v>304</v>
      </c>
      <c r="G52" s="86">
        <f t="shared" si="36"/>
        <v>1</v>
      </c>
      <c r="H52" s="86">
        <f t="shared" si="36"/>
        <v>478</v>
      </c>
      <c r="I52" s="86">
        <f t="shared" si="36"/>
        <v>0</v>
      </c>
      <c r="J52" s="86">
        <f t="shared" si="36"/>
        <v>902</v>
      </c>
      <c r="K52" s="86">
        <f t="shared" si="36"/>
        <v>400</v>
      </c>
      <c r="L52" s="86">
        <f t="shared" si="36"/>
        <v>0</v>
      </c>
      <c r="M52" s="86">
        <f t="shared" si="36"/>
        <v>0</v>
      </c>
      <c r="N52" s="86">
        <f t="shared" si="36"/>
        <v>0</v>
      </c>
      <c r="O52" s="86">
        <f t="shared" si="36"/>
        <v>170</v>
      </c>
      <c r="P52" s="86">
        <f t="shared" si="36"/>
        <v>1220</v>
      </c>
      <c r="Q52" s="86">
        <f t="shared" si="36"/>
        <v>0</v>
      </c>
      <c r="R52" s="86">
        <f t="shared" si="36"/>
        <v>3475</v>
      </c>
      <c r="S52" s="86">
        <f>IF(AND(SUM($R43:$R46)&gt;SUM($R39:$R42),SUM($R43:$R46)&gt;SUM(R40:R43),SUM($R43:$R46)&gt;SUM($R41:$R44),SUM($R43:$R46)&gt;SUM($R42:$R45)),1,0)</f>
        <v>1</v>
      </c>
      <c r="T52" s="283" t="str">
        <f>"van "&amp;TEXT(B43, "uuhmm")&amp;" tot "&amp;TEXT(E46, "uuhmm")</f>
        <v>van 08h00 tot 09h00</v>
      </c>
    </row>
    <row r="53" spans="6:21" ht="22.5" x14ac:dyDescent="0.45">
      <c r="F53" s="242">
        <f>SUM(F48:F52)</f>
        <v>304</v>
      </c>
      <c r="G53" s="243">
        <f t="shared" ref="G53:R53" si="37">SUM(G48:G52)</f>
        <v>1</v>
      </c>
      <c r="H53" s="244">
        <f t="shared" si="37"/>
        <v>478</v>
      </c>
      <c r="I53" s="242">
        <f t="shared" si="37"/>
        <v>0</v>
      </c>
      <c r="J53" s="243">
        <f t="shared" si="37"/>
        <v>902</v>
      </c>
      <c r="K53" s="244">
        <f t="shared" si="37"/>
        <v>400</v>
      </c>
      <c r="L53" s="242">
        <f t="shared" si="37"/>
        <v>0</v>
      </c>
      <c r="M53" s="243">
        <f t="shared" si="37"/>
        <v>0</v>
      </c>
      <c r="N53" s="244">
        <f t="shared" si="37"/>
        <v>0</v>
      </c>
      <c r="O53" s="242">
        <f t="shared" si="37"/>
        <v>170</v>
      </c>
      <c r="P53" s="243">
        <f t="shared" si="37"/>
        <v>1220</v>
      </c>
      <c r="Q53" s="244">
        <f t="shared" si="37"/>
        <v>0</v>
      </c>
      <c r="R53" s="241">
        <f t="shared" si="37"/>
        <v>3475</v>
      </c>
      <c r="T53" s="978" t="str">
        <f>IF(S48=1,T48,IF(S49=1,T49,IF(S50=1,T50,IF(S51=1,T51,T52))))</f>
        <v>van 08h00 tot 09h00</v>
      </c>
      <c r="U53" s="978"/>
    </row>
  </sheetData>
  <mergeCells count="72">
    <mergeCell ref="T53:U53"/>
    <mergeCell ref="C20:D20"/>
    <mergeCell ref="C21:D21"/>
    <mergeCell ref="C22:D22"/>
    <mergeCell ref="C36:D36"/>
    <mergeCell ref="C45:D45"/>
    <mergeCell ref="C46:D46"/>
    <mergeCell ref="C44:D44"/>
    <mergeCell ref="C25:D25"/>
    <mergeCell ref="C33:D33"/>
    <mergeCell ref="C34:D34"/>
    <mergeCell ref="C35:D35"/>
    <mergeCell ref="O2:Q2"/>
    <mergeCell ref="B3:C4"/>
    <mergeCell ref="D3:E4"/>
    <mergeCell ref="C12:D12"/>
    <mergeCell ref="C13:D13"/>
    <mergeCell ref="C10:D10"/>
    <mergeCell ref="C11:D11"/>
    <mergeCell ref="F2:H2"/>
    <mergeCell ref="I2:K2"/>
    <mergeCell ref="C7:D7"/>
    <mergeCell ref="C9:D9"/>
    <mergeCell ref="A5:A12"/>
    <mergeCell ref="A13:A20"/>
    <mergeCell ref="T3:T4"/>
    <mergeCell ref="U3:U4"/>
    <mergeCell ref="V3:V4"/>
    <mergeCell ref="C15:D15"/>
    <mergeCell ref="C14:D14"/>
    <mergeCell ref="C17:D17"/>
    <mergeCell ref="C18:D18"/>
    <mergeCell ref="C19:D19"/>
    <mergeCell ref="C16:D16"/>
    <mergeCell ref="A21:A28"/>
    <mergeCell ref="C29:D29"/>
    <mergeCell ref="C30:D30"/>
    <mergeCell ref="C31:D31"/>
    <mergeCell ref="C27:D27"/>
    <mergeCell ref="C28:D28"/>
    <mergeCell ref="C23:D23"/>
    <mergeCell ref="C24:D24"/>
    <mergeCell ref="AV3:AV4"/>
    <mergeCell ref="AW3:AW4"/>
    <mergeCell ref="AP3:AP4"/>
    <mergeCell ref="AQ3:AQ4"/>
    <mergeCell ref="AR3:AR4"/>
    <mergeCell ref="AS3:AS4"/>
    <mergeCell ref="AT3:AT4"/>
    <mergeCell ref="AU3:AU4"/>
    <mergeCell ref="W3:W4"/>
    <mergeCell ref="C6:D6"/>
    <mergeCell ref="S3:S4"/>
    <mergeCell ref="C5:D5"/>
    <mergeCell ref="C8:D8"/>
    <mergeCell ref="R3:R4"/>
    <mergeCell ref="X3:X4"/>
    <mergeCell ref="Y3:Y4"/>
    <mergeCell ref="L2:N2"/>
    <mergeCell ref="AM2:AO2"/>
    <mergeCell ref="A39:A46"/>
    <mergeCell ref="C39:D39"/>
    <mergeCell ref="C40:D40"/>
    <mergeCell ref="C41:D41"/>
    <mergeCell ref="C42:D42"/>
    <mergeCell ref="C43:D43"/>
    <mergeCell ref="C26:D26"/>
    <mergeCell ref="A29:A36"/>
    <mergeCell ref="C32:D32"/>
    <mergeCell ref="AD2:AF2"/>
    <mergeCell ref="AG2:AI2"/>
    <mergeCell ref="AJ2:AL2"/>
  </mergeCells>
  <phoneticPr fontId="2" type="noConversion"/>
  <conditionalFormatting sqref="F21:H28">
    <cfRule type="cellIs" dxfId="7" priority="1" stopIfTrue="1" operator="equal">
      <formula>" "</formula>
    </cfRule>
    <cfRule type="cellIs" dxfId="6" priority="2" stopIfTrue="1" operator="equal">
      <formula>0</formula>
    </cfRule>
  </conditionalFormatting>
  <conditionalFormatting sqref="I21:Q28">
    <cfRule type="cellIs" dxfId="5" priority="3" stopIfTrue="1" operator="equal">
      <formula>" "</formula>
    </cfRule>
    <cfRule type="cellIs" dxfId="4" priority="4" stopIfTrue="1" operator="equal">
      <formula>0</formula>
    </cfRule>
  </conditionalFormatting>
  <conditionalFormatting sqref="R21:U28">
    <cfRule type="cellIs" dxfId="3" priority="5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ignoredErrors>
    <ignoredError sqref="K50:K5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AW53"/>
  <sheetViews>
    <sheetView topLeftCell="A7" workbookViewId="0">
      <selection activeCell="Q25" sqref="Q25"/>
    </sheetView>
  </sheetViews>
  <sheetFormatPr defaultRowHeight="12.75" x14ac:dyDescent="0.2"/>
  <cols>
    <col min="2" max="2" width="6.42578125" customWidth="1"/>
    <col min="3" max="3" width="6.7109375" customWidth="1"/>
    <col min="4" max="4" width="3.7109375" customWidth="1"/>
    <col min="5" max="5" width="6.7109375" customWidth="1"/>
    <col min="28" max="28" width="13.28515625" bestFit="1" customWidth="1"/>
    <col min="29" max="29" width="9.42578125" customWidth="1"/>
    <col min="42" max="42" width="10.7109375" bestFit="1" customWidth="1"/>
  </cols>
  <sheetData>
    <row r="1" spans="1:49" ht="13.5" thickBot="1" x14ac:dyDescent="0.25"/>
    <row r="2" spans="1:49" ht="18" x14ac:dyDescent="0.35">
      <c r="B2" s="23" t="s">
        <v>25</v>
      </c>
      <c r="C2" s="116">
        <f>'Licht vervoer'!B24</f>
        <v>0.66666666666666663</v>
      </c>
      <c r="D2" s="24" t="s">
        <v>26</v>
      </c>
      <c r="E2" s="31">
        <f>'Licht vervoer'!E24</f>
        <v>0.74999999999999967</v>
      </c>
      <c r="F2" s="963" t="s">
        <v>14</v>
      </c>
      <c r="G2" s="964"/>
      <c r="H2" s="965"/>
      <c r="I2" s="950" t="s">
        <v>15</v>
      </c>
      <c r="J2" s="951"/>
      <c r="K2" s="952"/>
      <c r="L2" s="950" t="s">
        <v>16</v>
      </c>
      <c r="M2" s="951"/>
      <c r="N2" s="952"/>
      <c r="O2" s="950" t="s">
        <v>17</v>
      </c>
      <c r="P2" s="951"/>
      <c r="Q2" s="952"/>
      <c r="R2" s="195" t="s">
        <v>41</v>
      </c>
      <c r="S2" s="195" t="s">
        <v>41</v>
      </c>
      <c r="T2" s="195" t="s">
        <v>41</v>
      </c>
      <c r="U2" s="195" t="s">
        <v>41</v>
      </c>
      <c r="V2" s="196" t="s">
        <v>45</v>
      </c>
      <c r="W2" s="196" t="s">
        <v>45</v>
      </c>
      <c r="X2" s="196" t="s">
        <v>45</v>
      </c>
      <c r="Y2" s="196" t="s">
        <v>45</v>
      </c>
      <c r="Z2" s="279"/>
      <c r="AA2" s="276" t="s">
        <v>51</v>
      </c>
      <c r="AB2" s="237" t="s">
        <v>53</v>
      </c>
      <c r="AC2" s="236"/>
      <c r="AD2" s="963" t="s">
        <v>14</v>
      </c>
      <c r="AE2" s="964"/>
      <c r="AF2" s="965"/>
      <c r="AG2" s="950" t="s">
        <v>15</v>
      </c>
      <c r="AH2" s="951"/>
      <c r="AI2" s="952"/>
      <c r="AJ2" s="950" t="s">
        <v>16</v>
      </c>
      <c r="AK2" s="951"/>
      <c r="AL2" s="952"/>
      <c r="AM2" s="950" t="s">
        <v>17</v>
      </c>
      <c r="AN2" s="951"/>
      <c r="AO2" s="952"/>
      <c r="AP2" s="195" t="s">
        <v>41</v>
      </c>
      <c r="AQ2" s="195" t="s">
        <v>41</v>
      </c>
      <c r="AR2" s="195" t="s">
        <v>41</v>
      </c>
      <c r="AS2" s="195" t="s">
        <v>41</v>
      </c>
      <c r="AT2" s="196" t="s">
        <v>45</v>
      </c>
      <c r="AU2" s="196" t="s">
        <v>45</v>
      </c>
      <c r="AV2" s="196" t="s">
        <v>45</v>
      </c>
      <c r="AW2" s="196" t="s">
        <v>45</v>
      </c>
    </row>
    <row r="3" spans="1:49" ht="16.5" x14ac:dyDescent="0.35">
      <c r="B3" s="979" t="str">
        <f>'Licht vervoer'!A25</f>
        <v>Periode 2:</v>
      </c>
      <c r="C3" s="980"/>
      <c r="D3" s="980" t="str">
        <f>'Licht vervoer'!D25</f>
        <v>Avond</v>
      </c>
      <c r="E3" s="983"/>
      <c r="F3" s="29">
        <v>1</v>
      </c>
      <c r="G3" s="44">
        <v>2</v>
      </c>
      <c r="H3" s="13">
        <v>3</v>
      </c>
      <c r="I3" s="40">
        <v>4</v>
      </c>
      <c r="J3" s="44">
        <v>5</v>
      </c>
      <c r="K3" s="13">
        <v>6</v>
      </c>
      <c r="L3" s="40">
        <v>7</v>
      </c>
      <c r="M3" s="44">
        <v>8</v>
      </c>
      <c r="N3" s="13">
        <v>9</v>
      </c>
      <c r="O3" s="40">
        <v>10</v>
      </c>
      <c r="P3" s="44">
        <v>11</v>
      </c>
      <c r="Q3" s="13">
        <v>12</v>
      </c>
      <c r="R3" s="948" t="s">
        <v>40</v>
      </c>
      <c r="S3" s="948" t="s">
        <v>42</v>
      </c>
      <c r="T3" s="948" t="s">
        <v>43</v>
      </c>
      <c r="U3" s="948" t="s">
        <v>44</v>
      </c>
      <c r="V3" s="948" t="s">
        <v>40</v>
      </c>
      <c r="W3" s="948" t="s">
        <v>42</v>
      </c>
      <c r="X3" s="948" t="s">
        <v>43</v>
      </c>
      <c r="Y3" s="948" t="s">
        <v>44</v>
      </c>
      <c r="Z3" s="197"/>
      <c r="AA3" s="277" t="s">
        <v>50</v>
      </c>
      <c r="AB3" s="282" t="s">
        <v>54</v>
      </c>
      <c r="AD3" s="29">
        <v>1</v>
      </c>
      <c r="AE3" s="44">
        <v>2</v>
      </c>
      <c r="AF3" s="13">
        <v>3</v>
      </c>
      <c r="AG3" s="40">
        <v>4</v>
      </c>
      <c r="AH3" s="44">
        <v>5</v>
      </c>
      <c r="AI3" s="13">
        <v>6</v>
      </c>
      <c r="AJ3" s="40">
        <v>7</v>
      </c>
      <c r="AK3" s="44">
        <v>8</v>
      </c>
      <c r="AL3" s="13">
        <v>9</v>
      </c>
      <c r="AM3" s="40">
        <v>10</v>
      </c>
      <c r="AN3" s="44">
        <v>11</v>
      </c>
      <c r="AO3" s="13">
        <v>12</v>
      </c>
      <c r="AP3" s="948" t="s">
        <v>40</v>
      </c>
      <c r="AQ3" s="948" t="s">
        <v>42</v>
      </c>
      <c r="AR3" s="948" t="s">
        <v>43</v>
      </c>
      <c r="AS3" s="948" t="s">
        <v>44</v>
      </c>
      <c r="AT3" s="948" t="s">
        <v>40</v>
      </c>
      <c r="AU3" s="948" t="s">
        <v>42</v>
      </c>
      <c r="AV3" s="948" t="s">
        <v>43</v>
      </c>
      <c r="AW3" s="948" t="s">
        <v>44</v>
      </c>
    </row>
    <row r="4" spans="1:49" ht="17.25" thickBot="1" x14ac:dyDescent="0.4">
      <c r="B4" s="981"/>
      <c r="C4" s="982"/>
      <c r="D4" s="982"/>
      <c r="E4" s="984"/>
      <c r="F4" s="43" t="s">
        <v>18</v>
      </c>
      <c r="G4" s="45" t="s">
        <v>19</v>
      </c>
      <c r="H4" s="46" t="s">
        <v>20</v>
      </c>
      <c r="I4" s="48" t="s">
        <v>18</v>
      </c>
      <c r="J4" s="45" t="s">
        <v>19</v>
      </c>
      <c r="K4" s="46" t="s">
        <v>20</v>
      </c>
      <c r="L4" s="43" t="s">
        <v>18</v>
      </c>
      <c r="M4" s="45" t="s">
        <v>19</v>
      </c>
      <c r="N4" s="46" t="s">
        <v>20</v>
      </c>
      <c r="O4" s="43" t="s">
        <v>18</v>
      </c>
      <c r="P4" s="45" t="s">
        <v>19</v>
      </c>
      <c r="Q4" s="46" t="s">
        <v>20</v>
      </c>
      <c r="R4" s="968"/>
      <c r="S4" s="949"/>
      <c r="T4" s="949"/>
      <c r="U4" s="949"/>
      <c r="V4" s="949"/>
      <c r="W4" s="949"/>
      <c r="X4" s="949"/>
      <c r="Y4" s="949"/>
      <c r="Z4" s="280"/>
      <c r="AA4" s="278" t="s">
        <v>52</v>
      </c>
      <c r="AB4" s="194"/>
      <c r="AD4" s="43" t="s">
        <v>18</v>
      </c>
      <c r="AE4" s="45" t="s">
        <v>19</v>
      </c>
      <c r="AF4" s="46" t="s">
        <v>20</v>
      </c>
      <c r="AG4" s="48" t="s">
        <v>18</v>
      </c>
      <c r="AH4" s="45" t="s">
        <v>19</v>
      </c>
      <c r="AI4" s="46" t="s">
        <v>20</v>
      </c>
      <c r="AJ4" s="43" t="s">
        <v>18</v>
      </c>
      <c r="AK4" s="45" t="s">
        <v>19</v>
      </c>
      <c r="AL4" s="46" t="s">
        <v>20</v>
      </c>
      <c r="AM4" s="43" t="s">
        <v>18</v>
      </c>
      <c r="AN4" s="45" t="s">
        <v>19</v>
      </c>
      <c r="AO4" s="46" t="s">
        <v>20</v>
      </c>
      <c r="AP4" s="968"/>
      <c r="AQ4" s="949"/>
      <c r="AR4" s="949"/>
      <c r="AS4" s="949"/>
      <c r="AT4" s="949"/>
      <c r="AU4" s="949"/>
      <c r="AV4" s="949"/>
      <c r="AW4" s="949"/>
    </row>
    <row r="5" spans="1:49" ht="16.5" x14ac:dyDescent="0.35">
      <c r="A5" s="960" t="s">
        <v>49</v>
      </c>
      <c r="B5" s="284">
        <f>'Licht vervoer'!A27</f>
        <v>0.66666666666666663</v>
      </c>
      <c r="C5" s="956" t="s">
        <v>23</v>
      </c>
      <c r="D5" s="967"/>
      <c r="E5" s="35">
        <f>'Licht vervoer'!D27</f>
        <v>0.67708333333333326</v>
      </c>
      <c r="F5" s="106">
        <f>'Licht vervoer'!F27</f>
        <v>36</v>
      </c>
      <c r="G5" s="107">
        <f>'Licht vervoer'!G27</f>
        <v>2</v>
      </c>
      <c r="H5" s="117">
        <f>'Licht vervoer'!H27</f>
        <v>19</v>
      </c>
      <c r="I5" s="290">
        <f>'Licht vervoer'!I27</f>
        <v>0</v>
      </c>
      <c r="J5" s="107">
        <f>'Licht vervoer'!J27</f>
        <v>251</v>
      </c>
      <c r="K5" s="117">
        <f>'Licht vervoer'!K27</f>
        <v>143</v>
      </c>
      <c r="L5" s="290">
        <f>'Licht vervoer'!L27</f>
        <v>0</v>
      </c>
      <c r="M5" s="107">
        <f>'Licht vervoer'!M27</f>
        <v>0</v>
      </c>
      <c r="N5" s="117">
        <f>'Licht vervoer'!N27</f>
        <v>0</v>
      </c>
      <c r="O5" s="290">
        <f>'Licht vervoer'!O27</f>
        <v>55</v>
      </c>
      <c r="P5" s="107">
        <f>'Licht vervoer'!P27</f>
        <v>144</v>
      </c>
      <c r="Q5" s="117">
        <f>'Licht vervoer'!Q27</f>
        <v>0</v>
      </c>
      <c r="R5" s="216"/>
      <c r="S5" s="216"/>
      <c r="T5" s="216"/>
      <c r="U5" s="216"/>
      <c r="V5" s="216"/>
      <c r="W5" s="216"/>
      <c r="X5" s="216"/>
      <c r="Y5" s="216"/>
      <c r="Z5" s="5"/>
      <c r="AA5" s="23">
        <f t="shared" ref="AA5:AA12" si="0">AA39</f>
        <v>0</v>
      </c>
      <c r="AB5" s="192" t="b">
        <f>'Stromendiagram periode 2'!BD$4</f>
        <v>1</v>
      </c>
      <c r="AD5" s="246">
        <f t="shared" ref="AD5:AD36" si="1">$AA5*$AB5*F5</f>
        <v>0</v>
      </c>
      <c r="AE5" s="247">
        <f t="shared" ref="AE5:AE36" si="2">$AA5*$AB5*G5</f>
        <v>0</v>
      </c>
      <c r="AF5" s="248">
        <f t="shared" ref="AF5:AF36" si="3">$AA5*$AB5*H5</f>
        <v>0</v>
      </c>
      <c r="AG5" s="249">
        <f t="shared" ref="AG5:AG36" si="4">$AA5*$AB5*I5</f>
        <v>0</v>
      </c>
      <c r="AH5" s="247">
        <f t="shared" ref="AH5:AH36" si="5">$AA5*$AB5*J5</f>
        <v>0</v>
      </c>
      <c r="AI5" s="248">
        <f t="shared" ref="AI5:AI36" si="6">$AA5*$AB5*K5</f>
        <v>0</v>
      </c>
      <c r="AJ5" s="249">
        <f t="shared" ref="AJ5:AJ36" si="7">$AA5*$AB5*L5</f>
        <v>0</v>
      </c>
      <c r="AK5" s="247">
        <f t="shared" ref="AK5:AK36" si="8">$AA5*$AB5*M5</f>
        <v>0</v>
      </c>
      <c r="AL5" s="248">
        <f t="shared" ref="AL5:AL36" si="9">$AA5*$AB5*N5</f>
        <v>0</v>
      </c>
      <c r="AM5" s="249">
        <f t="shared" ref="AM5:AM36" si="10">$AA5*$AB5*O5</f>
        <v>0</v>
      </c>
      <c r="AN5" s="247">
        <f t="shared" ref="AN5:AN36" si="11">$AA5*$AB5*P5</f>
        <v>0</v>
      </c>
      <c r="AO5" s="248">
        <f t="shared" ref="AO5:AO36" si="12">$AA5*$AB5*Q5</f>
        <v>0</v>
      </c>
      <c r="AP5" s="250">
        <f t="shared" ref="AP5:AP36" si="13">$AA5*$AB5*R5</f>
        <v>0</v>
      </c>
      <c r="AQ5" s="250">
        <f t="shared" ref="AQ5:AQ36" si="14">$AA5*$AB5*S5</f>
        <v>0</v>
      </c>
      <c r="AR5" s="250">
        <f t="shared" ref="AR5:AR36" si="15">$AA5*$AB5*T5</f>
        <v>0</v>
      </c>
      <c r="AS5" s="250">
        <f t="shared" ref="AS5:AS36" si="16">$AA5*$AB5*U5</f>
        <v>0</v>
      </c>
      <c r="AT5" s="250">
        <f t="shared" ref="AT5:AT36" si="17">$AA5*$AB5*V5</f>
        <v>0</v>
      </c>
      <c r="AU5" s="250">
        <f t="shared" ref="AU5:AU36" si="18">$AA5*$AB5*W5</f>
        <v>0</v>
      </c>
      <c r="AV5" s="250">
        <f t="shared" ref="AV5:AV36" si="19">$AA5*$AB5*X5</f>
        <v>0</v>
      </c>
      <c r="AW5" s="250">
        <f t="shared" ref="AW5:AW36" si="20">$AA5*$AB5*Y5</f>
        <v>0</v>
      </c>
    </row>
    <row r="6" spans="1:49" ht="16.5" x14ac:dyDescent="0.35">
      <c r="A6" s="961"/>
      <c r="B6" s="285">
        <f>'Licht vervoer'!A28</f>
        <v>0.67708333333333326</v>
      </c>
      <c r="C6" s="958" t="s">
        <v>23</v>
      </c>
      <c r="D6" s="966"/>
      <c r="E6" s="35">
        <f>'Licht vervoer'!D28</f>
        <v>0.68749999999999989</v>
      </c>
      <c r="F6" s="109">
        <f>'Licht vervoer'!F28</f>
        <v>28</v>
      </c>
      <c r="G6" s="110">
        <f>'Licht vervoer'!G28</f>
        <v>1</v>
      </c>
      <c r="H6" s="118">
        <f>'Licht vervoer'!H28</f>
        <v>26</v>
      </c>
      <c r="I6" s="121">
        <f>'Licht vervoer'!I28</f>
        <v>0</v>
      </c>
      <c r="J6" s="110">
        <f>'Licht vervoer'!J28</f>
        <v>225</v>
      </c>
      <c r="K6" s="118">
        <f>'Licht vervoer'!K28</f>
        <v>150</v>
      </c>
      <c r="L6" s="121">
        <f>'Licht vervoer'!L28</f>
        <v>0</v>
      </c>
      <c r="M6" s="110">
        <f>'Licht vervoer'!M28</f>
        <v>0</v>
      </c>
      <c r="N6" s="118">
        <f>'Licht vervoer'!N28</f>
        <v>0</v>
      </c>
      <c r="O6" s="121">
        <f>'Licht vervoer'!O28</f>
        <v>64</v>
      </c>
      <c r="P6" s="110">
        <f>'Licht vervoer'!P28</f>
        <v>109</v>
      </c>
      <c r="Q6" s="118">
        <f>'Licht vervoer'!Q28</f>
        <v>0</v>
      </c>
      <c r="R6" s="217"/>
      <c r="S6" s="217"/>
      <c r="T6" s="217"/>
      <c r="U6" s="217"/>
      <c r="V6" s="217"/>
      <c r="W6" s="217"/>
      <c r="X6" s="217"/>
      <c r="Y6" s="217"/>
      <c r="Z6" s="5"/>
      <c r="AA6" s="281">
        <f t="shared" si="0"/>
        <v>0</v>
      </c>
      <c r="AB6" s="193" t="b">
        <f>'Stromendiagram periode 2'!BD$4</f>
        <v>1</v>
      </c>
      <c r="AD6" s="251">
        <f t="shared" si="1"/>
        <v>0</v>
      </c>
      <c r="AE6" s="252">
        <f t="shared" si="2"/>
        <v>0</v>
      </c>
      <c r="AF6" s="253">
        <f t="shared" si="3"/>
        <v>0</v>
      </c>
      <c r="AG6" s="254">
        <f t="shared" si="4"/>
        <v>0</v>
      </c>
      <c r="AH6" s="252">
        <f t="shared" si="5"/>
        <v>0</v>
      </c>
      <c r="AI6" s="253">
        <f t="shared" si="6"/>
        <v>0</v>
      </c>
      <c r="AJ6" s="254">
        <f t="shared" si="7"/>
        <v>0</v>
      </c>
      <c r="AK6" s="252">
        <f t="shared" si="8"/>
        <v>0</v>
      </c>
      <c r="AL6" s="253">
        <f t="shared" si="9"/>
        <v>0</v>
      </c>
      <c r="AM6" s="254">
        <f t="shared" si="10"/>
        <v>0</v>
      </c>
      <c r="AN6" s="252">
        <f t="shared" si="11"/>
        <v>0</v>
      </c>
      <c r="AO6" s="253">
        <f t="shared" si="12"/>
        <v>0</v>
      </c>
      <c r="AP6" s="255">
        <f t="shared" si="13"/>
        <v>0</v>
      </c>
      <c r="AQ6" s="255">
        <f t="shared" si="14"/>
        <v>0</v>
      </c>
      <c r="AR6" s="255">
        <f t="shared" si="15"/>
        <v>0</v>
      </c>
      <c r="AS6" s="255">
        <f t="shared" si="16"/>
        <v>0</v>
      </c>
      <c r="AT6" s="255">
        <f t="shared" si="17"/>
        <v>0</v>
      </c>
      <c r="AU6" s="255">
        <f t="shared" si="18"/>
        <v>0</v>
      </c>
      <c r="AV6" s="255">
        <f t="shared" si="19"/>
        <v>0</v>
      </c>
      <c r="AW6" s="255">
        <f t="shared" si="20"/>
        <v>0</v>
      </c>
    </row>
    <row r="7" spans="1:49" ht="16.5" x14ac:dyDescent="0.35">
      <c r="A7" s="961"/>
      <c r="B7" s="285">
        <f>'Licht vervoer'!A29</f>
        <v>0.68749999999999989</v>
      </c>
      <c r="C7" s="958" t="s">
        <v>23</v>
      </c>
      <c r="D7" s="966"/>
      <c r="E7" s="35">
        <f>'Licht vervoer'!D29</f>
        <v>0.69791666666666652</v>
      </c>
      <c r="F7" s="109">
        <f>'Licht vervoer'!F29</f>
        <v>21</v>
      </c>
      <c r="G7" s="110">
        <f>'Licht vervoer'!G29</f>
        <v>3</v>
      </c>
      <c r="H7" s="118">
        <f>'Licht vervoer'!H29</f>
        <v>22</v>
      </c>
      <c r="I7" s="121">
        <f>'Licht vervoer'!I29</f>
        <v>0</v>
      </c>
      <c r="J7" s="110">
        <f>'Licht vervoer'!J29</f>
        <v>226</v>
      </c>
      <c r="K7" s="118">
        <f>'Licht vervoer'!K29</f>
        <v>143</v>
      </c>
      <c r="L7" s="121">
        <f>'Licht vervoer'!L29</f>
        <v>0</v>
      </c>
      <c r="M7" s="110">
        <f>'Licht vervoer'!M29</f>
        <v>0</v>
      </c>
      <c r="N7" s="118">
        <f>'Licht vervoer'!N29</f>
        <v>0</v>
      </c>
      <c r="O7" s="121">
        <f>'Licht vervoer'!O29</f>
        <v>65</v>
      </c>
      <c r="P7" s="110">
        <f>'Licht vervoer'!P29</f>
        <v>170</v>
      </c>
      <c r="Q7" s="118">
        <f>'Licht vervoer'!Q29</f>
        <v>0</v>
      </c>
      <c r="R7" s="217"/>
      <c r="S7" s="217"/>
      <c r="T7" s="217"/>
      <c r="U7" s="217"/>
      <c r="V7" s="217"/>
      <c r="W7" s="217"/>
      <c r="X7" s="217"/>
      <c r="Y7" s="217"/>
      <c r="Z7" s="5"/>
      <c r="AA7" s="281">
        <f t="shared" si="0"/>
        <v>0</v>
      </c>
      <c r="AB7" s="193" t="b">
        <f>'Stromendiagram periode 2'!BD$4</f>
        <v>1</v>
      </c>
      <c r="AD7" s="251">
        <f t="shared" si="1"/>
        <v>0</v>
      </c>
      <c r="AE7" s="252">
        <f t="shared" si="2"/>
        <v>0</v>
      </c>
      <c r="AF7" s="253">
        <f t="shared" si="3"/>
        <v>0</v>
      </c>
      <c r="AG7" s="254">
        <f t="shared" si="4"/>
        <v>0</v>
      </c>
      <c r="AH7" s="252">
        <f t="shared" si="5"/>
        <v>0</v>
      </c>
      <c r="AI7" s="253">
        <f t="shared" si="6"/>
        <v>0</v>
      </c>
      <c r="AJ7" s="254">
        <f t="shared" si="7"/>
        <v>0</v>
      </c>
      <c r="AK7" s="252">
        <f t="shared" si="8"/>
        <v>0</v>
      </c>
      <c r="AL7" s="253">
        <f t="shared" si="9"/>
        <v>0</v>
      </c>
      <c r="AM7" s="254">
        <f t="shared" si="10"/>
        <v>0</v>
      </c>
      <c r="AN7" s="252">
        <f t="shared" si="11"/>
        <v>0</v>
      </c>
      <c r="AO7" s="253">
        <f t="shared" si="12"/>
        <v>0</v>
      </c>
      <c r="AP7" s="255">
        <f t="shared" si="13"/>
        <v>0</v>
      </c>
      <c r="AQ7" s="255">
        <f t="shared" si="14"/>
        <v>0</v>
      </c>
      <c r="AR7" s="255">
        <f t="shared" si="15"/>
        <v>0</v>
      </c>
      <c r="AS7" s="255">
        <f t="shared" si="16"/>
        <v>0</v>
      </c>
      <c r="AT7" s="255">
        <f t="shared" si="17"/>
        <v>0</v>
      </c>
      <c r="AU7" s="255">
        <f t="shared" si="18"/>
        <v>0</v>
      </c>
      <c r="AV7" s="255">
        <f t="shared" si="19"/>
        <v>0</v>
      </c>
      <c r="AW7" s="255">
        <f t="shared" si="20"/>
        <v>0</v>
      </c>
    </row>
    <row r="8" spans="1:49" ht="16.5" x14ac:dyDescent="0.35">
      <c r="A8" s="961"/>
      <c r="B8" s="285">
        <f>'Licht vervoer'!A30</f>
        <v>0.69791666666666652</v>
      </c>
      <c r="C8" s="958" t="s">
        <v>23</v>
      </c>
      <c r="D8" s="966"/>
      <c r="E8" s="35">
        <f>'Licht vervoer'!D30</f>
        <v>0.70833333333333315</v>
      </c>
      <c r="F8" s="109">
        <f>'Licht vervoer'!F30</f>
        <v>31</v>
      </c>
      <c r="G8" s="110">
        <f>'Licht vervoer'!G30</f>
        <v>4</v>
      </c>
      <c r="H8" s="118">
        <f>'Licht vervoer'!H30</f>
        <v>27</v>
      </c>
      <c r="I8" s="121">
        <f>'Licht vervoer'!I30</f>
        <v>0</v>
      </c>
      <c r="J8" s="110">
        <f>'Licht vervoer'!J30</f>
        <v>254</v>
      </c>
      <c r="K8" s="118">
        <f>'Licht vervoer'!K30</f>
        <v>153</v>
      </c>
      <c r="L8" s="121">
        <f>'Licht vervoer'!L30</f>
        <v>0</v>
      </c>
      <c r="M8" s="110">
        <f>'Licht vervoer'!M30</f>
        <v>0</v>
      </c>
      <c r="N8" s="118">
        <f>'Licht vervoer'!N30</f>
        <v>0</v>
      </c>
      <c r="O8" s="121">
        <f>'Licht vervoer'!O30</f>
        <v>54</v>
      </c>
      <c r="P8" s="110">
        <f>'Licht vervoer'!P30</f>
        <v>151</v>
      </c>
      <c r="Q8" s="118">
        <f>'Licht vervoer'!Q30</f>
        <v>0</v>
      </c>
      <c r="R8" s="217"/>
      <c r="S8" s="217"/>
      <c r="T8" s="217"/>
      <c r="U8" s="217"/>
      <c r="V8" s="217"/>
      <c r="W8" s="217"/>
      <c r="X8" s="217"/>
      <c r="Y8" s="217"/>
      <c r="Z8" s="5"/>
      <c r="AA8" s="281">
        <f t="shared" si="0"/>
        <v>0</v>
      </c>
      <c r="AB8" s="193" t="b">
        <f>'Stromendiagram periode 2'!BD$4</f>
        <v>1</v>
      </c>
      <c r="AD8" s="251">
        <f t="shared" si="1"/>
        <v>0</v>
      </c>
      <c r="AE8" s="252">
        <f t="shared" si="2"/>
        <v>0</v>
      </c>
      <c r="AF8" s="253">
        <f t="shared" si="3"/>
        <v>0</v>
      </c>
      <c r="AG8" s="254">
        <f t="shared" si="4"/>
        <v>0</v>
      </c>
      <c r="AH8" s="252">
        <f t="shared" si="5"/>
        <v>0</v>
      </c>
      <c r="AI8" s="253">
        <f t="shared" si="6"/>
        <v>0</v>
      </c>
      <c r="AJ8" s="254">
        <f t="shared" si="7"/>
        <v>0</v>
      </c>
      <c r="AK8" s="252">
        <f t="shared" si="8"/>
        <v>0</v>
      </c>
      <c r="AL8" s="253">
        <f t="shared" si="9"/>
        <v>0</v>
      </c>
      <c r="AM8" s="254">
        <f t="shared" si="10"/>
        <v>0</v>
      </c>
      <c r="AN8" s="252">
        <f t="shared" si="11"/>
        <v>0</v>
      </c>
      <c r="AO8" s="253">
        <f t="shared" si="12"/>
        <v>0</v>
      </c>
      <c r="AP8" s="255">
        <f t="shared" si="13"/>
        <v>0</v>
      </c>
      <c r="AQ8" s="255">
        <f t="shared" si="14"/>
        <v>0</v>
      </c>
      <c r="AR8" s="255">
        <f t="shared" si="15"/>
        <v>0</v>
      </c>
      <c r="AS8" s="255">
        <f t="shared" si="16"/>
        <v>0</v>
      </c>
      <c r="AT8" s="255">
        <f t="shared" si="17"/>
        <v>0</v>
      </c>
      <c r="AU8" s="255">
        <f t="shared" si="18"/>
        <v>0</v>
      </c>
      <c r="AV8" s="255">
        <f t="shared" si="19"/>
        <v>0</v>
      </c>
      <c r="AW8" s="255">
        <f t="shared" si="20"/>
        <v>0</v>
      </c>
    </row>
    <row r="9" spans="1:49" ht="16.5" x14ac:dyDescent="0.35">
      <c r="A9" s="961"/>
      <c r="B9" s="285">
        <f>'Licht vervoer'!A31</f>
        <v>0.70833333333333315</v>
      </c>
      <c r="C9" s="958" t="s">
        <v>23</v>
      </c>
      <c r="D9" s="966"/>
      <c r="E9" s="35">
        <f>'Licht vervoer'!D31</f>
        <v>0.71874999999999978</v>
      </c>
      <c r="F9" s="109">
        <f>'Licht vervoer'!F31</f>
        <v>39</v>
      </c>
      <c r="G9" s="110">
        <f>'Licht vervoer'!G31</f>
        <v>4</v>
      </c>
      <c r="H9" s="118">
        <f>'Licht vervoer'!H31</f>
        <v>20</v>
      </c>
      <c r="I9" s="121">
        <f>'Licht vervoer'!I31</f>
        <v>0</v>
      </c>
      <c r="J9" s="110">
        <f>'Licht vervoer'!J31</f>
        <v>252</v>
      </c>
      <c r="K9" s="118">
        <f>'Licht vervoer'!K31</f>
        <v>170</v>
      </c>
      <c r="L9" s="121">
        <f>'Licht vervoer'!L31</f>
        <v>0</v>
      </c>
      <c r="M9" s="110">
        <f>'Licht vervoer'!M31</f>
        <v>0</v>
      </c>
      <c r="N9" s="118">
        <f>'Licht vervoer'!N31</f>
        <v>0</v>
      </c>
      <c r="O9" s="121">
        <f>'Licht vervoer'!O31</f>
        <v>60</v>
      </c>
      <c r="P9" s="110">
        <f>'Licht vervoer'!P31</f>
        <v>163</v>
      </c>
      <c r="Q9" s="118">
        <f>'Licht vervoer'!Q31</f>
        <v>0</v>
      </c>
      <c r="R9" s="217"/>
      <c r="S9" s="217"/>
      <c r="T9" s="217"/>
      <c r="U9" s="217"/>
      <c r="V9" s="217"/>
      <c r="W9" s="217"/>
      <c r="X9" s="217"/>
      <c r="Y9" s="217"/>
      <c r="Z9" s="5"/>
      <c r="AA9" s="281">
        <f t="shared" si="0"/>
        <v>1</v>
      </c>
      <c r="AB9" s="193" t="b">
        <f>'Stromendiagram periode 2'!BD$4</f>
        <v>1</v>
      </c>
      <c r="AD9" s="251">
        <f t="shared" si="1"/>
        <v>39</v>
      </c>
      <c r="AE9" s="252">
        <f t="shared" si="2"/>
        <v>4</v>
      </c>
      <c r="AF9" s="253">
        <f t="shared" si="3"/>
        <v>20</v>
      </c>
      <c r="AG9" s="254">
        <f t="shared" si="4"/>
        <v>0</v>
      </c>
      <c r="AH9" s="252">
        <f t="shared" si="5"/>
        <v>252</v>
      </c>
      <c r="AI9" s="253">
        <f t="shared" si="6"/>
        <v>170</v>
      </c>
      <c r="AJ9" s="254">
        <f t="shared" si="7"/>
        <v>0</v>
      </c>
      <c r="AK9" s="252">
        <f t="shared" si="8"/>
        <v>0</v>
      </c>
      <c r="AL9" s="253">
        <f t="shared" si="9"/>
        <v>0</v>
      </c>
      <c r="AM9" s="254">
        <f t="shared" si="10"/>
        <v>60</v>
      </c>
      <c r="AN9" s="252">
        <f t="shared" si="11"/>
        <v>163</v>
      </c>
      <c r="AO9" s="253">
        <f t="shared" si="12"/>
        <v>0</v>
      </c>
      <c r="AP9" s="255">
        <f t="shared" si="13"/>
        <v>0</v>
      </c>
      <c r="AQ9" s="255">
        <f t="shared" si="14"/>
        <v>0</v>
      </c>
      <c r="AR9" s="255">
        <f t="shared" si="15"/>
        <v>0</v>
      </c>
      <c r="AS9" s="255">
        <f t="shared" si="16"/>
        <v>0</v>
      </c>
      <c r="AT9" s="255">
        <f t="shared" si="17"/>
        <v>0</v>
      </c>
      <c r="AU9" s="255">
        <f t="shared" si="18"/>
        <v>0</v>
      </c>
      <c r="AV9" s="255">
        <f t="shared" si="19"/>
        <v>0</v>
      </c>
      <c r="AW9" s="255">
        <f t="shared" si="20"/>
        <v>0</v>
      </c>
    </row>
    <row r="10" spans="1:49" ht="16.5" x14ac:dyDescent="0.35">
      <c r="A10" s="961"/>
      <c r="B10" s="285">
        <f>'Licht vervoer'!A32</f>
        <v>0.71874999999999978</v>
      </c>
      <c r="C10" s="958" t="s">
        <v>23</v>
      </c>
      <c r="D10" s="966"/>
      <c r="E10" s="35">
        <f>'Licht vervoer'!D32</f>
        <v>0.72916666666666641</v>
      </c>
      <c r="F10" s="109">
        <f>'Licht vervoer'!F32</f>
        <v>41</v>
      </c>
      <c r="G10" s="110">
        <f>'Licht vervoer'!G32</f>
        <v>3</v>
      </c>
      <c r="H10" s="118">
        <f>'Licht vervoer'!H32</f>
        <v>24</v>
      </c>
      <c r="I10" s="121">
        <f>'Licht vervoer'!I32</f>
        <v>0</v>
      </c>
      <c r="J10" s="110">
        <f>'Licht vervoer'!J32</f>
        <v>259</v>
      </c>
      <c r="K10" s="118">
        <f>'Licht vervoer'!K32</f>
        <v>159</v>
      </c>
      <c r="L10" s="121">
        <f>'Licht vervoer'!L32</f>
        <v>0</v>
      </c>
      <c r="M10" s="110">
        <f>'Licht vervoer'!M32</f>
        <v>0</v>
      </c>
      <c r="N10" s="118">
        <f>'Licht vervoer'!N32</f>
        <v>0</v>
      </c>
      <c r="O10" s="121">
        <f>'Licht vervoer'!O32</f>
        <v>75</v>
      </c>
      <c r="P10" s="110">
        <f>'Licht vervoer'!P32</f>
        <v>184</v>
      </c>
      <c r="Q10" s="118">
        <f>'Licht vervoer'!Q32</f>
        <v>0</v>
      </c>
      <c r="R10" s="217"/>
      <c r="S10" s="217"/>
      <c r="T10" s="217"/>
      <c r="U10" s="217"/>
      <c r="V10" s="217"/>
      <c r="W10" s="217"/>
      <c r="X10" s="217"/>
      <c r="Y10" s="217"/>
      <c r="Z10" s="5"/>
      <c r="AA10" s="281">
        <f t="shared" si="0"/>
        <v>1</v>
      </c>
      <c r="AB10" s="193" t="b">
        <f>'Stromendiagram periode 2'!BD$4</f>
        <v>1</v>
      </c>
      <c r="AD10" s="251">
        <f t="shared" si="1"/>
        <v>41</v>
      </c>
      <c r="AE10" s="252">
        <f t="shared" si="2"/>
        <v>3</v>
      </c>
      <c r="AF10" s="253">
        <f t="shared" si="3"/>
        <v>24</v>
      </c>
      <c r="AG10" s="254">
        <f t="shared" si="4"/>
        <v>0</v>
      </c>
      <c r="AH10" s="252">
        <f t="shared" si="5"/>
        <v>259</v>
      </c>
      <c r="AI10" s="253">
        <f t="shared" si="6"/>
        <v>159</v>
      </c>
      <c r="AJ10" s="254">
        <f t="shared" si="7"/>
        <v>0</v>
      </c>
      <c r="AK10" s="252">
        <f t="shared" si="8"/>
        <v>0</v>
      </c>
      <c r="AL10" s="253">
        <f t="shared" si="9"/>
        <v>0</v>
      </c>
      <c r="AM10" s="254">
        <f t="shared" si="10"/>
        <v>75</v>
      </c>
      <c r="AN10" s="252">
        <f t="shared" si="11"/>
        <v>184</v>
      </c>
      <c r="AO10" s="253">
        <f t="shared" si="12"/>
        <v>0</v>
      </c>
      <c r="AP10" s="255">
        <f t="shared" si="13"/>
        <v>0</v>
      </c>
      <c r="AQ10" s="255">
        <f t="shared" si="14"/>
        <v>0</v>
      </c>
      <c r="AR10" s="255">
        <f t="shared" si="15"/>
        <v>0</v>
      </c>
      <c r="AS10" s="255">
        <f t="shared" si="16"/>
        <v>0</v>
      </c>
      <c r="AT10" s="255">
        <f t="shared" si="17"/>
        <v>0</v>
      </c>
      <c r="AU10" s="255">
        <f t="shared" si="18"/>
        <v>0</v>
      </c>
      <c r="AV10" s="255">
        <f t="shared" si="19"/>
        <v>0</v>
      </c>
      <c r="AW10" s="255">
        <f t="shared" si="20"/>
        <v>0</v>
      </c>
    </row>
    <row r="11" spans="1:49" ht="16.5" x14ac:dyDescent="0.35">
      <c r="A11" s="961"/>
      <c r="B11" s="285">
        <f>'Licht vervoer'!A33</f>
        <v>0.72916666666666641</v>
      </c>
      <c r="C11" s="958" t="s">
        <v>23</v>
      </c>
      <c r="D11" s="966"/>
      <c r="E11" s="35">
        <f>'Licht vervoer'!D33</f>
        <v>0.73958333333333304</v>
      </c>
      <c r="F11" s="109">
        <f>'Licht vervoer'!F33</f>
        <v>43</v>
      </c>
      <c r="G11" s="110">
        <f>'Licht vervoer'!G33</f>
        <v>2</v>
      </c>
      <c r="H11" s="118">
        <f>'Licht vervoer'!H33</f>
        <v>21</v>
      </c>
      <c r="I11" s="121">
        <f>'Licht vervoer'!I33</f>
        <v>0</v>
      </c>
      <c r="J11" s="110">
        <f>'Licht vervoer'!J33</f>
        <v>220</v>
      </c>
      <c r="K11" s="118">
        <f>'Licht vervoer'!K33</f>
        <v>155</v>
      </c>
      <c r="L11" s="121">
        <f>'Licht vervoer'!L33</f>
        <v>0</v>
      </c>
      <c r="M11" s="110">
        <f>'Licht vervoer'!M33</f>
        <v>0</v>
      </c>
      <c r="N11" s="118">
        <f>'Licht vervoer'!N33</f>
        <v>0</v>
      </c>
      <c r="O11" s="121">
        <f>'Licht vervoer'!O33</f>
        <v>68</v>
      </c>
      <c r="P11" s="110">
        <f>'Licht vervoer'!P33</f>
        <v>204</v>
      </c>
      <c r="Q11" s="118">
        <f>'Licht vervoer'!Q33</f>
        <v>0</v>
      </c>
      <c r="R11" s="217"/>
      <c r="S11" s="217"/>
      <c r="T11" s="217"/>
      <c r="U11" s="217"/>
      <c r="V11" s="217"/>
      <c r="W11" s="217"/>
      <c r="X11" s="217"/>
      <c r="Y11" s="217"/>
      <c r="Z11" s="5"/>
      <c r="AA11" s="281">
        <f t="shared" si="0"/>
        <v>1</v>
      </c>
      <c r="AB11" s="193" t="b">
        <f>'Stromendiagram periode 2'!BD$4</f>
        <v>1</v>
      </c>
      <c r="AD11" s="251">
        <f t="shared" si="1"/>
        <v>43</v>
      </c>
      <c r="AE11" s="252">
        <f t="shared" si="2"/>
        <v>2</v>
      </c>
      <c r="AF11" s="253">
        <f t="shared" si="3"/>
        <v>21</v>
      </c>
      <c r="AG11" s="254">
        <f t="shared" si="4"/>
        <v>0</v>
      </c>
      <c r="AH11" s="252">
        <f t="shared" si="5"/>
        <v>220</v>
      </c>
      <c r="AI11" s="253">
        <f t="shared" si="6"/>
        <v>155</v>
      </c>
      <c r="AJ11" s="254">
        <f t="shared" si="7"/>
        <v>0</v>
      </c>
      <c r="AK11" s="252">
        <f t="shared" si="8"/>
        <v>0</v>
      </c>
      <c r="AL11" s="253">
        <f t="shared" si="9"/>
        <v>0</v>
      </c>
      <c r="AM11" s="254">
        <f t="shared" si="10"/>
        <v>68</v>
      </c>
      <c r="AN11" s="252">
        <f t="shared" si="11"/>
        <v>204</v>
      </c>
      <c r="AO11" s="253">
        <f t="shared" si="12"/>
        <v>0</v>
      </c>
      <c r="AP11" s="255">
        <f t="shared" si="13"/>
        <v>0</v>
      </c>
      <c r="AQ11" s="255">
        <f t="shared" si="14"/>
        <v>0</v>
      </c>
      <c r="AR11" s="255">
        <f t="shared" si="15"/>
        <v>0</v>
      </c>
      <c r="AS11" s="255">
        <f t="shared" si="16"/>
        <v>0</v>
      </c>
      <c r="AT11" s="255">
        <f t="shared" si="17"/>
        <v>0</v>
      </c>
      <c r="AU11" s="255">
        <f t="shared" si="18"/>
        <v>0</v>
      </c>
      <c r="AV11" s="255">
        <f t="shared" si="19"/>
        <v>0</v>
      </c>
      <c r="AW11" s="255">
        <f t="shared" si="20"/>
        <v>0</v>
      </c>
    </row>
    <row r="12" spans="1:49" ht="17.25" thickBot="1" x14ac:dyDescent="0.4">
      <c r="A12" s="962"/>
      <c r="B12" s="286">
        <f>'Licht vervoer'!A34</f>
        <v>0.73958333333333304</v>
      </c>
      <c r="C12" s="969" t="s">
        <v>23</v>
      </c>
      <c r="D12" s="977"/>
      <c r="E12" s="36">
        <f>'Licht vervoer'!D34</f>
        <v>0.74999999999999967</v>
      </c>
      <c r="F12" s="112">
        <f>'Licht vervoer'!F34</f>
        <v>42</v>
      </c>
      <c r="G12" s="113">
        <f>'Licht vervoer'!G34</f>
        <v>4</v>
      </c>
      <c r="H12" s="119">
        <f>'Licht vervoer'!H34</f>
        <v>33</v>
      </c>
      <c r="I12" s="291">
        <f>'Licht vervoer'!I34</f>
        <v>0</v>
      </c>
      <c r="J12" s="113">
        <f>'Licht vervoer'!J34</f>
        <v>225</v>
      </c>
      <c r="K12" s="119">
        <f>'Licht vervoer'!K34</f>
        <v>149</v>
      </c>
      <c r="L12" s="291">
        <f>'Licht vervoer'!L34</f>
        <v>0</v>
      </c>
      <c r="M12" s="113">
        <f>'Licht vervoer'!M34</f>
        <v>0</v>
      </c>
      <c r="N12" s="119">
        <f>'Licht vervoer'!N34</f>
        <v>0</v>
      </c>
      <c r="O12" s="291">
        <f>'Licht vervoer'!O34</f>
        <v>76</v>
      </c>
      <c r="P12" s="113">
        <f>'Licht vervoer'!P34</f>
        <v>214</v>
      </c>
      <c r="Q12" s="119">
        <f>'Licht vervoer'!Q34</f>
        <v>0</v>
      </c>
      <c r="R12" s="218"/>
      <c r="S12" s="218"/>
      <c r="T12" s="218"/>
      <c r="U12" s="218"/>
      <c r="V12" s="218"/>
      <c r="W12" s="218"/>
      <c r="X12" s="218"/>
      <c r="Y12" s="218"/>
      <c r="Z12" s="5"/>
      <c r="AA12" s="140">
        <f t="shared" si="0"/>
        <v>1</v>
      </c>
      <c r="AB12" s="194" t="b">
        <f>'Stromendiagram periode 2'!BD$4</f>
        <v>1</v>
      </c>
      <c r="AD12" s="256">
        <f t="shared" si="1"/>
        <v>42</v>
      </c>
      <c r="AE12" s="257">
        <f t="shared" si="2"/>
        <v>4</v>
      </c>
      <c r="AF12" s="258">
        <f t="shared" si="3"/>
        <v>33</v>
      </c>
      <c r="AG12" s="259">
        <f t="shared" si="4"/>
        <v>0</v>
      </c>
      <c r="AH12" s="257">
        <f t="shared" si="5"/>
        <v>225</v>
      </c>
      <c r="AI12" s="258">
        <f t="shared" si="6"/>
        <v>149</v>
      </c>
      <c r="AJ12" s="259">
        <f t="shared" si="7"/>
        <v>0</v>
      </c>
      <c r="AK12" s="257">
        <f t="shared" si="8"/>
        <v>0</v>
      </c>
      <c r="AL12" s="258">
        <f t="shared" si="9"/>
        <v>0</v>
      </c>
      <c r="AM12" s="259">
        <f t="shared" si="10"/>
        <v>76</v>
      </c>
      <c r="AN12" s="257">
        <f t="shared" si="11"/>
        <v>214</v>
      </c>
      <c r="AO12" s="258">
        <f t="shared" si="12"/>
        <v>0</v>
      </c>
      <c r="AP12" s="260">
        <f t="shared" si="13"/>
        <v>0</v>
      </c>
      <c r="AQ12" s="260">
        <f t="shared" si="14"/>
        <v>0</v>
      </c>
      <c r="AR12" s="260">
        <f t="shared" si="15"/>
        <v>0</v>
      </c>
      <c r="AS12" s="260">
        <f t="shared" si="16"/>
        <v>0</v>
      </c>
      <c r="AT12" s="260">
        <f t="shared" si="17"/>
        <v>0</v>
      </c>
      <c r="AU12" s="260">
        <f t="shared" si="18"/>
        <v>0</v>
      </c>
      <c r="AV12" s="260">
        <f t="shared" si="19"/>
        <v>0</v>
      </c>
      <c r="AW12" s="260">
        <f t="shared" si="20"/>
        <v>0</v>
      </c>
    </row>
    <row r="13" spans="1:49" ht="16.5" x14ac:dyDescent="0.35">
      <c r="A13" s="960" t="s">
        <v>48</v>
      </c>
      <c r="B13" s="32">
        <f>'Zwaar vervoer'!A27</f>
        <v>0.66666666666666663</v>
      </c>
      <c r="C13" s="956" t="s">
        <v>23</v>
      </c>
      <c r="D13" s="957"/>
      <c r="E13" s="35">
        <f>'Zwaar vervoer'!D27</f>
        <v>0.67708333333333326</v>
      </c>
      <c r="F13" s="37">
        <f>'Zwaar vervoer'!F27*2</f>
        <v>4</v>
      </c>
      <c r="G13" s="53">
        <f>'Zwaar vervoer'!G27*2</f>
        <v>0</v>
      </c>
      <c r="H13" s="144">
        <f>'Zwaar vervoer'!H27*2</f>
        <v>4</v>
      </c>
      <c r="I13" s="292">
        <f>'Zwaar vervoer'!I27*2</f>
        <v>0</v>
      </c>
      <c r="J13" s="53">
        <f>'Zwaar vervoer'!J27*2</f>
        <v>34</v>
      </c>
      <c r="K13" s="144">
        <f>'Zwaar vervoer'!K27*2</f>
        <v>10</v>
      </c>
      <c r="L13" s="292">
        <f>'Zwaar vervoer'!L27*2</f>
        <v>0</v>
      </c>
      <c r="M13" s="53">
        <f>'Zwaar vervoer'!M27*2</f>
        <v>0</v>
      </c>
      <c r="N13" s="144">
        <f>'Zwaar vervoer'!N27*2</f>
        <v>0</v>
      </c>
      <c r="O13" s="292">
        <f>'Zwaar vervoer'!O27*2</f>
        <v>8</v>
      </c>
      <c r="P13" s="53">
        <f>'Zwaar vervoer'!P27*2</f>
        <v>10</v>
      </c>
      <c r="Q13" s="144">
        <f>'Zwaar vervoer'!Q27*2</f>
        <v>0</v>
      </c>
      <c r="R13" s="219"/>
      <c r="S13" s="219"/>
      <c r="T13" s="219"/>
      <c r="U13" s="219"/>
      <c r="V13" s="219"/>
      <c r="W13" s="219"/>
      <c r="X13" s="219"/>
      <c r="Y13" s="219"/>
      <c r="Z13" s="5"/>
      <c r="AA13" s="281">
        <f t="shared" ref="AA13:AA20" si="21">AA39</f>
        <v>0</v>
      </c>
      <c r="AB13" s="193" t="b">
        <f>'Stromendiagram periode 2'!BD$5</f>
        <v>1</v>
      </c>
      <c r="AD13" s="220">
        <f t="shared" si="1"/>
        <v>0</v>
      </c>
      <c r="AE13" s="261">
        <f t="shared" si="2"/>
        <v>0</v>
      </c>
      <c r="AF13" s="262">
        <f t="shared" si="3"/>
        <v>0</v>
      </c>
      <c r="AG13" s="263">
        <f t="shared" si="4"/>
        <v>0</v>
      </c>
      <c r="AH13" s="261">
        <f t="shared" si="5"/>
        <v>0</v>
      </c>
      <c r="AI13" s="262">
        <f t="shared" si="6"/>
        <v>0</v>
      </c>
      <c r="AJ13" s="263">
        <f t="shared" si="7"/>
        <v>0</v>
      </c>
      <c r="AK13" s="261">
        <f t="shared" si="8"/>
        <v>0</v>
      </c>
      <c r="AL13" s="262">
        <f t="shared" si="9"/>
        <v>0</v>
      </c>
      <c r="AM13" s="263">
        <f t="shared" si="10"/>
        <v>0</v>
      </c>
      <c r="AN13" s="261">
        <f t="shared" si="11"/>
        <v>0</v>
      </c>
      <c r="AO13" s="262">
        <f t="shared" si="12"/>
        <v>0</v>
      </c>
      <c r="AP13" s="264">
        <f t="shared" si="13"/>
        <v>0</v>
      </c>
      <c r="AQ13" s="264">
        <f t="shared" si="14"/>
        <v>0</v>
      </c>
      <c r="AR13" s="264">
        <f t="shared" si="15"/>
        <v>0</v>
      </c>
      <c r="AS13" s="264">
        <f t="shared" si="16"/>
        <v>0</v>
      </c>
      <c r="AT13" s="264">
        <f t="shared" si="17"/>
        <v>0</v>
      </c>
      <c r="AU13" s="264">
        <f t="shared" si="18"/>
        <v>0</v>
      </c>
      <c r="AV13" s="264">
        <f t="shared" si="19"/>
        <v>0</v>
      </c>
      <c r="AW13" s="264">
        <f t="shared" si="20"/>
        <v>0</v>
      </c>
    </row>
    <row r="14" spans="1:49" ht="16.5" x14ac:dyDescent="0.35">
      <c r="A14" s="961"/>
      <c r="B14" s="33">
        <f>'Zwaar vervoer'!A28</f>
        <v>0.67708333333333326</v>
      </c>
      <c r="C14" s="958" t="s">
        <v>23</v>
      </c>
      <c r="D14" s="959"/>
      <c r="E14" s="35">
        <f>'Zwaar vervoer'!D28</f>
        <v>0.68749999999999989</v>
      </c>
      <c r="F14" s="38">
        <f>'Zwaar vervoer'!F28*2</f>
        <v>8</v>
      </c>
      <c r="G14" s="52">
        <f>'Zwaar vervoer'!G28*2</f>
        <v>0</v>
      </c>
      <c r="H14" s="145">
        <f>'Zwaar vervoer'!H28*2</f>
        <v>4</v>
      </c>
      <c r="I14" s="172">
        <f>'Zwaar vervoer'!I28*2</f>
        <v>0</v>
      </c>
      <c r="J14" s="52">
        <f>'Zwaar vervoer'!J28*2</f>
        <v>34</v>
      </c>
      <c r="K14" s="145">
        <f>'Zwaar vervoer'!K28*2</f>
        <v>16</v>
      </c>
      <c r="L14" s="172">
        <f>'Zwaar vervoer'!L28*2</f>
        <v>0</v>
      </c>
      <c r="M14" s="52">
        <f>'Zwaar vervoer'!M28*2</f>
        <v>0</v>
      </c>
      <c r="N14" s="145">
        <f>'Zwaar vervoer'!N28*2</f>
        <v>0</v>
      </c>
      <c r="O14" s="172">
        <f>'Zwaar vervoer'!O28*2</f>
        <v>16</v>
      </c>
      <c r="P14" s="52">
        <f>'Zwaar vervoer'!P28*2</f>
        <v>8</v>
      </c>
      <c r="Q14" s="145">
        <f>'Zwaar vervoer'!Q28*2</f>
        <v>0</v>
      </c>
      <c r="R14" s="217"/>
      <c r="S14" s="217"/>
      <c r="T14" s="217"/>
      <c r="U14" s="217"/>
      <c r="V14" s="217"/>
      <c r="W14" s="217"/>
      <c r="X14" s="217"/>
      <c r="Y14" s="217"/>
      <c r="Z14" s="5"/>
      <c r="AA14" s="281">
        <f t="shared" si="21"/>
        <v>0</v>
      </c>
      <c r="AB14" s="193" t="b">
        <f>'Stromendiagram periode 2'!BD$5</f>
        <v>1</v>
      </c>
      <c r="AD14" s="251">
        <f t="shared" si="1"/>
        <v>0</v>
      </c>
      <c r="AE14" s="252">
        <f t="shared" si="2"/>
        <v>0</v>
      </c>
      <c r="AF14" s="253">
        <f t="shared" si="3"/>
        <v>0</v>
      </c>
      <c r="AG14" s="254">
        <f t="shared" si="4"/>
        <v>0</v>
      </c>
      <c r="AH14" s="252">
        <f t="shared" si="5"/>
        <v>0</v>
      </c>
      <c r="AI14" s="253">
        <f t="shared" si="6"/>
        <v>0</v>
      </c>
      <c r="AJ14" s="254">
        <f t="shared" si="7"/>
        <v>0</v>
      </c>
      <c r="AK14" s="252">
        <f t="shared" si="8"/>
        <v>0</v>
      </c>
      <c r="AL14" s="253">
        <f t="shared" si="9"/>
        <v>0</v>
      </c>
      <c r="AM14" s="254">
        <f t="shared" si="10"/>
        <v>0</v>
      </c>
      <c r="AN14" s="252">
        <f t="shared" si="11"/>
        <v>0</v>
      </c>
      <c r="AO14" s="253">
        <f t="shared" si="12"/>
        <v>0</v>
      </c>
      <c r="AP14" s="255">
        <f t="shared" si="13"/>
        <v>0</v>
      </c>
      <c r="AQ14" s="255">
        <f t="shared" si="14"/>
        <v>0</v>
      </c>
      <c r="AR14" s="255">
        <f t="shared" si="15"/>
        <v>0</v>
      </c>
      <c r="AS14" s="255">
        <f t="shared" si="16"/>
        <v>0</v>
      </c>
      <c r="AT14" s="255">
        <f t="shared" si="17"/>
        <v>0</v>
      </c>
      <c r="AU14" s="255">
        <f t="shared" si="18"/>
        <v>0</v>
      </c>
      <c r="AV14" s="255">
        <f t="shared" si="19"/>
        <v>0</v>
      </c>
      <c r="AW14" s="255">
        <f t="shared" si="20"/>
        <v>0</v>
      </c>
    </row>
    <row r="15" spans="1:49" ht="16.5" x14ac:dyDescent="0.35">
      <c r="A15" s="961"/>
      <c r="B15" s="33">
        <f>'Zwaar vervoer'!A29</f>
        <v>0.68749999999999989</v>
      </c>
      <c r="C15" s="958" t="s">
        <v>23</v>
      </c>
      <c r="D15" s="959"/>
      <c r="E15" s="35">
        <f>'Zwaar vervoer'!D29</f>
        <v>0.69791666666666652</v>
      </c>
      <c r="F15" s="38">
        <f>'Zwaar vervoer'!F29*2</f>
        <v>14</v>
      </c>
      <c r="G15" s="52">
        <f>'Zwaar vervoer'!G29*2</f>
        <v>0</v>
      </c>
      <c r="H15" s="145">
        <f>'Zwaar vervoer'!H29*2</f>
        <v>12</v>
      </c>
      <c r="I15" s="172">
        <f>'Zwaar vervoer'!I29*2</f>
        <v>0</v>
      </c>
      <c r="J15" s="52">
        <f>'Zwaar vervoer'!J29*2</f>
        <v>8</v>
      </c>
      <c r="K15" s="145">
        <f>'Zwaar vervoer'!K29*2</f>
        <v>18</v>
      </c>
      <c r="L15" s="172">
        <f>'Zwaar vervoer'!L29*2</f>
        <v>0</v>
      </c>
      <c r="M15" s="52">
        <f>'Zwaar vervoer'!M29*2</f>
        <v>0</v>
      </c>
      <c r="N15" s="145">
        <f>'Zwaar vervoer'!N29*2</f>
        <v>0</v>
      </c>
      <c r="O15" s="172">
        <f>'Zwaar vervoer'!O29*2</f>
        <v>8</v>
      </c>
      <c r="P15" s="52">
        <f>'Zwaar vervoer'!P29*2</f>
        <v>18</v>
      </c>
      <c r="Q15" s="145">
        <f>'Zwaar vervoer'!Q29*2</f>
        <v>0</v>
      </c>
      <c r="R15" s="217"/>
      <c r="S15" s="217"/>
      <c r="T15" s="217"/>
      <c r="U15" s="217"/>
      <c r="V15" s="217"/>
      <c r="W15" s="217"/>
      <c r="X15" s="217"/>
      <c r="Y15" s="217"/>
      <c r="Z15" s="5"/>
      <c r="AA15" s="281">
        <f t="shared" si="21"/>
        <v>0</v>
      </c>
      <c r="AB15" s="193" t="b">
        <f>'Stromendiagram periode 2'!BD$5</f>
        <v>1</v>
      </c>
      <c r="AD15" s="251">
        <f t="shared" si="1"/>
        <v>0</v>
      </c>
      <c r="AE15" s="252">
        <f t="shared" si="2"/>
        <v>0</v>
      </c>
      <c r="AF15" s="253">
        <f t="shared" si="3"/>
        <v>0</v>
      </c>
      <c r="AG15" s="254">
        <f t="shared" si="4"/>
        <v>0</v>
      </c>
      <c r="AH15" s="252">
        <f t="shared" si="5"/>
        <v>0</v>
      </c>
      <c r="AI15" s="253">
        <f t="shared" si="6"/>
        <v>0</v>
      </c>
      <c r="AJ15" s="254">
        <f t="shared" si="7"/>
        <v>0</v>
      </c>
      <c r="AK15" s="252">
        <f t="shared" si="8"/>
        <v>0</v>
      </c>
      <c r="AL15" s="253">
        <f t="shared" si="9"/>
        <v>0</v>
      </c>
      <c r="AM15" s="254">
        <f t="shared" si="10"/>
        <v>0</v>
      </c>
      <c r="AN15" s="252">
        <f t="shared" si="11"/>
        <v>0</v>
      </c>
      <c r="AO15" s="253">
        <f t="shared" si="12"/>
        <v>0</v>
      </c>
      <c r="AP15" s="255">
        <f t="shared" si="13"/>
        <v>0</v>
      </c>
      <c r="AQ15" s="255">
        <f t="shared" si="14"/>
        <v>0</v>
      </c>
      <c r="AR15" s="255">
        <f t="shared" si="15"/>
        <v>0</v>
      </c>
      <c r="AS15" s="255">
        <f t="shared" si="16"/>
        <v>0</v>
      </c>
      <c r="AT15" s="255">
        <f t="shared" si="17"/>
        <v>0</v>
      </c>
      <c r="AU15" s="255">
        <f t="shared" si="18"/>
        <v>0</v>
      </c>
      <c r="AV15" s="255">
        <f t="shared" si="19"/>
        <v>0</v>
      </c>
      <c r="AW15" s="255">
        <f t="shared" si="20"/>
        <v>0</v>
      </c>
    </row>
    <row r="16" spans="1:49" ht="16.5" x14ac:dyDescent="0.35">
      <c r="A16" s="961"/>
      <c r="B16" s="33">
        <f>'Zwaar vervoer'!A30</f>
        <v>0.69791666666666652</v>
      </c>
      <c r="C16" s="958" t="s">
        <v>23</v>
      </c>
      <c r="D16" s="959"/>
      <c r="E16" s="35">
        <f>'Zwaar vervoer'!D30</f>
        <v>0.70833333333333315</v>
      </c>
      <c r="F16" s="38">
        <f>'Zwaar vervoer'!F30*2</f>
        <v>2</v>
      </c>
      <c r="G16" s="52">
        <f>'Zwaar vervoer'!G30*2</f>
        <v>0</v>
      </c>
      <c r="H16" s="145">
        <f>'Zwaar vervoer'!H30*2</f>
        <v>0</v>
      </c>
      <c r="I16" s="172">
        <f>'Zwaar vervoer'!I30*2</f>
        <v>0</v>
      </c>
      <c r="J16" s="52">
        <f>'Zwaar vervoer'!J30*2</f>
        <v>14</v>
      </c>
      <c r="K16" s="145">
        <f>'Zwaar vervoer'!K30*2</f>
        <v>8</v>
      </c>
      <c r="L16" s="172">
        <f>'Zwaar vervoer'!L30*2</f>
        <v>0</v>
      </c>
      <c r="M16" s="52">
        <f>'Zwaar vervoer'!M30*2</f>
        <v>0</v>
      </c>
      <c r="N16" s="145">
        <f>'Zwaar vervoer'!N30*2</f>
        <v>0</v>
      </c>
      <c r="O16" s="172">
        <f>'Zwaar vervoer'!O30*2</f>
        <v>8</v>
      </c>
      <c r="P16" s="52">
        <f>'Zwaar vervoer'!P30*2</f>
        <v>20</v>
      </c>
      <c r="Q16" s="145">
        <f>'Zwaar vervoer'!Q30*2</f>
        <v>0</v>
      </c>
      <c r="R16" s="217"/>
      <c r="S16" s="217"/>
      <c r="T16" s="217"/>
      <c r="U16" s="217"/>
      <c r="V16" s="217"/>
      <c r="W16" s="217"/>
      <c r="X16" s="217"/>
      <c r="Y16" s="217"/>
      <c r="Z16" s="5"/>
      <c r="AA16" s="281">
        <f t="shared" si="21"/>
        <v>0</v>
      </c>
      <c r="AB16" s="193" t="b">
        <f>'Stromendiagram periode 2'!BD$5</f>
        <v>1</v>
      </c>
      <c r="AD16" s="251">
        <f t="shared" si="1"/>
        <v>0</v>
      </c>
      <c r="AE16" s="252">
        <f t="shared" si="2"/>
        <v>0</v>
      </c>
      <c r="AF16" s="253">
        <f t="shared" si="3"/>
        <v>0</v>
      </c>
      <c r="AG16" s="254">
        <f t="shared" si="4"/>
        <v>0</v>
      </c>
      <c r="AH16" s="252">
        <f t="shared" si="5"/>
        <v>0</v>
      </c>
      <c r="AI16" s="253">
        <f t="shared" si="6"/>
        <v>0</v>
      </c>
      <c r="AJ16" s="254">
        <f t="shared" si="7"/>
        <v>0</v>
      </c>
      <c r="AK16" s="252">
        <f t="shared" si="8"/>
        <v>0</v>
      </c>
      <c r="AL16" s="253">
        <f t="shared" si="9"/>
        <v>0</v>
      </c>
      <c r="AM16" s="254">
        <f t="shared" si="10"/>
        <v>0</v>
      </c>
      <c r="AN16" s="252">
        <f t="shared" si="11"/>
        <v>0</v>
      </c>
      <c r="AO16" s="253">
        <f t="shared" si="12"/>
        <v>0</v>
      </c>
      <c r="AP16" s="255">
        <f t="shared" si="13"/>
        <v>0</v>
      </c>
      <c r="AQ16" s="255">
        <f t="shared" si="14"/>
        <v>0</v>
      </c>
      <c r="AR16" s="255">
        <f t="shared" si="15"/>
        <v>0</v>
      </c>
      <c r="AS16" s="255">
        <f t="shared" si="16"/>
        <v>0</v>
      </c>
      <c r="AT16" s="255">
        <f t="shared" si="17"/>
        <v>0</v>
      </c>
      <c r="AU16" s="255">
        <f t="shared" si="18"/>
        <v>0</v>
      </c>
      <c r="AV16" s="255">
        <f t="shared" si="19"/>
        <v>0</v>
      </c>
      <c r="AW16" s="255">
        <f t="shared" si="20"/>
        <v>0</v>
      </c>
    </row>
    <row r="17" spans="1:49" ht="16.5" x14ac:dyDescent="0.35">
      <c r="A17" s="961"/>
      <c r="B17" s="33">
        <f>'Zwaar vervoer'!A31</f>
        <v>0.70833333333333315</v>
      </c>
      <c r="C17" s="958" t="s">
        <v>23</v>
      </c>
      <c r="D17" s="959"/>
      <c r="E17" s="35">
        <f>'Zwaar vervoer'!D31</f>
        <v>0.71874999999999978</v>
      </c>
      <c r="F17" s="38">
        <f>'Zwaar vervoer'!F31*2</f>
        <v>0</v>
      </c>
      <c r="G17" s="52">
        <f>'Zwaar vervoer'!G31*2</f>
        <v>0</v>
      </c>
      <c r="H17" s="145">
        <f>'Zwaar vervoer'!H31*2</f>
        <v>4</v>
      </c>
      <c r="I17" s="172">
        <f>'Zwaar vervoer'!I31*2</f>
        <v>0</v>
      </c>
      <c r="J17" s="52">
        <f>'Zwaar vervoer'!J31*2</f>
        <v>12</v>
      </c>
      <c r="K17" s="145">
        <f>'Zwaar vervoer'!K31*2</f>
        <v>6</v>
      </c>
      <c r="L17" s="172">
        <f>'Zwaar vervoer'!L31*2</f>
        <v>0</v>
      </c>
      <c r="M17" s="52">
        <f>'Zwaar vervoer'!M31*2</f>
        <v>0</v>
      </c>
      <c r="N17" s="145">
        <f>'Zwaar vervoer'!N31*2</f>
        <v>0</v>
      </c>
      <c r="O17" s="172">
        <f>'Zwaar vervoer'!O31*2</f>
        <v>6</v>
      </c>
      <c r="P17" s="52">
        <f>'Zwaar vervoer'!P31*2</f>
        <v>30</v>
      </c>
      <c r="Q17" s="145">
        <f>'Zwaar vervoer'!Q31*2</f>
        <v>0</v>
      </c>
      <c r="R17" s="217"/>
      <c r="S17" s="217"/>
      <c r="T17" s="217"/>
      <c r="U17" s="217"/>
      <c r="V17" s="217"/>
      <c r="W17" s="217"/>
      <c r="X17" s="217"/>
      <c r="Y17" s="217"/>
      <c r="Z17" s="5"/>
      <c r="AA17" s="281">
        <f t="shared" si="21"/>
        <v>1</v>
      </c>
      <c r="AB17" s="193" t="b">
        <f>'Stromendiagram periode 2'!BD$5</f>
        <v>1</v>
      </c>
      <c r="AD17" s="251">
        <f t="shared" si="1"/>
        <v>0</v>
      </c>
      <c r="AE17" s="252">
        <f t="shared" si="2"/>
        <v>0</v>
      </c>
      <c r="AF17" s="253">
        <f t="shared" si="3"/>
        <v>4</v>
      </c>
      <c r="AG17" s="254">
        <f t="shared" si="4"/>
        <v>0</v>
      </c>
      <c r="AH17" s="252">
        <f t="shared" si="5"/>
        <v>12</v>
      </c>
      <c r="AI17" s="253">
        <f t="shared" si="6"/>
        <v>6</v>
      </c>
      <c r="AJ17" s="254">
        <f t="shared" si="7"/>
        <v>0</v>
      </c>
      <c r="AK17" s="252">
        <f t="shared" si="8"/>
        <v>0</v>
      </c>
      <c r="AL17" s="253">
        <f t="shared" si="9"/>
        <v>0</v>
      </c>
      <c r="AM17" s="254">
        <f t="shared" si="10"/>
        <v>6</v>
      </c>
      <c r="AN17" s="252">
        <f t="shared" si="11"/>
        <v>30</v>
      </c>
      <c r="AO17" s="253">
        <f t="shared" si="12"/>
        <v>0</v>
      </c>
      <c r="AP17" s="255">
        <f t="shared" si="13"/>
        <v>0</v>
      </c>
      <c r="AQ17" s="255">
        <f t="shared" si="14"/>
        <v>0</v>
      </c>
      <c r="AR17" s="255">
        <f t="shared" si="15"/>
        <v>0</v>
      </c>
      <c r="AS17" s="255">
        <f t="shared" si="16"/>
        <v>0</v>
      </c>
      <c r="AT17" s="255">
        <f t="shared" si="17"/>
        <v>0</v>
      </c>
      <c r="AU17" s="255">
        <f t="shared" si="18"/>
        <v>0</v>
      </c>
      <c r="AV17" s="255">
        <f t="shared" si="19"/>
        <v>0</v>
      </c>
      <c r="AW17" s="255">
        <f t="shared" si="20"/>
        <v>0</v>
      </c>
    </row>
    <row r="18" spans="1:49" ht="16.5" x14ac:dyDescent="0.35">
      <c r="A18" s="961"/>
      <c r="B18" s="33">
        <f>'Zwaar vervoer'!A32</f>
        <v>0.71874999999999978</v>
      </c>
      <c r="C18" s="958" t="s">
        <v>23</v>
      </c>
      <c r="D18" s="959"/>
      <c r="E18" s="35">
        <f>'Zwaar vervoer'!D32</f>
        <v>0.72916666666666641</v>
      </c>
      <c r="F18" s="38">
        <f>'Zwaar vervoer'!F32*2</f>
        <v>6</v>
      </c>
      <c r="G18" s="52">
        <f>'Zwaar vervoer'!G32*2</f>
        <v>0</v>
      </c>
      <c r="H18" s="145">
        <f>'Zwaar vervoer'!H32*2</f>
        <v>0</v>
      </c>
      <c r="I18" s="172">
        <f>'Zwaar vervoer'!I32*2</f>
        <v>0</v>
      </c>
      <c r="J18" s="52">
        <f>'Zwaar vervoer'!J32*2</f>
        <v>18</v>
      </c>
      <c r="K18" s="145">
        <f>'Zwaar vervoer'!K32*2</f>
        <v>4</v>
      </c>
      <c r="L18" s="172">
        <f>'Zwaar vervoer'!L32*2</f>
        <v>0</v>
      </c>
      <c r="M18" s="52">
        <f>'Zwaar vervoer'!M32*2</f>
        <v>0</v>
      </c>
      <c r="N18" s="145">
        <f>'Zwaar vervoer'!N32*2</f>
        <v>0</v>
      </c>
      <c r="O18" s="172">
        <f>'Zwaar vervoer'!O32*2</f>
        <v>8</v>
      </c>
      <c r="P18" s="52">
        <f>'Zwaar vervoer'!P32*2</f>
        <v>8</v>
      </c>
      <c r="Q18" s="145">
        <f>'Zwaar vervoer'!Q32*2</f>
        <v>0</v>
      </c>
      <c r="R18" s="217"/>
      <c r="S18" s="217"/>
      <c r="T18" s="217"/>
      <c r="U18" s="217"/>
      <c r="V18" s="217"/>
      <c r="W18" s="217"/>
      <c r="X18" s="217"/>
      <c r="Y18" s="217"/>
      <c r="Z18" s="5"/>
      <c r="AA18" s="281">
        <f t="shared" si="21"/>
        <v>1</v>
      </c>
      <c r="AB18" s="193" t="b">
        <f>'Stromendiagram periode 2'!BD$5</f>
        <v>1</v>
      </c>
      <c r="AD18" s="251">
        <f t="shared" si="1"/>
        <v>6</v>
      </c>
      <c r="AE18" s="252">
        <f t="shared" si="2"/>
        <v>0</v>
      </c>
      <c r="AF18" s="253">
        <f t="shared" si="3"/>
        <v>0</v>
      </c>
      <c r="AG18" s="254">
        <f t="shared" si="4"/>
        <v>0</v>
      </c>
      <c r="AH18" s="252">
        <f t="shared" si="5"/>
        <v>18</v>
      </c>
      <c r="AI18" s="253">
        <f t="shared" si="6"/>
        <v>4</v>
      </c>
      <c r="AJ18" s="254">
        <f t="shared" si="7"/>
        <v>0</v>
      </c>
      <c r="AK18" s="252">
        <f t="shared" si="8"/>
        <v>0</v>
      </c>
      <c r="AL18" s="253">
        <f t="shared" si="9"/>
        <v>0</v>
      </c>
      <c r="AM18" s="254">
        <f t="shared" si="10"/>
        <v>8</v>
      </c>
      <c r="AN18" s="252">
        <f t="shared" si="11"/>
        <v>8</v>
      </c>
      <c r="AO18" s="253">
        <f t="shared" si="12"/>
        <v>0</v>
      </c>
      <c r="AP18" s="255">
        <f t="shared" si="13"/>
        <v>0</v>
      </c>
      <c r="AQ18" s="255">
        <f t="shared" si="14"/>
        <v>0</v>
      </c>
      <c r="AR18" s="255">
        <f t="shared" si="15"/>
        <v>0</v>
      </c>
      <c r="AS18" s="255">
        <f t="shared" si="16"/>
        <v>0</v>
      </c>
      <c r="AT18" s="255">
        <f t="shared" si="17"/>
        <v>0</v>
      </c>
      <c r="AU18" s="255">
        <f t="shared" si="18"/>
        <v>0</v>
      </c>
      <c r="AV18" s="255">
        <f t="shared" si="19"/>
        <v>0</v>
      </c>
      <c r="AW18" s="255">
        <f t="shared" si="20"/>
        <v>0</v>
      </c>
    </row>
    <row r="19" spans="1:49" ht="16.5" x14ac:dyDescent="0.35">
      <c r="A19" s="961"/>
      <c r="B19" s="33">
        <f>'Zwaar vervoer'!A33</f>
        <v>0.72916666666666641</v>
      </c>
      <c r="C19" s="958" t="s">
        <v>23</v>
      </c>
      <c r="D19" s="959"/>
      <c r="E19" s="35">
        <f>'Zwaar vervoer'!D33</f>
        <v>0.73958333333333304</v>
      </c>
      <c r="F19" s="38">
        <f>'Zwaar vervoer'!F33*2</f>
        <v>4</v>
      </c>
      <c r="G19" s="52">
        <f>'Zwaar vervoer'!G33*2</f>
        <v>0</v>
      </c>
      <c r="H19" s="145">
        <f>'Zwaar vervoer'!H33*2</f>
        <v>2</v>
      </c>
      <c r="I19" s="172">
        <f>'Zwaar vervoer'!I33*2</f>
        <v>0</v>
      </c>
      <c r="J19" s="52">
        <f>'Zwaar vervoer'!J33*2</f>
        <v>26</v>
      </c>
      <c r="K19" s="145">
        <f>'Zwaar vervoer'!K33*2</f>
        <v>10</v>
      </c>
      <c r="L19" s="172">
        <f>'Zwaar vervoer'!L33*2</f>
        <v>0</v>
      </c>
      <c r="M19" s="52">
        <f>'Zwaar vervoer'!M33*2</f>
        <v>0</v>
      </c>
      <c r="N19" s="145">
        <f>'Zwaar vervoer'!N33*2</f>
        <v>0</v>
      </c>
      <c r="O19" s="172">
        <f>'Zwaar vervoer'!O33*2</f>
        <v>6</v>
      </c>
      <c r="P19" s="52">
        <f>'Zwaar vervoer'!P33*2</f>
        <v>12</v>
      </c>
      <c r="Q19" s="145">
        <f>'Zwaar vervoer'!Q33*2</f>
        <v>0</v>
      </c>
      <c r="R19" s="217"/>
      <c r="S19" s="217"/>
      <c r="T19" s="217"/>
      <c r="U19" s="217"/>
      <c r="V19" s="217"/>
      <c r="W19" s="217"/>
      <c r="X19" s="217"/>
      <c r="Y19" s="217"/>
      <c r="Z19" s="5"/>
      <c r="AA19" s="281">
        <f t="shared" si="21"/>
        <v>1</v>
      </c>
      <c r="AB19" s="193" t="b">
        <f>'Stromendiagram periode 2'!BD$5</f>
        <v>1</v>
      </c>
      <c r="AD19" s="251">
        <f t="shared" si="1"/>
        <v>4</v>
      </c>
      <c r="AE19" s="252">
        <f t="shared" si="2"/>
        <v>0</v>
      </c>
      <c r="AF19" s="253">
        <f t="shared" si="3"/>
        <v>2</v>
      </c>
      <c r="AG19" s="254">
        <f t="shared" si="4"/>
        <v>0</v>
      </c>
      <c r="AH19" s="252">
        <f t="shared" si="5"/>
        <v>26</v>
      </c>
      <c r="AI19" s="253">
        <f t="shared" si="6"/>
        <v>10</v>
      </c>
      <c r="AJ19" s="254">
        <f t="shared" si="7"/>
        <v>0</v>
      </c>
      <c r="AK19" s="252">
        <f t="shared" si="8"/>
        <v>0</v>
      </c>
      <c r="AL19" s="253">
        <f t="shared" si="9"/>
        <v>0</v>
      </c>
      <c r="AM19" s="254">
        <f t="shared" si="10"/>
        <v>6</v>
      </c>
      <c r="AN19" s="252">
        <f t="shared" si="11"/>
        <v>12</v>
      </c>
      <c r="AO19" s="253">
        <f t="shared" si="12"/>
        <v>0</v>
      </c>
      <c r="AP19" s="255">
        <f t="shared" si="13"/>
        <v>0</v>
      </c>
      <c r="AQ19" s="255">
        <f t="shared" si="14"/>
        <v>0</v>
      </c>
      <c r="AR19" s="255">
        <f t="shared" si="15"/>
        <v>0</v>
      </c>
      <c r="AS19" s="255">
        <f t="shared" si="16"/>
        <v>0</v>
      </c>
      <c r="AT19" s="255">
        <f t="shared" si="17"/>
        <v>0</v>
      </c>
      <c r="AU19" s="255">
        <f t="shared" si="18"/>
        <v>0</v>
      </c>
      <c r="AV19" s="255">
        <f t="shared" si="19"/>
        <v>0</v>
      </c>
      <c r="AW19" s="255">
        <f t="shared" si="20"/>
        <v>0</v>
      </c>
    </row>
    <row r="20" spans="1:49" ht="17.25" thickBot="1" x14ac:dyDescent="0.4">
      <c r="A20" s="962"/>
      <c r="B20" s="34">
        <f>'Zwaar vervoer'!A34</f>
        <v>0.73958333333333304</v>
      </c>
      <c r="C20" s="969" t="s">
        <v>23</v>
      </c>
      <c r="D20" s="970"/>
      <c r="E20" s="36">
        <f>'Zwaar vervoer'!D34</f>
        <v>0.74999999999999967</v>
      </c>
      <c r="F20" s="39">
        <f>'Zwaar vervoer'!F34*2</f>
        <v>4</v>
      </c>
      <c r="G20" s="54">
        <f>'Zwaar vervoer'!G34*2</f>
        <v>0</v>
      </c>
      <c r="H20" s="146">
        <f>'Zwaar vervoer'!H34*2</f>
        <v>4</v>
      </c>
      <c r="I20" s="293">
        <f>'Zwaar vervoer'!I34*2</f>
        <v>0</v>
      </c>
      <c r="J20" s="54">
        <f>'Zwaar vervoer'!J34*2</f>
        <v>16</v>
      </c>
      <c r="K20" s="146">
        <f>'Zwaar vervoer'!K34*2</f>
        <v>10</v>
      </c>
      <c r="L20" s="293">
        <f>'Zwaar vervoer'!L34*2</f>
        <v>0</v>
      </c>
      <c r="M20" s="54">
        <f>'Zwaar vervoer'!M34*2</f>
        <v>0</v>
      </c>
      <c r="N20" s="146">
        <f>'Zwaar vervoer'!N34*2</f>
        <v>0</v>
      </c>
      <c r="O20" s="293">
        <f>'Zwaar vervoer'!O34*2</f>
        <v>6</v>
      </c>
      <c r="P20" s="54">
        <f>'Zwaar vervoer'!P34*2</f>
        <v>8</v>
      </c>
      <c r="Q20" s="146">
        <f>'Zwaar vervoer'!Q34*2</f>
        <v>0</v>
      </c>
      <c r="R20" s="218"/>
      <c r="S20" s="218"/>
      <c r="T20" s="245"/>
      <c r="U20" s="218"/>
      <c r="V20" s="218"/>
      <c r="W20" s="218"/>
      <c r="X20" s="218"/>
      <c r="Y20" s="218"/>
      <c r="Z20" s="5"/>
      <c r="AA20" s="140">
        <f t="shared" si="21"/>
        <v>1</v>
      </c>
      <c r="AB20" s="194" t="b">
        <f>'Stromendiagram periode 2'!BD$5</f>
        <v>1</v>
      </c>
      <c r="AD20" s="256">
        <f t="shared" si="1"/>
        <v>4</v>
      </c>
      <c r="AE20" s="257">
        <f t="shared" si="2"/>
        <v>0</v>
      </c>
      <c r="AF20" s="258">
        <f t="shared" si="3"/>
        <v>4</v>
      </c>
      <c r="AG20" s="259">
        <f t="shared" si="4"/>
        <v>0</v>
      </c>
      <c r="AH20" s="257">
        <f t="shared" si="5"/>
        <v>16</v>
      </c>
      <c r="AI20" s="258">
        <f t="shared" si="6"/>
        <v>10</v>
      </c>
      <c r="AJ20" s="259">
        <f t="shared" si="7"/>
        <v>0</v>
      </c>
      <c r="AK20" s="257">
        <f t="shared" si="8"/>
        <v>0</v>
      </c>
      <c r="AL20" s="258">
        <f t="shared" si="9"/>
        <v>0</v>
      </c>
      <c r="AM20" s="259">
        <f t="shared" si="10"/>
        <v>6</v>
      </c>
      <c r="AN20" s="257">
        <f t="shared" si="11"/>
        <v>8</v>
      </c>
      <c r="AO20" s="258">
        <f t="shared" si="12"/>
        <v>0</v>
      </c>
      <c r="AP20" s="260">
        <f t="shared" si="13"/>
        <v>0</v>
      </c>
      <c r="AQ20" s="260">
        <f t="shared" si="14"/>
        <v>0</v>
      </c>
      <c r="AR20" s="260">
        <f t="shared" si="15"/>
        <v>0</v>
      </c>
      <c r="AS20" s="260">
        <f t="shared" si="16"/>
        <v>0</v>
      </c>
      <c r="AT20" s="260">
        <f t="shared" si="17"/>
        <v>0</v>
      </c>
      <c r="AU20" s="260">
        <f t="shared" si="18"/>
        <v>0</v>
      </c>
      <c r="AV20" s="260">
        <f t="shared" si="19"/>
        <v>0</v>
      </c>
      <c r="AW20" s="260">
        <f t="shared" si="20"/>
        <v>0</v>
      </c>
    </row>
    <row r="21" spans="1:49" ht="16.5" x14ac:dyDescent="0.35">
      <c r="A21" s="960" t="s">
        <v>47</v>
      </c>
      <c r="B21" s="32">
        <f>' Fietsers '!A34</f>
        <v>0.66666666666666663</v>
      </c>
      <c r="C21" s="956" t="s">
        <v>23</v>
      </c>
      <c r="D21" s="957"/>
      <c r="E21" s="35">
        <f>' Fietsers '!D34</f>
        <v>0.67708333333333326</v>
      </c>
      <c r="F21" s="106">
        <f>IF(' Fietsers '!$S$5=TRUE,' Fietsers '!F34/2,0)</f>
        <v>0</v>
      </c>
      <c r="G21" s="107">
        <f>IF(' Fietsers '!$S$5=TRUE,' Fietsers '!G34/2,0)</f>
        <v>0</v>
      </c>
      <c r="H21" s="117">
        <f>IF(' Fietsers '!$S$5=TRUE,' Fietsers '!H34/2,0)</f>
        <v>0</v>
      </c>
      <c r="I21" s="106">
        <f>IF(' Fietsers '!$S$6=TRUE,' Fietsers '!I34/2,0)</f>
        <v>0</v>
      </c>
      <c r="J21" s="107">
        <f>IF(' Fietsers '!$S$6=TRUE,' Fietsers '!J34/2,0)</f>
        <v>0</v>
      </c>
      <c r="K21" s="117">
        <f>IF(' Fietsers '!$S$6=TRUE,' Fietsers '!K34/2,0)</f>
        <v>0</v>
      </c>
      <c r="L21" s="290">
        <f>IF(' Fietsers '!$S$7=TRUE,' Fietsers '!L34/2,0)</f>
        <v>0</v>
      </c>
      <c r="M21" s="107">
        <f>IF(' Fietsers '!$S$7=TRUE,' Fietsers '!M34/2,0)</f>
        <v>0</v>
      </c>
      <c r="N21" s="117">
        <f>IF(' Fietsers '!$S$7=TRUE,' Fietsers '!N34/2,0)</f>
        <v>0</v>
      </c>
      <c r="O21" s="290">
        <f>IF(' Fietsers '!$S$8=TRUE,' Fietsers '!O34/2,0)</f>
        <v>0</v>
      </c>
      <c r="P21" s="107">
        <f>IF(' Fietsers '!$S$8=TRUE,' Fietsers '!P34/2,0)</f>
        <v>0</v>
      </c>
      <c r="Q21" s="117">
        <f>IF(' Fietsers '!$S$8=TRUE,' Fietsers '!Q34/2,0)</f>
        <v>0</v>
      </c>
      <c r="R21" s="215">
        <f>IF(' Fietsers '!$S$5=FALSE,' Fietsers '!G34,0)</f>
        <v>0</v>
      </c>
      <c r="S21" s="163">
        <f>IF(' Fietsers '!$S$6=FALSE,' Fietsers '!J34,0)</f>
        <v>57</v>
      </c>
      <c r="T21" s="163">
        <f>IF(' Fietsers '!$S$7=FALSE,' Fietsers '!M34,0)</f>
        <v>0</v>
      </c>
      <c r="U21" s="215">
        <f>IF(' Fietsers '!$S$8=FALSE,' Fietsers '!P34,0)</f>
        <v>13</v>
      </c>
      <c r="V21" s="215"/>
      <c r="W21" s="215"/>
      <c r="X21" s="215"/>
      <c r="Y21" s="215"/>
      <c r="Z21" s="151"/>
      <c r="AA21" s="281">
        <f t="shared" ref="AA21:AA28" si="22">AA39</f>
        <v>0</v>
      </c>
      <c r="AB21" s="193" t="b">
        <f>'Stromendiagram periode 2'!BD$6</f>
        <v>1</v>
      </c>
      <c r="AD21" s="220">
        <f t="shared" si="1"/>
        <v>0</v>
      </c>
      <c r="AE21" s="261">
        <f t="shared" si="2"/>
        <v>0</v>
      </c>
      <c r="AF21" s="262">
        <f t="shared" si="3"/>
        <v>0</v>
      </c>
      <c r="AG21" s="263">
        <f t="shared" si="4"/>
        <v>0</v>
      </c>
      <c r="AH21" s="261">
        <f t="shared" si="5"/>
        <v>0</v>
      </c>
      <c r="AI21" s="262">
        <f t="shared" si="6"/>
        <v>0</v>
      </c>
      <c r="AJ21" s="263">
        <f t="shared" si="7"/>
        <v>0</v>
      </c>
      <c r="AK21" s="261">
        <f t="shared" si="8"/>
        <v>0</v>
      </c>
      <c r="AL21" s="262">
        <f t="shared" si="9"/>
        <v>0</v>
      </c>
      <c r="AM21" s="263">
        <f t="shared" si="10"/>
        <v>0</v>
      </c>
      <c r="AN21" s="261">
        <f t="shared" si="11"/>
        <v>0</v>
      </c>
      <c r="AO21" s="262">
        <f t="shared" si="12"/>
        <v>0</v>
      </c>
      <c r="AP21" s="264">
        <f t="shared" si="13"/>
        <v>0</v>
      </c>
      <c r="AQ21" s="264">
        <f t="shared" si="14"/>
        <v>0</v>
      </c>
      <c r="AR21" s="264">
        <f t="shared" si="15"/>
        <v>0</v>
      </c>
      <c r="AS21" s="264">
        <f t="shared" si="16"/>
        <v>0</v>
      </c>
      <c r="AT21" s="264">
        <f t="shared" si="17"/>
        <v>0</v>
      </c>
      <c r="AU21" s="264">
        <f t="shared" si="18"/>
        <v>0</v>
      </c>
      <c r="AV21" s="264">
        <f t="shared" si="19"/>
        <v>0</v>
      </c>
      <c r="AW21" s="264">
        <f t="shared" si="20"/>
        <v>0</v>
      </c>
    </row>
    <row r="22" spans="1:49" ht="16.5" x14ac:dyDescent="0.35">
      <c r="A22" s="961"/>
      <c r="B22" s="33">
        <f>' Fietsers '!A35</f>
        <v>0.67708333333333326</v>
      </c>
      <c r="C22" s="958" t="s">
        <v>23</v>
      </c>
      <c r="D22" s="959"/>
      <c r="E22" s="35">
        <f>' Fietsers '!D35</f>
        <v>0.68749999999999989</v>
      </c>
      <c r="F22" s="109">
        <f>IF(' Fietsers '!$S$5=TRUE,' Fietsers '!F35/2,0)</f>
        <v>0</v>
      </c>
      <c r="G22" s="110">
        <f>IF(' Fietsers '!$S$5=TRUE,' Fietsers '!G35/2,0)</f>
        <v>0</v>
      </c>
      <c r="H22" s="118">
        <f>IF(' Fietsers '!$S$5=TRUE,' Fietsers '!H35/2,0)</f>
        <v>0</v>
      </c>
      <c r="I22" s="109">
        <f>IF(' Fietsers '!$S$6=TRUE,' Fietsers '!I35/2,0)</f>
        <v>0</v>
      </c>
      <c r="J22" s="110">
        <f>IF(' Fietsers '!$S$6=TRUE,' Fietsers '!J35/2,0)</f>
        <v>0</v>
      </c>
      <c r="K22" s="118">
        <f>IF(' Fietsers '!$S$6=TRUE,' Fietsers '!K35/2,0)</f>
        <v>0</v>
      </c>
      <c r="L22" s="121">
        <f>IF(' Fietsers '!$S$7=TRUE,' Fietsers '!L35/2,0)</f>
        <v>0</v>
      </c>
      <c r="M22" s="110">
        <f>IF(' Fietsers '!$S$7=TRUE,' Fietsers '!M35/2,0)</f>
        <v>0</v>
      </c>
      <c r="N22" s="118">
        <f>IF(' Fietsers '!$S$7=TRUE,' Fietsers '!N35/2,0)</f>
        <v>0</v>
      </c>
      <c r="O22" s="121">
        <f>IF(' Fietsers '!$S$8=TRUE,' Fietsers '!O35/2,0)</f>
        <v>0</v>
      </c>
      <c r="P22" s="110">
        <f>IF(' Fietsers '!$S$8=TRUE,' Fietsers '!P35/2,0)</f>
        <v>0</v>
      </c>
      <c r="Q22" s="118">
        <f>IF(' Fietsers '!$S$8=TRUE,' Fietsers '!Q35/2,0)</f>
        <v>0</v>
      </c>
      <c r="R22" s="215">
        <f>IF(' Fietsers '!$S$5=FALSE,' Fietsers '!G35,0)</f>
        <v>0</v>
      </c>
      <c r="S22" s="213">
        <f>IF(' Fietsers '!$S$6=FALSE,' Fietsers '!J35,0)</f>
        <v>41</v>
      </c>
      <c r="T22" s="213">
        <f>IF(' Fietsers '!$S$7=FALSE,' Fietsers '!M35,0)</f>
        <v>0</v>
      </c>
      <c r="U22" s="215">
        <f>IF(' Fietsers '!$S$8=FALSE,' Fietsers '!P35,0)</f>
        <v>3</v>
      </c>
      <c r="V22" s="213"/>
      <c r="W22" s="213"/>
      <c r="X22" s="213"/>
      <c r="Y22" s="213"/>
      <c r="Z22" s="151"/>
      <c r="AA22" s="281">
        <f t="shared" si="22"/>
        <v>0</v>
      </c>
      <c r="AB22" s="193" t="b">
        <f>'Stromendiagram periode 2'!BD$6</f>
        <v>1</v>
      </c>
      <c r="AD22" s="251">
        <f t="shared" si="1"/>
        <v>0</v>
      </c>
      <c r="AE22" s="252">
        <f t="shared" si="2"/>
        <v>0</v>
      </c>
      <c r="AF22" s="253">
        <f t="shared" si="3"/>
        <v>0</v>
      </c>
      <c r="AG22" s="254">
        <f t="shared" si="4"/>
        <v>0</v>
      </c>
      <c r="AH22" s="252">
        <f t="shared" si="5"/>
        <v>0</v>
      </c>
      <c r="AI22" s="253">
        <f t="shared" si="6"/>
        <v>0</v>
      </c>
      <c r="AJ22" s="254">
        <f t="shared" si="7"/>
        <v>0</v>
      </c>
      <c r="AK22" s="252">
        <f t="shared" si="8"/>
        <v>0</v>
      </c>
      <c r="AL22" s="253">
        <f t="shared" si="9"/>
        <v>0</v>
      </c>
      <c r="AM22" s="254">
        <f t="shared" si="10"/>
        <v>0</v>
      </c>
      <c r="AN22" s="252">
        <f t="shared" si="11"/>
        <v>0</v>
      </c>
      <c r="AO22" s="253">
        <f t="shared" si="12"/>
        <v>0</v>
      </c>
      <c r="AP22" s="255">
        <f t="shared" si="13"/>
        <v>0</v>
      </c>
      <c r="AQ22" s="255">
        <f t="shared" si="14"/>
        <v>0</v>
      </c>
      <c r="AR22" s="255">
        <f t="shared" si="15"/>
        <v>0</v>
      </c>
      <c r="AS22" s="255">
        <f t="shared" si="16"/>
        <v>0</v>
      </c>
      <c r="AT22" s="255">
        <f t="shared" si="17"/>
        <v>0</v>
      </c>
      <c r="AU22" s="255">
        <f t="shared" si="18"/>
        <v>0</v>
      </c>
      <c r="AV22" s="255">
        <f t="shared" si="19"/>
        <v>0</v>
      </c>
      <c r="AW22" s="255">
        <f t="shared" si="20"/>
        <v>0</v>
      </c>
    </row>
    <row r="23" spans="1:49" ht="16.5" x14ac:dyDescent="0.35">
      <c r="A23" s="961"/>
      <c r="B23" s="33">
        <f>' Fietsers '!A36</f>
        <v>0.68749999999999989</v>
      </c>
      <c r="C23" s="958" t="s">
        <v>23</v>
      </c>
      <c r="D23" s="959"/>
      <c r="E23" s="35">
        <f>' Fietsers '!D36</f>
        <v>0.69791666666666652</v>
      </c>
      <c r="F23" s="109">
        <f>IF(' Fietsers '!$S$5=TRUE,' Fietsers '!F36/2,0)</f>
        <v>0</v>
      </c>
      <c r="G23" s="110">
        <f>IF(' Fietsers '!$S$5=TRUE,' Fietsers '!G36/2,0)</f>
        <v>0</v>
      </c>
      <c r="H23" s="118">
        <f>IF(' Fietsers '!$S$5=TRUE,' Fietsers '!H36/2,0)</f>
        <v>0</v>
      </c>
      <c r="I23" s="109">
        <f>IF(' Fietsers '!$S$6=TRUE,' Fietsers '!I36/2,0)</f>
        <v>0</v>
      </c>
      <c r="J23" s="110">
        <f>IF(' Fietsers '!$S$6=TRUE,' Fietsers '!J36/2,0)</f>
        <v>0</v>
      </c>
      <c r="K23" s="118">
        <f>IF(' Fietsers '!$S$6=TRUE,' Fietsers '!K36/2,0)</f>
        <v>0</v>
      </c>
      <c r="L23" s="121">
        <f>IF(' Fietsers '!$S$7=TRUE,' Fietsers '!L36/2,0)</f>
        <v>0</v>
      </c>
      <c r="M23" s="110">
        <f>IF(' Fietsers '!$S$7=TRUE,' Fietsers '!M36/2,0)</f>
        <v>0</v>
      </c>
      <c r="N23" s="118">
        <f>IF(' Fietsers '!$S$7=TRUE,' Fietsers '!N36/2,0)</f>
        <v>0</v>
      </c>
      <c r="O23" s="121">
        <f>IF(' Fietsers '!$S$8=TRUE,' Fietsers '!O36/2,0)</f>
        <v>0</v>
      </c>
      <c r="P23" s="110">
        <f>IF(' Fietsers '!$S$8=TRUE,' Fietsers '!P36/2,0)</f>
        <v>0</v>
      </c>
      <c r="Q23" s="118">
        <f>IF(' Fietsers '!$S$8=TRUE,' Fietsers '!Q36/2,0)</f>
        <v>0</v>
      </c>
      <c r="R23" s="215">
        <f>IF(' Fietsers '!$S$5=FALSE,' Fietsers '!G36,0)</f>
        <v>0</v>
      </c>
      <c r="S23" s="213">
        <f>IF(' Fietsers '!$S$6=FALSE,' Fietsers '!J36,0)</f>
        <v>40</v>
      </c>
      <c r="T23" s="213">
        <f>IF(' Fietsers '!$S$7=FALSE,' Fietsers '!M36,0)</f>
        <v>0</v>
      </c>
      <c r="U23" s="215">
        <f>IF(' Fietsers '!$S$8=FALSE,' Fietsers '!P36,0)</f>
        <v>14</v>
      </c>
      <c r="V23" s="213"/>
      <c r="W23" s="213"/>
      <c r="X23" s="213"/>
      <c r="Y23" s="213"/>
      <c r="Z23" s="151"/>
      <c r="AA23" s="281">
        <f t="shared" si="22"/>
        <v>0</v>
      </c>
      <c r="AB23" s="193" t="b">
        <f>'Stromendiagram periode 2'!BD$6</f>
        <v>1</v>
      </c>
      <c r="AD23" s="251">
        <f t="shared" si="1"/>
        <v>0</v>
      </c>
      <c r="AE23" s="252">
        <f t="shared" si="2"/>
        <v>0</v>
      </c>
      <c r="AF23" s="253">
        <f t="shared" si="3"/>
        <v>0</v>
      </c>
      <c r="AG23" s="254">
        <f t="shared" si="4"/>
        <v>0</v>
      </c>
      <c r="AH23" s="252">
        <f t="shared" si="5"/>
        <v>0</v>
      </c>
      <c r="AI23" s="253">
        <f t="shared" si="6"/>
        <v>0</v>
      </c>
      <c r="AJ23" s="254">
        <f t="shared" si="7"/>
        <v>0</v>
      </c>
      <c r="AK23" s="252">
        <f t="shared" si="8"/>
        <v>0</v>
      </c>
      <c r="AL23" s="253">
        <f t="shared" si="9"/>
        <v>0</v>
      </c>
      <c r="AM23" s="254">
        <f t="shared" si="10"/>
        <v>0</v>
      </c>
      <c r="AN23" s="252">
        <f t="shared" si="11"/>
        <v>0</v>
      </c>
      <c r="AO23" s="253">
        <f t="shared" si="12"/>
        <v>0</v>
      </c>
      <c r="AP23" s="255">
        <f t="shared" si="13"/>
        <v>0</v>
      </c>
      <c r="AQ23" s="255">
        <f t="shared" si="14"/>
        <v>0</v>
      </c>
      <c r="AR23" s="255">
        <f t="shared" si="15"/>
        <v>0</v>
      </c>
      <c r="AS23" s="255">
        <f t="shared" si="16"/>
        <v>0</v>
      </c>
      <c r="AT23" s="255">
        <f t="shared" si="17"/>
        <v>0</v>
      </c>
      <c r="AU23" s="255">
        <f t="shared" si="18"/>
        <v>0</v>
      </c>
      <c r="AV23" s="255">
        <f t="shared" si="19"/>
        <v>0</v>
      </c>
      <c r="AW23" s="255">
        <f t="shared" si="20"/>
        <v>0</v>
      </c>
    </row>
    <row r="24" spans="1:49" ht="16.5" x14ac:dyDescent="0.35">
      <c r="A24" s="961"/>
      <c r="B24" s="33">
        <f>' Fietsers '!A37</f>
        <v>0.69791666666666652</v>
      </c>
      <c r="C24" s="958" t="s">
        <v>23</v>
      </c>
      <c r="D24" s="959"/>
      <c r="E24" s="35">
        <f>' Fietsers '!D37</f>
        <v>0.70833333333333315</v>
      </c>
      <c r="F24" s="109">
        <f>IF(' Fietsers '!$S$5=TRUE,' Fietsers '!F37/2,0)</f>
        <v>0</v>
      </c>
      <c r="G24" s="110">
        <f>IF(' Fietsers '!$S$5=TRUE,' Fietsers '!G37/2,0)</f>
        <v>0</v>
      </c>
      <c r="H24" s="118">
        <f>IF(' Fietsers '!$S$5=TRUE,' Fietsers '!H37/2,0)</f>
        <v>0</v>
      </c>
      <c r="I24" s="109">
        <f>IF(' Fietsers '!$S$6=TRUE,' Fietsers '!I37/2,0)</f>
        <v>0</v>
      </c>
      <c r="J24" s="110">
        <f>IF(' Fietsers '!$S$6=TRUE,' Fietsers '!J37/2,0)</f>
        <v>0</v>
      </c>
      <c r="K24" s="118">
        <f>IF(' Fietsers '!$S$6=TRUE,' Fietsers '!K37/2,0)</f>
        <v>0</v>
      </c>
      <c r="L24" s="121">
        <f>IF(' Fietsers '!$S$7=TRUE,' Fietsers '!L37/2,0)</f>
        <v>0</v>
      </c>
      <c r="M24" s="110">
        <f>IF(' Fietsers '!$S$7=TRUE,' Fietsers '!M37/2,0)</f>
        <v>0</v>
      </c>
      <c r="N24" s="118">
        <f>IF(' Fietsers '!$S$7=TRUE,' Fietsers '!N37/2,0)</f>
        <v>0</v>
      </c>
      <c r="O24" s="121">
        <f>IF(' Fietsers '!$S$8=TRUE,' Fietsers '!O37/2,0)</f>
        <v>0</v>
      </c>
      <c r="P24" s="110">
        <f>IF(' Fietsers '!$S$8=TRUE,' Fietsers '!P37/2,0)</f>
        <v>0</v>
      </c>
      <c r="Q24" s="118">
        <f>IF(' Fietsers '!$S$8=TRUE,' Fietsers '!Q37/2,0)</f>
        <v>0</v>
      </c>
      <c r="R24" s="215">
        <f>IF(' Fietsers '!$S$5=FALSE,' Fietsers '!G37,0)</f>
        <v>0</v>
      </c>
      <c r="S24" s="213">
        <f>IF(' Fietsers '!$S$6=FALSE,' Fietsers '!J37,0)</f>
        <v>59</v>
      </c>
      <c r="T24" s="213">
        <f>IF(' Fietsers '!$S$7=FALSE,' Fietsers '!M37,0)</f>
        <v>0</v>
      </c>
      <c r="U24" s="215">
        <f>IF(' Fietsers '!$S$8=FALSE,' Fietsers '!P37,0)</f>
        <v>10</v>
      </c>
      <c r="V24" s="213"/>
      <c r="W24" s="213"/>
      <c r="X24" s="213"/>
      <c r="Y24" s="213"/>
      <c r="Z24" s="151"/>
      <c r="AA24" s="281">
        <f t="shared" si="22"/>
        <v>0</v>
      </c>
      <c r="AB24" s="193" t="b">
        <f>'Stromendiagram periode 2'!BD$6</f>
        <v>1</v>
      </c>
      <c r="AD24" s="251">
        <f t="shared" si="1"/>
        <v>0</v>
      </c>
      <c r="AE24" s="252">
        <f t="shared" si="2"/>
        <v>0</v>
      </c>
      <c r="AF24" s="253">
        <f t="shared" si="3"/>
        <v>0</v>
      </c>
      <c r="AG24" s="254">
        <f t="shared" si="4"/>
        <v>0</v>
      </c>
      <c r="AH24" s="252">
        <f t="shared" si="5"/>
        <v>0</v>
      </c>
      <c r="AI24" s="253">
        <f t="shared" si="6"/>
        <v>0</v>
      </c>
      <c r="AJ24" s="254">
        <f t="shared" si="7"/>
        <v>0</v>
      </c>
      <c r="AK24" s="252">
        <f t="shared" si="8"/>
        <v>0</v>
      </c>
      <c r="AL24" s="253">
        <f t="shared" si="9"/>
        <v>0</v>
      </c>
      <c r="AM24" s="254">
        <f t="shared" si="10"/>
        <v>0</v>
      </c>
      <c r="AN24" s="252">
        <f t="shared" si="11"/>
        <v>0</v>
      </c>
      <c r="AO24" s="253">
        <f t="shared" si="12"/>
        <v>0</v>
      </c>
      <c r="AP24" s="255">
        <f t="shared" si="13"/>
        <v>0</v>
      </c>
      <c r="AQ24" s="255">
        <f t="shared" si="14"/>
        <v>0</v>
      </c>
      <c r="AR24" s="255">
        <f t="shared" si="15"/>
        <v>0</v>
      </c>
      <c r="AS24" s="255">
        <f t="shared" si="16"/>
        <v>0</v>
      </c>
      <c r="AT24" s="255">
        <f t="shared" si="17"/>
        <v>0</v>
      </c>
      <c r="AU24" s="255">
        <f t="shared" si="18"/>
        <v>0</v>
      </c>
      <c r="AV24" s="255">
        <f t="shared" si="19"/>
        <v>0</v>
      </c>
      <c r="AW24" s="255">
        <f t="shared" si="20"/>
        <v>0</v>
      </c>
    </row>
    <row r="25" spans="1:49" ht="16.5" x14ac:dyDescent="0.35">
      <c r="A25" s="961"/>
      <c r="B25" s="33">
        <f>' Fietsers '!A38</f>
        <v>0.70833333333333315</v>
      </c>
      <c r="C25" s="958" t="s">
        <v>23</v>
      </c>
      <c r="D25" s="959"/>
      <c r="E25" s="35">
        <f>' Fietsers '!D38</f>
        <v>0.71874999999999978</v>
      </c>
      <c r="F25" s="109">
        <f>IF(' Fietsers '!$S$5=TRUE,' Fietsers '!F38/2,0)</f>
        <v>0</v>
      </c>
      <c r="G25" s="110">
        <f>IF(' Fietsers '!$S$5=TRUE,' Fietsers '!G38/2,0)</f>
        <v>0</v>
      </c>
      <c r="H25" s="118">
        <f>IF(' Fietsers '!$S$5=TRUE,' Fietsers '!H38/2,0)</f>
        <v>0</v>
      </c>
      <c r="I25" s="109">
        <f>IF(' Fietsers '!$S$6=TRUE,' Fietsers '!I38/2,0)</f>
        <v>0</v>
      </c>
      <c r="J25" s="110">
        <f>IF(' Fietsers '!$S$6=TRUE,' Fietsers '!J38/2,0)</f>
        <v>0</v>
      </c>
      <c r="K25" s="118">
        <f>IF(' Fietsers '!$S$6=TRUE,' Fietsers '!K38/2,0)</f>
        <v>0</v>
      </c>
      <c r="L25" s="121">
        <f>IF(' Fietsers '!$S$7=TRUE,' Fietsers '!L38/2,0)</f>
        <v>0</v>
      </c>
      <c r="M25" s="110">
        <f>IF(' Fietsers '!$S$7=TRUE,' Fietsers '!M38/2,0)</f>
        <v>0</v>
      </c>
      <c r="N25" s="118">
        <f>IF(' Fietsers '!$S$7=TRUE,' Fietsers '!N38/2,0)</f>
        <v>0</v>
      </c>
      <c r="O25" s="121">
        <f>IF(' Fietsers '!$S$8=TRUE,' Fietsers '!O38/2,0)</f>
        <v>0</v>
      </c>
      <c r="P25" s="110">
        <f>IF(' Fietsers '!$S$8=TRUE,' Fietsers '!P38/2,0)</f>
        <v>0</v>
      </c>
      <c r="Q25" s="118">
        <f>IF(' Fietsers '!$S$8=TRUE,' Fietsers '!Q38/2,0)</f>
        <v>0</v>
      </c>
      <c r="R25" s="215">
        <f>IF(' Fietsers '!$S$5=FALSE,' Fietsers '!G38,0)</f>
        <v>0</v>
      </c>
      <c r="S25" s="213">
        <f>IF(' Fietsers '!$S$6=FALSE,' Fietsers '!J38,0)</f>
        <v>26</v>
      </c>
      <c r="T25" s="213">
        <f>IF(' Fietsers '!$S$7=FALSE,' Fietsers '!M38,0)</f>
        <v>0</v>
      </c>
      <c r="U25" s="215">
        <f>IF(' Fietsers '!$S$8=FALSE,' Fietsers '!P38,0)</f>
        <v>16</v>
      </c>
      <c r="V25" s="213"/>
      <c r="W25" s="213"/>
      <c r="X25" s="213"/>
      <c r="Y25" s="213"/>
      <c r="Z25" s="151"/>
      <c r="AA25" s="281">
        <f t="shared" si="22"/>
        <v>1</v>
      </c>
      <c r="AB25" s="193" t="b">
        <f>'Stromendiagram periode 2'!BD$6</f>
        <v>1</v>
      </c>
      <c r="AD25" s="251">
        <f t="shared" si="1"/>
        <v>0</v>
      </c>
      <c r="AE25" s="252">
        <f t="shared" si="2"/>
        <v>0</v>
      </c>
      <c r="AF25" s="253">
        <f t="shared" si="3"/>
        <v>0</v>
      </c>
      <c r="AG25" s="254">
        <f t="shared" si="4"/>
        <v>0</v>
      </c>
      <c r="AH25" s="252">
        <f t="shared" si="5"/>
        <v>0</v>
      </c>
      <c r="AI25" s="253">
        <f t="shared" si="6"/>
        <v>0</v>
      </c>
      <c r="AJ25" s="254">
        <f t="shared" si="7"/>
        <v>0</v>
      </c>
      <c r="AK25" s="252">
        <f t="shared" si="8"/>
        <v>0</v>
      </c>
      <c r="AL25" s="253">
        <f t="shared" si="9"/>
        <v>0</v>
      </c>
      <c r="AM25" s="254">
        <f t="shared" si="10"/>
        <v>0</v>
      </c>
      <c r="AN25" s="252">
        <f t="shared" si="11"/>
        <v>0</v>
      </c>
      <c r="AO25" s="253">
        <f t="shared" si="12"/>
        <v>0</v>
      </c>
      <c r="AP25" s="255">
        <f t="shared" si="13"/>
        <v>0</v>
      </c>
      <c r="AQ25" s="255">
        <f t="shared" si="14"/>
        <v>26</v>
      </c>
      <c r="AR25" s="255">
        <f t="shared" si="15"/>
        <v>0</v>
      </c>
      <c r="AS25" s="255">
        <f t="shared" si="16"/>
        <v>16</v>
      </c>
      <c r="AT25" s="255">
        <f t="shared" si="17"/>
        <v>0</v>
      </c>
      <c r="AU25" s="255">
        <f t="shared" si="18"/>
        <v>0</v>
      </c>
      <c r="AV25" s="255">
        <f t="shared" si="19"/>
        <v>0</v>
      </c>
      <c r="AW25" s="255">
        <f t="shared" si="20"/>
        <v>0</v>
      </c>
    </row>
    <row r="26" spans="1:49" ht="16.5" x14ac:dyDescent="0.35">
      <c r="A26" s="961"/>
      <c r="B26" s="33">
        <f>' Fietsers '!A39</f>
        <v>0.71874999999999978</v>
      </c>
      <c r="C26" s="958" t="s">
        <v>23</v>
      </c>
      <c r="D26" s="959"/>
      <c r="E26" s="35">
        <f>' Fietsers '!D39</f>
        <v>0.72916666666666641</v>
      </c>
      <c r="F26" s="109">
        <f>IF(' Fietsers '!$S$5=TRUE,' Fietsers '!F39/2,0)</f>
        <v>0</v>
      </c>
      <c r="G26" s="110">
        <f>IF(' Fietsers '!$S$5=TRUE,' Fietsers '!G39/2,0)</f>
        <v>0</v>
      </c>
      <c r="H26" s="118">
        <f>IF(' Fietsers '!$S$5=TRUE,' Fietsers '!H39/2,0)</f>
        <v>0</v>
      </c>
      <c r="I26" s="109">
        <f>IF(' Fietsers '!$S$6=TRUE,' Fietsers '!I39/2,0)</f>
        <v>0</v>
      </c>
      <c r="J26" s="110">
        <f>IF(' Fietsers '!$S$6=TRUE,' Fietsers '!J39/2,0)</f>
        <v>0</v>
      </c>
      <c r="K26" s="118">
        <f>IF(' Fietsers '!$S$6=TRUE,' Fietsers '!K39/2,0)</f>
        <v>0</v>
      </c>
      <c r="L26" s="121">
        <f>IF(' Fietsers '!$S$7=TRUE,' Fietsers '!L39/2,0)</f>
        <v>0</v>
      </c>
      <c r="M26" s="110">
        <f>IF(' Fietsers '!$S$7=TRUE,' Fietsers '!M39/2,0)</f>
        <v>0</v>
      </c>
      <c r="N26" s="118">
        <f>IF(' Fietsers '!$S$7=TRUE,' Fietsers '!N39/2,0)</f>
        <v>0</v>
      </c>
      <c r="O26" s="121">
        <f>IF(' Fietsers '!$S$8=TRUE,' Fietsers '!O39/2,0)</f>
        <v>0</v>
      </c>
      <c r="P26" s="110">
        <f>IF(' Fietsers '!$S$8=TRUE,' Fietsers '!P39/2,0)</f>
        <v>0</v>
      </c>
      <c r="Q26" s="118">
        <f>IF(' Fietsers '!$S$8=TRUE,' Fietsers '!Q39/2,0)</f>
        <v>0</v>
      </c>
      <c r="R26" s="215">
        <f>IF(' Fietsers '!$S$5=FALSE,' Fietsers '!G39,0)</f>
        <v>0</v>
      </c>
      <c r="S26" s="213">
        <f>IF(' Fietsers '!$S$6=FALSE,' Fietsers '!J39,0)</f>
        <v>42</v>
      </c>
      <c r="T26" s="213">
        <f>IF(' Fietsers '!$S$7=FALSE,' Fietsers '!M39,0)</f>
        <v>0</v>
      </c>
      <c r="U26" s="215">
        <f>IF(' Fietsers '!$S$8=FALSE,' Fietsers '!P39,0)</f>
        <v>12</v>
      </c>
      <c r="V26" s="213"/>
      <c r="W26" s="213"/>
      <c r="X26" s="213"/>
      <c r="Y26" s="213"/>
      <c r="Z26" s="151"/>
      <c r="AA26" s="281">
        <f t="shared" si="22"/>
        <v>1</v>
      </c>
      <c r="AB26" s="193" t="b">
        <f>'Stromendiagram periode 2'!BD$6</f>
        <v>1</v>
      </c>
      <c r="AD26" s="251">
        <f t="shared" si="1"/>
        <v>0</v>
      </c>
      <c r="AE26" s="252">
        <f t="shared" si="2"/>
        <v>0</v>
      </c>
      <c r="AF26" s="253">
        <f t="shared" si="3"/>
        <v>0</v>
      </c>
      <c r="AG26" s="254">
        <f t="shared" si="4"/>
        <v>0</v>
      </c>
      <c r="AH26" s="252">
        <f t="shared" si="5"/>
        <v>0</v>
      </c>
      <c r="AI26" s="253">
        <f t="shared" si="6"/>
        <v>0</v>
      </c>
      <c r="AJ26" s="254">
        <f t="shared" si="7"/>
        <v>0</v>
      </c>
      <c r="AK26" s="252">
        <f t="shared" si="8"/>
        <v>0</v>
      </c>
      <c r="AL26" s="253">
        <f t="shared" si="9"/>
        <v>0</v>
      </c>
      <c r="AM26" s="254">
        <f t="shared" si="10"/>
        <v>0</v>
      </c>
      <c r="AN26" s="252">
        <f t="shared" si="11"/>
        <v>0</v>
      </c>
      <c r="AO26" s="253">
        <f t="shared" si="12"/>
        <v>0</v>
      </c>
      <c r="AP26" s="255">
        <f t="shared" si="13"/>
        <v>0</v>
      </c>
      <c r="AQ26" s="255">
        <f t="shared" si="14"/>
        <v>42</v>
      </c>
      <c r="AR26" s="255">
        <f t="shared" si="15"/>
        <v>0</v>
      </c>
      <c r="AS26" s="255">
        <f t="shared" si="16"/>
        <v>12</v>
      </c>
      <c r="AT26" s="255">
        <f t="shared" si="17"/>
        <v>0</v>
      </c>
      <c r="AU26" s="255">
        <f t="shared" si="18"/>
        <v>0</v>
      </c>
      <c r="AV26" s="255">
        <f t="shared" si="19"/>
        <v>0</v>
      </c>
      <c r="AW26" s="255">
        <f t="shared" si="20"/>
        <v>0</v>
      </c>
    </row>
    <row r="27" spans="1:49" ht="16.5" x14ac:dyDescent="0.35">
      <c r="A27" s="961"/>
      <c r="B27" s="33">
        <f>' Fietsers '!A40</f>
        <v>0.72916666666666641</v>
      </c>
      <c r="C27" s="958" t="s">
        <v>23</v>
      </c>
      <c r="D27" s="959"/>
      <c r="E27" s="35">
        <f>' Fietsers '!D40</f>
        <v>0.73958333333333304</v>
      </c>
      <c r="F27" s="109">
        <f>IF(' Fietsers '!$S$5=TRUE,' Fietsers '!F40/2,0)</f>
        <v>0</v>
      </c>
      <c r="G27" s="110">
        <f>IF(' Fietsers '!$S$5=TRUE,' Fietsers '!G40/2,0)</f>
        <v>0</v>
      </c>
      <c r="H27" s="118">
        <f>IF(' Fietsers '!$S$5=TRUE,' Fietsers '!H40/2,0)</f>
        <v>0</v>
      </c>
      <c r="I27" s="109">
        <f>IF(' Fietsers '!$S$6=TRUE,' Fietsers '!I40/2,0)</f>
        <v>0</v>
      </c>
      <c r="J27" s="110">
        <f>IF(' Fietsers '!$S$6=TRUE,' Fietsers '!J40/2,0)</f>
        <v>0</v>
      </c>
      <c r="K27" s="118">
        <f>IF(' Fietsers '!$S$6=TRUE,' Fietsers '!K40/2,0)</f>
        <v>0</v>
      </c>
      <c r="L27" s="121">
        <f>IF(' Fietsers '!$S$7=TRUE,' Fietsers '!L40/2,0)</f>
        <v>0</v>
      </c>
      <c r="M27" s="110">
        <f>IF(' Fietsers '!$S$7=TRUE,' Fietsers '!M40/2,0)</f>
        <v>0</v>
      </c>
      <c r="N27" s="118">
        <f>IF(' Fietsers '!$S$7=TRUE,' Fietsers '!N40/2,0)</f>
        <v>0</v>
      </c>
      <c r="O27" s="121">
        <f>IF(' Fietsers '!$S$8=TRUE,' Fietsers '!O40/2,0)</f>
        <v>0</v>
      </c>
      <c r="P27" s="110">
        <f>IF(' Fietsers '!$S$8=TRUE,' Fietsers '!P40/2,0)</f>
        <v>0</v>
      </c>
      <c r="Q27" s="118">
        <f>IF(' Fietsers '!$S$8=TRUE,' Fietsers '!Q40/2,0)</f>
        <v>0</v>
      </c>
      <c r="R27" s="215">
        <f>IF(' Fietsers '!$S$5=FALSE,' Fietsers '!G40,0)</f>
        <v>0</v>
      </c>
      <c r="S27" s="213">
        <f>IF(' Fietsers '!$S$6=FALSE,' Fietsers '!J40,0)</f>
        <v>46</v>
      </c>
      <c r="T27" s="213">
        <f>IF(' Fietsers '!$S$7=FALSE,' Fietsers '!M40,0)</f>
        <v>0</v>
      </c>
      <c r="U27" s="215">
        <f>IF(' Fietsers '!$S$8=FALSE,' Fietsers '!P40,0)</f>
        <v>8</v>
      </c>
      <c r="V27" s="213"/>
      <c r="W27" s="213"/>
      <c r="X27" s="213"/>
      <c r="Y27" s="213"/>
      <c r="Z27" s="151"/>
      <c r="AA27" s="281">
        <f t="shared" si="22"/>
        <v>1</v>
      </c>
      <c r="AB27" s="193" t="b">
        <f>'Stromendiagram periode 2'!BD$6</f>
        <v>1</v>
      </c>
      <c r="AD27" s="251">
        <f t="shared" si="1"/>
        <v>0</v>
      </c>
      <c r="AE27" s="252">
        <f t="shared" si="2"/>
        <v>0</v>
      </c>
      <c r="AF27" s="253">
        <f t="shared" si="3"/>
        <v>0</v>
      </c>
      <c r="AG27" s="254">
        <f t="shared" si="4"/>
        <v>0</v>
      </c>
      <c r="AH27" s="252">
        <f t="shared" si="5"/>
        <v>0</v>
      </c>
      <c r="AI27" s="253">
        <f t="shared" si="6"/>
        <v>0</v>
      </c>
      <c r="AJ27" s="254">
        <f t="shared" si="7"/>
        <v>0</v>
      </c>
      <c r="AK27" s="252">
        <f t="shared" si="8"/>
        <v>0</v>
      </c>
      <c r="AL27" s="253">
        <f t="shared" si="9"/>
        <v>0</v>
      </c>
      <c r="AM27" s="254">
        <f t="shared" si="10"/>
        <v>0</v>
      </c>
      <c r="AN27" s="252">
        <f t="shared" si="11"/>
        <v>0</v>
      </c>
      <c r="AO27" s="253">
        <f t="shared" si="12"/>
        <v>0</v>
      </c>
      <c r="AP27" s="255">
        <f t="shared" si="13"/>
        <v>0</v>
      </c>
      <c r="AQ27" s="255">
        <f t="shared" si="14"/>
        <v>46</v>
      </c>
      <c r="AR27" s="255">
        <f t="shared" si="15"/>
        <v>0</v>
      </c>
      <c r="AS27" s="255">
        <f t="shared" si="16"/>
        <v>8</v>
      </c>
      <c r="AT27" s="255">
        <f t="shared" si="17"/>
        <v>0</v>
      </c>
      <c r="AU27" s="255">
        <f t="shared" si="18"/>
        <v>0</v>
      </c>
      <c r="AV27" s="255">
        <f t="shared" si="19"/>
        <v>0</v>
      </c>
      <c r="AW27" s="255">
        <f t="shared" si="20"/>
        <v>0</v>
      </c>
    </row>
    <row r="28" spans="1:49" ht="17.25" thickBot="1" x14ac:dyDescent="0.4">
      <c r="A28" s="962"/>
      <c r="B28" s="34">
        <f>' Fietsers '!A41</f>
        <v>0.73958333333333304</v>
      </c>
      <c r="C28" s="969" t="s">
        <v>23</v>
      </c>
      <c r="D28" s="970"/>
      <c r="E28" s="35">
        <f>' Fietsers '!D41</f>
        <v>0.74999999999999967</v>
      </c>
      <c r="F28" s="112">
        <f>IF(' Fietsers '!$S$5=TRUE,' Fietsers '!F41/2,0)</f>
        <v>0</v>
      </c>
      <c r="G28" s="113">
        <f>IF(' Fietsers '!$S$5=TRUE,' Fietsers '!G41/2,0)</f>
        <v>0</v>
      </c>
      <c r="H28" s="119">
        <f>IF(' Fietsers '!$S$5=TRUE,' Fietsers '!H41/2,0)</f>
        <v>0</v>
      </c>
      <c r="I28" s="112">
        <f>IF(' Fietsers '!$S$6=TRUE,' Fietsers '!I41/2,0)</f>
        <v>0</v>
      </c>
      <c r="J28" s="113">
        <f>IF(' Fietsers '!$S$6=TRUE,' Fietsers '!J41/2,0)</f>
        <v>0</v>
      </c>
      <c r="K28" s="119">
        <f>IF(' Fietsers '!$S$6=TRUE,' Fietsers '!K41/2,0)</f>
        <v>0</v>
      </c>
      <c r="L28" s="291">
        <f>IF(' Fietsers '!$S$7=TRUE,' Fietsers '!L41/2,0)</f>
        <v>0</v>
      </c>
      <c r="M28" s="113">
        <f>IF(' Fietsers '!$S$7=TRUE,' Fietsers '!M41/2,0)</f>
        <v>0</v>
      </c>
      <c r="N28" s="119">
        <f>IF(' Fietsers '!$S$7=TRUE,' Fietsers '!N41/2,0)</f>
        <v>0</v>
      </c>
      <c r="O28" s="291">
        <f>IF(' Fietsers '!$S$8=TRUE,' Fietsers '!O41/2,0)</f>
        <v>0</v>
      </c>
      <c r="P28" s="113">
        <f>IF(' Fietsers '!$S$8=TRUE,' Fietsers '!P41/2,0)</f>
        <v>0</v>
      </c>
      <c r="Q28" s="119">
        <f>IF(' Fietsers '!$S$8=TRUE,' Fietsers '!Q41/2,0)</f>
        <v>0</v>
      </c>
      <c r="R28" s="214">
        <f>IF(' Fietsers '!$S$5=FALSE,' Fietsers '!G41,0)</f>
        <v>0</v>
      </c>
      <c r="S28" s="214">
        <f>IF(' Fietsers '!$S$6=FALSE,' Fietsers '!J41,0)</f>
        <v>29</v>
      </c>
      <c r="T28" s="214">
        <f>IF(' Fietsers '!$S$7=FALSE,' Fietsers '!M41,0)</f>
        <v>0</v>
      </c>
      <c r="U28" s="294">
        <f>IF(' Fietsers '!$S$8=FALSE,' Fietsers '!P41,0)</f>
        <v>10</v>
      </c>
      <c r="V28" s="214"/>
      <c r="W28" s="214"/>
      <c r="X28" s="214"/>
      <c r="Y28" s="214"/>
      <c r="Z28" s="151"/>
      <c r="AA28" s="140">
        <f t="shared" si="22"/>
        <v>1</v>
      </c>
      <c r="AB28" s="194" t="b">
        <f>'Stromendiagram periode 2'!BD$6</f>
        <v>1</v>
      </c>
      <c r="AD28" s="256">
        <f t="shared" si="1"/>
        <v>0</v>
      </c>
      <c r="AE28" s="257">
        <f t="shared" si="2"/>
        <v>0</v>
      </c>
      <c r="AF28" s="258">
        <f t="shared" si="3"/>
        <v>0</v>
      </c>
      <c r="AG28" s="259">
        <f t="shared" si="4"/>
        <v>0</v>
      </c>
      <c r="AH28" s="257">
        <f t="shared" si="5"/>
        <v>0</v>
      </c>
      <c r="AI28" s="258">
        <f t="shared" si="6"/>
        <v>0</v>
      </c>
      <c r="AJ28" s="259">
        <f t="shared" si="7"/>
        <v>0</v>
      </c>
      <c r="AK28" s="257">
        <f t="shared" si="8"/>
        <v>0</v>
      </c>
      <c r="AL28" s="258">
        <f t="shared" si="9"/>
        <v>0</v>
      </c>
      <c r="AM28" s="259">
        <f t="shared" si="10"/>
        <v>0</v>
      </c>
      <c r="AN28" s="257">
        <f t="shared" si="11"/>
        <v>0</v>
      </c>
      <c r="AO28" s="258">
        <f t="shared" si="12"/>
        <v>0</v>
      </c>
      <c r="AP28" s="260">
        <f t="shared" si="13"/>
        <v>0</v>
      </c>
      <c r="AQ28" s="260">
        <f t="shared" si="14"/>
        <v>29</v>
      </c>
      <c r="AR28" s="260">
        <f t="shared" si="15"/>
        <v>0</v>
      </c>
      <c r="AS28" s="260">
        <f t="shared" si="16"/>
        <v>10</v>
      </c>
      <c r="AT28" s="260">
        <f t="shared" si="17"/>
        <v>0</v>
      </c>
      <c r="AU28" s="260">
        <f t="shared" si="18"/>
        <v>0</v>
      </c>
      <c r="AV28" s="260">
        <f t="shared" si="19"/>
        <v>0</v>
      </c>
      <c r="AW28" s="260">
        <f t="shared" si="20"/>
        <v>0</v>
      </c>
    </row>
    <row r="29" spans="1:49" ht="16.5" x14ac:dyDescent="0.35">
      <c r="A29" s="960" t="s">
        <v>46</v>
      </c>
      <c r="B29" s="284">
        <f>Voetgangers!A32</f>
        <v>0.66666666666666663</v>
      </c>
      <c r="C29" s="956" t="s">
        <v>23</v>
      </c>
      <c r="D29" s="957"/>
      <c r="E29" s="287">
        <f>Voetgangers!D32</f>
        <v>0.67708333333333326</v>
      </c>
      <c r="F29" s="204"/>
      <c r="G29" s="205"/>
      <c r="H29" s="206"/>
      <c r="I29" s="204"/>
      <c r="J29" s="205"/>
      <c r="K29" s="206"/>
      <c r="L29" s="204"/>
      <c r="M29" s="205"/>
      <c r="N29" s="206"/>
      <c r="O29" s="204"/>
      <c r="P29" s="205"/>
      <c r="Q29" s="206"/>
      <c r="R29" s="219"/>
      <c r="S29" s="219"/>
      <c r="T29" s="219"/>
      <c r="U29" s="219"/>
      <c r="V29" s="163">
        <f>Voetgangers!G32</f>
        <v>0</v>
      </c>
      <c r="W29" s="163">
        <f>Voetgangers!J32</f>
        <v>0</v>
      </c>
      <c r="X29" s="163">
        <f>Voetgangers!M32</f>
        <v>0</v>
      </c>
      <c r="Y29" s="163">
        <f>Voetgangers!P32</f>
        <v>0</v>
      </c>
      <c r="Z29" s="151"/>
      <c r="AA29" s="281">
        <f t="shared" ref="AA29:AA36" si="23">AA39</f>
        <v>0</v>
      </c>
      <c r="AB29" s="193" t="b">
        <f>'Stromendiagram periode 2'!BD$8</f>
        <v>1</v>
      </c>
      <c r="AD29" s="220">
        <f t="shared" si="1"/>
        <v>0</v>
      </c>
      <c r="AE29" s="261">
        <f t="shared" si="2"/>
        <v>0</v>
      </c>
      <c r="AF29" s="262">
        <f t="shared" si="3"/>
        <v>0</v>
      </c>
      <c r="AG29" s="263">
        <f t="shared" si="4"/>
        <v>0</v>
      </c>
      <c r="AH29" s="261">
        <f t="shared" si="5"/>
        <v>0</v>
      </c>
      <c r="AI29" s="262">
        <f t="shared" si="6"/>
        <v>0</v>
      </c>
      <c r="AJ29" s="263">
        <f t="shared" si="7"/>
        <v>0</v>
      </c>
      <c r="AK29" s="261">
        <f t="shared" si="8"/>
        <v>0</v>
      </c>
      <c r="AL29" s="262">
        <f t="shared" si="9"/>
        <v>0</v>
      </c>
      <c r="AM29" s="263">
        <f t="shared" si="10"/>
        <v>0</v>
      </c>
      <c r="AN29" s="261">
        <f t="shared" si="11"/>
        <v>0</v>
      </c>
      <c r="AO29" s="262">
        <f t="shared" si="12"/>
        <v>0</v>
      </c>
      <c r="AP29" s="264">
        <f t="shared" si="13"/>
        <v>0</v>
      </c>
      <c r="AQ29" s="264">
        <f t="shared" si="14"/>
        <v>0</v>
      </c>
      <c r="AR29" s="264">
        <f t="shared" si="15"/>
        <v>0</v>
      </c>
      <c r="AS29" s="264">
        <f t="shared" si="16"/>
        <v>0</v>
      </c>
      <c r="AT29" s="264">
        <f t="shared" si="17"/>
        <v>0</v>
      </c>
      <c r="AU29" s="264">
        <f t="shared" si="18"/>
        <v>0</v>
      </c>
      <c r="AV29" s="264">
        <f t="shared" si="19"/>
        <v>0</v>
      </c>
      <c r="AW29" s="264">
        <f t="shared" si="20"/>
        <v>0</v>
      </c>
    </row>
    <row r="30" spans="1:49" ht="16.5" x14ac:dyDescent="0.35">
      <c r="A30" s="961"/>
      <c r="B30" s="285">
        <f>Voetgangers!A33</f>
        <v>0.67708333333333326</v>
      </c>
      <c r="C30" s="958" t="s">
        <v>23</v>
      </c>
      <c r="D30" s="959"/>
      <c r="E30" s="288">
        <f>Voetgangers!D33</f>
        <v>0.68749999999999989</v>
      </c>
      <c r="F30" s="207"/>
      <c r="G30" s="208"/>
      <c r="H30" s="209"/>
      <c r="I30" s="207"/>
      <c r="J30" s="208"/>
      <c r="K30" s="209"/>
      <c r="L30" s="207"/>
      <c r="M30" s="208"/>
      <c r="N30" s="209"/>
      <c r="O30" s="207"/>
      <c r="P30" s="208"/>
      <c r="Q30" s="209"/>
      <c r="R30" s="217"/>
      <c r="S30" s="217"/>
      <c r="T30" s="217"/>
      <c r="U30" s="217"/>
      <c r="V30" s="213">
        <f>Voetgangers!G33</f>
        <v>1</v>
      </c>
      <c r="W30" s="213">
        <f>Voetgangers!J33</f>
        <v>0</v>
      </c>
      <c r="X30" s="213">
        <f>Voetgangers!M33</f>
        <v>8</v>
      </c>
      <c r="Y30" s="213">
        <f>Voetgangers!P33</f>
        <v>0</v>
      </c>
      <c r="Z30" s="151"/>
      <c r="AA30" s="281">
        <f t="shared" si="23"/>
        <v>0</v>
      </c>
      <c r="AB30" s="193" t="b">
        <f>'Stromendiagram periode 2'!BD$8</f>
        <v>1</v>
      </c>
      <c r="AD30" s="251">
        <f t="shared" si="1"/>
        <v>0</v>
      </c>
      <c r="AE30" s="252">
        <f t="shared" si="2"/>
        <v>0</v>
      </c>
      <c r="AF30" s="253">
        <f t="shared" si="3"/>
        <v>0</v>
      </c>
      <c r="AG30" s="254">
        <f t="shared" si="4"/>
        <v>0</v>
      </c>
      <c r="AH30" s="252">
        <f t="shared" si="5"/>
        <v>0</v>
      </c>
      <c r="AI30" s="253">
        <f t="shared" si="6"/>
        <v>0</v>
      </c>
      <c r="AJ30" s="254">
        <f t="shared" si="7"/>
        <v>0</v>
      </c>
      <c r="AK30" s="252">
        <f t="shared" si="8"/>
        <v>0</v>
      </c>
      <c r="AL30" s="253">
        <f t="shared" si="9"/>
        <v>0</v>
      </c>
      <c r="AM30" s="254">
        <f t="shared" si="10"/>
        <v>0</v>
      </c>
      <c r="AN30" s="252">
        <f t="shared" si="11"/>
        <v>0</v>
      </c>
      <c r="AO30" s="253">
        <f t="shared" si="12"/>
        <v>0</v>
      </c>
      <c r="AP30" s="255">
        <f t="shared" si="13"/>
        <v>0</v>
      </c>
      <c r="AQ30" s="255">
        <f t="shared" si="14"/>
        <v>0</v>
      </c>
      <c r="AR30" s="255">
        <f t="shared" si="15"/>
        <v>0</v>
      </c>
      <c r="AS30" s="255">
        <f t="shared" si="16"/>
        <v>0</v>
      </c>
      <c r="AT30" s="255">
        <f t="shared" si="17"/>
        <v>0</v>
      </c>
      <c r="AU30" s="255">
        <f t="shared" si="18"/>
        <v>0</v>
      </c>
      <c r="AV30" s="255">
        <f t="shared" si="19"/>
        <v>0</v>
      </c>
      <c r="AW30" s="255">
        <f t="shared" si="20"/>
        <v>0</v>
      </c>
    </row>
    <row r="31" spans="1:49" ht="16.5" x14ac:dyDescent="0.35">
      <c r="A31" s="961"/>
      <c r="B31" s="285">
        <f>Voetgangers!A34</f>
        <v>0.68749999999999989</v>
      </c>
      <c r="C31" s="958" t="s">
        <v>23</v>
      </c>
      <c r="D31" s="959"/>
      <c r="E31" s="288">
        <f>Voetgangers!D34</f>
        <v>0.69791666666666652</v>
      </c>
      <c r="F31" s="207"/>
      <c r="G31" s="208"/>
      <c r="H31" s="209"/>
      <c r="I31" s="207"/>
      <c r="J31" s="208"/>
      <c r="K31" s="209"/>
      <c r="L31" s="207"/>
      <c r="M31" s="208"/>
      <c r="N31" s="209"/>
      <c r="O31" s="207"/>
      <c r="P31" s="208"/>
      <c r="Q31" s="209"/>
      <c r="R31" s="217"/>
      <c r="S31" s="217"/>
      <c r="T31" s="217"/>
      <c r="U31" s="217"/>
      <c r="V31" s="213">
        <f>Voetgangers!G34</f>
        <v>2</v>
      </c>
      <c r="W31" s="213">
        <f>Voetgangers!J34</f>
        <v>0</v>
      </c>
      <c r="X31" s="213">
        <f>Voetgangers!M34</f>
        <v>1</v>
      </c>
      <c r="Y31" s="213">
        <f>Voetgangers!P34</f>
        <v>0</v>
      </c>
      <c r="Z31" s="151"/>
      <c r="AA31" s="281">
        <f t="shared" si="23"/>
        <v>0</v>
      </c>
      <c r="AB31" s="193" t="b">
        <f>'Stromendiagram periode 2'!BD$8</f>
        <v>1</v>
      </c>
      <c r="AD31" s="251">
        <f t="shared" si="1"/>
        <v>0</v>
      </c>
      <c r="AE31" s="252">
        <f t="shared" si="2"/>
        <v>0</v>
      </c>
      <c r="AF31" s="253">
        <f t="shared" si="3"/>
        <v>0</v>
      </c>
      <c r="AG31" s="254">
        <f t="shared" si="4"/>
        <v>0</v>
      </c>
      <c r="AH31" s="252">
        <f t="shared" si="5"/>
        <v>0</v>
      </c>
      <c r="AI31" s="253">
        <f t="shared" si="6"/>
        <v>0</v>
      </c>
      <c r="AJ31" s="254">
        <f t="shared" si="7"/>
        <v>0</v>
      </c>
      <c r="AK31" s="252">
        <f t="shared" si="8"/>
        <v>0</v>
      </c>
      <c r="AL31" s="253">
        <f t="shared" si="9"/>
        <v>0</v>
      </c>
      <c r="AM31" s="254">
        <f t="shared" si="10"/>
        <v>0</v>
      </c>
      <c r="AN31" s="252">
        <f t="shared" si="11"/>
        <v>0</v>
      </c>
      <c r="AO31" s="253">
        <f t="shared" si="12"/>
        <v>0</v>
      </c>
      <c r="AP31" s="255">
        <f t="shared" si="13"/>
        <v>0</v>
      </c>
      <c r="AQ31" s="255">
        <f t="shared" si="14"/>
        <v>0</v>
      </c>
      <c r="AR31" s="255">
        <f t="shared" si="15"/>
        <v>0</v>
      </c>
      <c r="AS31" s="255">
        <f t="shared" si="16"/>
        <v>0</v>
      </c>
      <c r="AT31" s="255">
        <f t="shared" si="17"/>
        <v>0</v>
      </c>
      <c r="AU31" s="255">
        <f t="shared" si="18"/>
        <v>0</v>
      </c>
      <c r="AV31" s="255">
        <f t="shared" si="19"/>
        <v>0</v>
      </c>
      <c r="AW31" s="255">
        <f t="shared" si="20"/>
        <v>0</v>
      </c>
    </row>
    <row r="32" spans="1:49" ht="16.5" x14ac:dyDescent="0.35">
      <c r="A32" s="961"/>
      <c r="B32" s="285">
        <f>Voetgangers!A35</f>
        <v>0.69791666666666652</v>
      </c>
      <c r="C32" s="958" t="s">
        <v>23</v>
      </c>
      <c r="D32" s="959"/>
      <c r="E32" s="288">
        <f>Voetgangers!D35</f>
        <v>0.70833333333333315</v>
      </c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9"/>
      <c r="R32" s="217"/>
      <c r="S32" s="217"/>
      <c r="T32" s="217"/>
      <c r="U32" s="217"/>
      <c r="V32" s="213">
        <f>Voetgangers!G35</f>
        <v>1</v>
      </c>
      <c r="W32" s="213">
        <f>Voetgangers!J35</f>
        <v>0</v>
      </c>
      <c r="X32" s="213">
        <f>Voetgangers!M35</f>
        <v>1</v>
      </c>
      <c r="Y32" s="213">
        <f>Voetgangers!P35</f>
        <v>0</v>
      </c>
      <c r="Z32" s="151"/>
      <c r="AA32" s="281">
        <f t="shared" si="23"/>
        <v>0</v>
      </c>
      <c r="AB32" s="193" t="b">
        <f>'Stromendiagram periode 2'!BD$8</f>
        <v>1</v>
      </c>
      <c r="AD32" s="251">
        <f t="shared" si="1"/>
        <v>0</v>
      </c>
      <c r="AE32" s="252">
        <f t="shared" si="2"/>
        <v>0</v>
      </c>
      <c r="AF32" s="253">
        <f t="shared" si="3"/>
        <v>0</v>
      </c>
      <c r="AG32" s="254">
        <f t="shared" si="4"/>
        <v>0</v>
      </c>
      <c r="AH32" s="252">
        <f t="shared" si="5"/>
        <v>0</v>
      </c>
      <c r="AI32" s="253">
        <f t="shared" si="6"/>
        <v>0</v>
      </c>
      <c r="AJ32" s="254">
        <f t="shared" si="7"/>
        <v>0</v>
      </c>
      <c r="AK32" s="252">
        <f t="shared" si="8"/>
        <v>0</v>
      </c>
      <c r="AL32" s="253">
        <f t="shared" si="9"/>
        <v>0</v>
      </c>
      <c r="AM32" s="254">
        <f t="shared" si="10"/>
        <v>0</v>
      </c>
      <c r="AN32" s="252">
        <f t="shared" si="11"/>
        <v>0</v>
      </c>
      <c r="AO32" s="253">
        <f t="shared" si="12"/>
        <v>0</v>
      </c>
      <c r="AP32" s="255">
        <f t="shared" si="13"/>
        <v>0</v>
      </c>
      <c r="AQ32" s="255">
        <f t="shared" si="14"/>
        <v>0</v>
      </c>
      <c r="AR32" s="255">
        <f t="shared" si="15"/>
        <v>0</v>
      </c>
      <c r="AS32" s="255">
        <f t="shared" si="16"/>
        <v>0</v>
      </c>
      <c r="AT32" s="255">
        <f t="shared" si="17"/>
        <v>0</v>
      </c>
      <c r="AU32" s="255">
        <f t="shared" si="18"/>
        <v>0</v>
      </c>
      <c r="AV32" s="255">
        <f t="shared" si="19"/>
        <v>0</v>
      </c>
      <c r="AW32" s="255">
        <f t="shared" si="20"/>
        <v>0</v>
      </c>
    </row>
    <row r="33" spans="1:49" ht="16.5" x14ac:dyDescent="0.35">
      <c r="A33" s="961"/>
      <c r="B33" s="285">
        <f>Voetgangers!A36</f>
        <v>0.70833333333333315</v>
      </c>
      <c r="C33" s="958" t="s">
        <v>23</v>
      </c>
      <c r="D33" s="959"/>
      <c r="E33" s="288">
        <f>Voetgangers!D36</f>
        <v>0.71874999999999978</v>
      </c>
      <c r="F33" s="207"/>
      <c r="G33" s="208"/>
      <c r="H33" s="209"/>
      <c r="I33" s="207"/>
      <c r="J33" s="208"/>
      <c r="K33" s="209"/>
      <c r="L33" s="207"/>
      <c r="M33" s="208"/>
      <c r="N33" s="209"/>
      <c r="O33" s="207"/>
      <c r="P33" s="208"/>
      <c r="Q33" s="209"/>
      <c r="R33" s="217"/>
      <c r="S33" s="217"/>
      <c r="T33" s="217"/>
      <c r="U33" s="217"/>
      <c r="V33" s="213">
        <f>Voetgangers!G36</f>
        <v>2</v>
      </c>
      <c r="W33" s="213">
        <f>Voetgangers!J36</f>
        <v>0</v>
      </c>
      <c r="X33" s="213">
        <f>Voetgangers!M36</f>
        <v>0</v>
      </c>
      <c r="Y33" s="213">
        <f>Voetgangers!P36</f>
        <v>0</v>
      </c>
      <c r="Z33" s="151"/>
      <c r="AA33" s="281">
        <f t="shared" si="23"/>
        <v>1</v>
      </c>
      <c r="AB33" s="193" t="b">
        <f>'Stromendiagram periode 2'!BD$8</f>
        <v>1</v>
      </c>
      <c r="AD33" s="251">
        <f t="shared" si="1"/>
        <v>0</v>
      </c>
      <c r="AE33" s="252">
        <f t="shared" si="2"/>
        <v>0</v>
      </c>
      <c r="AF33" s="253">
        <f t="shared" si="3"/>
        <v>0</v>
      </c>
      <c r="AG33" s="254">
        <f t="shared" si="4"/>
        <v>0</v>
      </c>
      <c r="AH33" s="252">
        <f t="shared" si="5"/>
        <v>0</v>
      </c>
      <c r="AI33" s="253">
        <f t="shared" si="6"/>
        <v>0</v>
      </c>
      <c r="AJ33" s="254">
        <f t="shared" si="7"/>
        <v>0</v>
      </c>
      <c r="AK33" s="252">
        <f t="shared" si="8"/>
        <v>0</v>
      </c>
      <c r="AL33" s="253">
        <f t="shared" si="9"/>
        <v>0</v>
      </c>
      <c r="AM33" s="254">
        <f t="shared" si="10"/>
        <v>0</v>
      </c>
      <c r="AN33" s="252">
        <f t="shared" si="11"/>
        <v>0</v>
      </c>
      <c r="AO33" s="253">
        <f t="shared" si="12"/>
        <v>0</v>
      </c>
      <c r="AP33" s="255">
        <f t="shared" si="13"/>
        <v>0</v>
      </c>
      <c r="AQ33" s="255">
        <f t="shared" si="14"/>
        <v>0</v>
      </c>
      <c r="AR33" s="255">
        <f t="shared" si="15"/>
        <v>0</v>
      </c>
      <c r="AS33" s="255">
        <f t="shared" si="16"/>
        <v>0</v>
      </c>
      <c r="AT33" s="255">
        <f t="shared" si="17"/>
        <v>2</v>
      </c>
      <c r="AU33" s="255">
        <f t="shared" si="18"/>
        <v>0</v>
      </c>
      <c r="AV33" s="255">
        <f t="shared" si="19"/>
        <v>0</v>
      </c>
      <c r="AW33" s="255">
        <f t="shared" si="20"/>
        <v>0</v>
      </c>
    </row>
    <row r="34" spans="1:49" ht="16.5" x14ac:dyDescent="0.35">
      <c r="A34" s="961"/>
      <c r="B34" s="285">
        <f>Voetgangers!A37</f>
        <v>0.71874999999999978</v>
      </c>
      <c r="C34" s="958" t="s">
        <v>23</v>
      </c>
      <c r="D34" s="959"/>
      <c r="E34" s="288">
        <f>Voetgangers!D37</f>
        <v>0.72916666666666641</v>
      </c>
      <c r="F34" s="207"/>
      <c r="G34" s="208"/>
      <c r="H34" s="209"/>
      <c r="I34" s="207"/>
      <c r="J34" s="208"/>
      <c r="K34" s="209"/>
      <c r="L34" s="207"/>
      <c r="M34" s="208"/>
      <c r="N34" s="209"/>
      <c r="O34" s="207"/>
      <c r="P34" s="208"/>
      <c r="Q34" s="209"/>
      <c r="R34" s="217"/>
      <c r="S34" s="217"/>
      <c r="T34" s="217"/>
      <c r="U34" s="217"/>
      <c r="V34" s="213">
        <f>Voetgangers!G37</f>
        <v>0</v>
      </c>
      <c r="W34" s="213">
        <f>Voetgangers!J37</f>
        <v>0</v>
      </c>
      <c r="X34" s="213">
        <f>Voetgangers!M37</f>
        <v>1</v>
      </c>
      <c r="Y34" s="213">
        <f>Voetgangers!P37</f>
        <v>0</v>
      </c>
      <c r="Z34" s="151"/>
      <c r="AA34" s="281">
        <f t="shared" si="23"/>
        <v>1</v>
      </c>
      <c r="AB34" s="193" t="b">
        <f>'Stromendiagram periode 2'!BD$8</f>
        <v>1</v>
      </c>
      <c r="AD34" s="251">
        <f t="shared" si="1"/>
        <v>0</v>
      </c>
      <c r="AE34" s="252">
        <f t="shared" si="2"/>
        <v>0</v>
      </c>
      <c r="AF34" s="253">
        <f t="shared" si="3"/>
        <v>0</v>
      </c>
      <c r="AG34" s="254">
        <f t="shared" si="4"/>
        <v>0</v>
      </c>
      <c r="AH34" s="252">
        <f t="shared" si="5"/>
        <v>0</v>
      </c>
      <c r="AI34" s="253">
        <f t="shared" si="6"/>
        <v>0</v>
      </c>
      <c r="AJ34" s="254">
        <f t="shared" si="7"/>
        <v>0</v>
      </c>
      <c r="AK34" s="252">
        <f t="shared" si="8"/>
        <v>0</v>
      </c>
      <c r="AL34" s="253">
        <f t="shared" si="9"/>
        <v>0</v>
      </c>
      <c r="AM34" s="254">
        <f t="shared" si="10"/>
        <v>0</v>
      </c>
      <c r="AN34" s="252">
        <f t="shared" si="11"/>
        <v>0</v>
      </c>
      <c r="AO34" s="253">
        <f t="shared" si="12"/>
        <v>0</v>
      </c>
      <c r="AP34" s="255">
        <f t="shared" si="13"/>
        <v>0</v>
      </c>
      <c r="AQ34" s="255">
        <f t="shared" si="14"/>
        <v>0</v>
      </c>
      <c r="AR34" s="255">
        <f t="shared" si="15"/>
        <v>0</v>
      </c>
      <c r="AS34" s="255">
        <f t="shared" si="16"/>
        <v>0</v>
      </c>
      <c r="AT34" s="255">
        <f t="shared" si="17"/>
        <v>0</v>
      </c>
      <c r="AU34" s="255">
        <f t="shared" si="18"/>
        <v>0</v>
      </c>
      <c r="AV34" s="255">
        <f t="shared" si="19"/>
        <v>1</v>
      </c>
      <c r="AW34" s="255">
        <f t="shared" si="20"/>
        <v>0</v>
      </c>
    </row>
    <row r="35" spans="1:49" ht="16.5" x14ac:dyDescent="0.35">
      <c r="A35" s="961"/>
      <c r="B35" s="285">
        <f>Voetgangers!A38</f>
        <v>0.72916666666666641</v>
      </c>
      <c r="C35" s="958" t="s">
        <v>23</v>
      </c>
      <c r="D35" s="959"/>
      <c r="E35" s="288">
        <f>Voetgangers!D38</f>
        <v>0.73958333333333304</v>
      </c>
      <c r="F35" s="207"/>
      <c r="G35" s="208"/>
      <c r="H35" s="209"/>
      <c r="I35" s="207"/>
      <c r="J35" s="208"/>
      <c r="K35" s="209"/>
      <c r="L35" s="207"/>
      <c r="M35" s="208"/>
      <c r="N35" s="209"/>
      <c r="O35" s="207"/>
      <c r="P35" s="208"/>
      <c r="Q35" s="209"/>
      <c r="R35" s="217"/>
      <c r="S35" s="217"/>
      <c r="T35" s="217"/>
      <c r="U35" s="217"/>
      <c r="V35" s="213">
        <f>Voetgangers!G38</f>
        <v>0</v>
      </c>
      <c r="W35" s="213">
        <f>Voetgangers!J38</f>
        <v>0</v>
      </c>
      <c r="X35" s="213">
        <f>Voetgangers!M38</f>
        <v>3</v>
      </c>
      <c r="Y35" s="213">
        <f>Voetgangers!P38</f>
        <v>0</v>
      </c>
      <c r="Z35" s="151"/>
      <c r="AA35" s="281">
        <f t="shared" si="23"/>
        <v>1</v>
      </c>
      <c r="AB35" s="193" t="b">
        <f>'Stromendiagram periode 2'!BD$8</f>
        <v>1</v>
      </c>
      <c r="AD35" s="251">
        <f t="shared" si="1"/>
        <v>0</v>
      </c>
      <c r="AE35" s="252">
        <f t="shared" si="2"/>
        <v>0</v>
      </c>
      <c r="AF35" s="253">
        <f t="shared" si="3"/>
        <v>0</v>
      </c>
      <c r="AG35" s="254">
        <f t="shared" si="4"/>
        <v>0</v>
      </c>
      <c r="AH35" s="252">
        <f t="shared" si="5"/>
        <v>0</v>
      </c>
      <c r="AI35" s="253">
        <f t="shared" si="6"/>
        <v>0</v>
      </c>
      <c r="AJ35" s="254">
        <f t="shared" si="7"/>
        <v>0</v>
      </c>
      <c r="AK35" s="252">
        <f t="shared" si="8"/>
        <v>0</v>
      </c>
      <c r="AL35" s="253">
        <f t="shared" si="9"/>
        <v>0</v>
      </c>
      <c r="AM35" s="254">
        <f t="shared" si="10"/>
        <v>0</v>
      </c>
      <c r="AN35" s="252">
        <f t="shared" si="11"/>
        <v>0</v>
      </c>
      <c r="AO35" s="253">
        <f t="shared" si="12"/>
        <v>0</v>
      </c>
      <c r="AP35" s="255">
        <f t="shared" si="13"/>
        <v>0</v>
      </c>
      <c r="AQ35" s="255">
        <f t="shared" si="14"/>
        <v>0</v>
      </c>
      <c r="AR35" s="255">
        <f t="shared" si="15"/>
        <v>0</v>
      </c>
      <c r="AS35" s="255">
        <f t="shared" si="16"/>
        <v>0</v>
      </c>
      <c r="AT35" s="255">
        <f t="shared" si="17"/>
        <v>0</v>
      </c>
      <c r="AU35" s="255">
        <f t="shared" si="18"/>
        <v>0</v>
      </c>
      <c r="AV35" s="255">
        <f t="shared" si="19"/>
        <v>3</v>
      </c>
      <c r="AW35" s="255">
        <f t="shared" si="20"/>
        <v>0</v>
      </c>
    </row>
    <row r="36" spans="1:49" ht="17.25" thickBot="1" x14ac:dyDescent="0.4">
      <c r="A36" s="962"/>
      <c r="B36" s="286">
        <f>Voetgangers!A39</f>
        <v>0.73958333333333304</v>
      </c>
      <c r="C36" s="969" t="s">
        <v>23</v>
      </c>
      <c r="D36" s="970"/>
      <c r="E36" s="289">
        <f>Voetgangers!D39</f>
        <v>0.74999999999999967</v>
      </c>
      <c r="F36" s="210"/>
      <c r="G36" s="211"/>
      <c r="H36" s="212"/>
      <c r="I36" s="210"/>
      <c r="J36" s="211"/>
      <c r="K36" s="212"/>
      <c r="L36" s="210"/>
      <c r="M36" s="211"/>
      <c r="N36" s="212"/>
      <c r="O36" s="210"/>
      <c r="P36" s="211"/>
      <c r="Q36" s="212"/>
      <c r="R36" s="218"/>
      <c r="S36" s="218"/>
      <c r="T36" s="218"/>
      <c r="U36" s="218"/>
      <c r="V36" s="214">
        <f>Voetgangers!G39</f>
        <v>1</v>
      </c>
      <c r="W36" s="214">
        <f>Voetgangers!J39</f>
        <v>0</v>
      </c>
      <c r="X36" s="214">
        <f>Voetgangers!M39</f>
        <v>0</v>
      </c>
      <c r="Y36" s="214">
        <f>Voetgangers!P39</f>
        <v>0</v>
      </c>
      <c r="Z36" s="151"/>
      <c r="AA36" s="140">
        <f t="shared" si="23"/>
        <v>1</v>
      </c>
      <c r="AB36" s="194" t="b">
        <f>'Stromendiagram periode 2'!BD$8</f>
        <v>1</v>
      </c>
      <c r="AD36" s="265">
        <f t="shared" si="1"/>
        <v>0</v>
      </c>
      <c r="AE36" s="266">
        <f t="shared" si="2"/>
        <v>0</v>
      </c>
      <c r="AF36" s="267">
        <f t="shared" si="3"/>
        <v>0</v>
      </c>
      <c r="AG36" s="268">
        <f t="shared" si="4"/>
        <v>0</v>
      </c>
      <c r="AH36" s="266">
        <f t="shared" si="5"/>
        <v>0</v>
      </c>
      <c r="AI36" s="267">
        <f t="shared" si="6"/>
        <v>0</v>
      </c>
      <c r="AJ36" s="268">
        <f t="shared" si="7"/>
        <v>0</v>
      </c>
      <c r="AK36" s="266">
        <f t="shared" si="8"/>
        <v>0</v>
      </c>
      <c r="AL36" s="267">
        <f t="shared" si="9"/>
        <v>0</v>
      </c>
      <c r="AM36" s="268">
        <f t="shared" si="10"/>
        <v>0</v>
      </c>
      <c r="AN36" s="266">
        <f t="shared" si="11"/>
        <v>0</v>
      </c>
      <c r="AO36" s="267">
        <f t="shared" si="12"/>
        <v>0</v>
      </c>
      <c r="AP36" s="269">
        <f t="shared" si="13"/>
        <v>0</v>
      </c>
      <c r="AQ36" s="269">
        <f t="shared" si="14"/>
        <v>0</v>
      </c>
      <c r="AR36" s="269">
        <f t="shared" si="15"/>
        <v>0</v>
      </c>
      <c r="AS36" s="269">
        <f t="shared" si="16"/>
        <v>0</v>
      </c>
      <c r="AT36" s="269">
        <f t="shared" si="17"/>
        <v>1</v>
      </c>
      <c r="AU36" s="269">
        <f t="shared" si="18"/>
        <v>0</v>
      </c>
      <c r="AV36" s="269">
        <f t="shared" si="19"/>
        <v>0</v>
      </c>
      <c r="AW36" s="269">
        <f t="shared" si="20"/>
        <v>0</v>
      </c>
    </row>
    <row r="37" spans="1:49" ht="21" thickBot="1" x14ac:dyDescent="0.45">
      <c r="AB37" t="s">
        <v>36</v>
      </c>
      <c r="AD37" s="270">
        <f t="shared" ref="AD37:AW37" si="24">SUM(AD5:AD36)</f>
        <v>179</v>
      </c>
      <c r="AE37" s="271">
        <f t="shared" si="24"/>
        <v>13</v>
      </c>
      <c r="AF37" s="272">
        <f t="shared" si="24"/>
        <v>108</v>
      </c>
      <c r="AG37" s="273">
        <f t="shared" si="24"/>
        <v>0</v>
      </c>
      <c r="AH37" s="271">
        <f t="shared" si="24"/>
        <v>1028</v>
      </c>
      <c r="AI37" s="272">
        <f t="shared" si="24"/>
        <v>663</v>
      </c>
      <c r="AJ37" s="273">
        <f t="shared" si="24"/>
        <v>0</v>
      </c>
      <c r="AK37" s="271">
        <f t="shared" si="24"/>
        <v>0</v>
      </c>
      <c r="AL37" s="272">
        <f t="shared" si="24"/>
        <v>0</v>
      </c>
      <c r="AM37" s="273">
        <f t="shared" si="24"/>
        <v>305</v>
      </c>
      <c r="AN37" s="271">
        <f t="shared" si="24"/>
        <v>823</v>
      </c>
      <c r="AO37" s="272">
        <f t="shared" si="24"/>
        <v>0</v>
      </c>
      <c r="AP37" s="274">
        <f t="shared" si="24"/>
        <v>0</v>
      </c>
      <c r="AQ37" s="274">
        <f t="shared" si="24"/>
        <v>143</v>
      </c>
      <c r="AR37" s="274">
        <f t="shared" si="24"/>
        <v>0</v>
      </c>
      <c r="AS37" s="274">
        <f t="shared" si="24"/>
        <v>46</v>
      </c>
      <c r="AT37" s="274">
        <f t="shared" si="24"/>
        <v>3</v>
      </c>
      <c r="AU37" s="274">
        <f t="shared" si="24"/>
        <v>0</v>
      </c>
      <c r="AV37" s="274">
        <f t="shared" si="24"/>
        <v>4</v>
      </c>
      <c r="AW37" s="275">
        <f t="shared" si="24"/>
        <v>0</v>
      </c>
    </row>
    <row r="38" spans="1:49" ht="13.5" thickBot="1" x14ac:dyDescent="0.25"/>
    <row r="39" spans="1:49" ht="19.5" x14ac:dyDescent="0.4">
      <c r="A39" s="953" t="s">
        <v>21</v>
      </c>
      <c r="B39" s="284">
        <f>'Licht vervoer'!A27</f>
        <v>0.66666666666666663</v>
      </c>
      <c r="C39" s="956" t="s">
        <v>23</v>
      </c>
      <c r="D39" s="957"/>
      <c r="E39" s="287">
        <f>'Licht vervoer'!D27</f>
        <v>0.67708333333333326</v>
      </c>
      <c r="F39" s="224">
        <f t="shared" ref="F39:Q39" si="25">F5+F13+F21</f>
        <v>40</v>
      </c>
      <c r="G39" s="225">
        <f t="shared" si="25"/>
        <v>2</v>
      </c>
      <c r="H39" s="226">
        <f t="shared" si="25"/>
        <v>23</v>
      </c>
      <c r="I39" s="227">
        <f t="shared" si="25"/>
        <v>0</v>
      </c>
      <c r="J39" s="225">
        <f t="shared" si="25"/>
        <v>285</v>
      </c>
      <c r="K39" s="226">
        <f t="shared" si="25"/>
        <v>153</v>
      </c>
      <c r="L39" s="227">
        <f t="shared" si="25"/>
        <v>0</v>
      </c>
      <c r="M39" s="225">
        <f t="shared" si="25"/>
        <v>0</v>
      </c>
      <c r="N39" s="226">
        <f t="shared" si="25"/>
        <v>0</v>
      </c>
      <c r="O39" s="227">
        <f t="shared" si="25"/>
        <v>63</v>
      </c>
      <c r="P39" s="225">
        <f t="shared" si="25"/>
        <v>154</v>
      </c>
      <c r="Q39" s="226">
        <f t="shared" si="25"/>
        <v>0</v>
      </c>
      <c r="R39" s="238">
        <f t="shared" ref="R39:R46" si="26">SUM(F39:Q39)</f>
        <v>720</v>
      </c>
      <c r="AA39">
        <f>S48</f>
        <v>0</v>
      </c>
    </row>
    <row r="40" spans="1:49" ht="19.5" x14ac:dyDescent="0.4">
      <c r="A40" s="954"/>
      <c r="B40" s="285">
        <f>'Licht vervoer'!A28</f>
        <v>0.67708333333333326</v>
      </c>
      <c r="C40" s="958" t="s">
        <v>23</v>
      </c>
      <c r="D40" s="959"/>
      <c r="E40" s="288">
        <f>'Licht vervoer'!D28</f>
        <v>0.68749999999999989</v>
      </c>
      <c r="F40" s="228">
        <f t="shared" ref="F40:Q40" si="27">F6+F14+F22</f>
        <v>36</v>
      </c>
      <c r="G40" s="229">
        <f t="shared" si="27"/>
        <v>1</v>
      </c>
      <c r="H40" s="230">
        <f t="shared" si="27"/>
        <v>30</v>
      </c>
      <c r="I40" s="231">
        <f t="shared" si="27"/>
        <v>0</v>
      </c>
      <c r="J40" s="229">
        <f t="shared" si="27"/>
        <v>259</v>
      </c>
      <c r="K40" s="230">
        <f t="shared" si="27"/>
        <v>166</v>
      </c>
      <c r="L40" s="231">
        <f t="shared" si="27"/>
        <v>0</v>
      </c>
      <c r="M40" s="229">
        <f t="shared" si="27"/>
        <v>0</v>
      </c>
      <c r="N40" s="230">
        <f t="shared" si="27"/>
        <v>0</v>
      </c>
      <c r="O40" s="231">
        <f t="shared" si="27"/>
        <v>80</v>
      </c>
      <c r="P40" s="229">
        <f t="shared" si="27"/>
        <v>117</v>
      </c>
      <c r="Q40" s="230">
        <f t="shared" si="27"/>
        <v>0</v>
      </c>
      <c r="R40" s="239">
        <f t="shared" si="26"/>
        <v>689</v>
      </c>
      <c r="AA40">
        <f>SUM(S48:S49)</f>
        <v>0</v>
      </c>
    </row>
    <row r="41" spans="1:49" ht="19.5" x14ac:dyDescent="0.4">
      <c r="A41" s="954"/>
      <c r="B41" s="285">
        <f>'Licht vervoer'!A29</f>
        <v>0.68749999999999989</v>
      </c>
      <c r="C41" s="958" t="s">
        <v>23</v>
      </c>
      <c r="D41" s="959"/>
      <c r="E41" s="288">
        <f>'Licht vervoer'!D29</f>
        <v>0.69791666666666652</v>
      </c>
      <c r="F41" s="228">
        <f t="shared" ref="F41:Q41" si="28">F7+F15+F23</f>
        <v>35</v>
      </c>
      <c r="G41" s="229">
        <f t="shared" si="28"/>
        <v>3</v>
      </c>
      <c r="H41" s="230">
        <f t="shared" si="28"/>
        <v>34</v>
      </c>
      <c r="I41" s="231">
        <f t="shared" si="28"/>
        <v>0</v>
      </c>
      <c r="J41" s="229">
        <f t="shared" si="28"/>
        <v>234</v>
      </c>
      <c r="K41" s="230">
        <f t="shared" si="28"/>
        <v>161</v>
      </c>
      <c r="L41" s="231">
        <f t="shared" si="28"/>
        <v>0</v>
      </c>
      <c r="M41" s="229">
        <f t="shared" si="28"/>
        <v>0</v>
      </c>
      <c r="N41" s="230">
        <f t="shared" si="28"/>
        <v>0</v>
      </c>
      <c r="O41" s="231">
        <f t="shared" si="28"/>
        <v>73</v>
      </c>
      <c r="P41" s="229">
        <f t="shared" si="28"/>
        <v>188</v>
      </c>
      <c r="Q41" s="230">
        <f t="shared" si="28"/>
        <v>0</v>
      </c>
      <c r="R41" s="239">
        <f t="shared" si="26"/>
        <v>728</v>
      </c>
      <c r="AA41">
        <f>SUM(S48:S50)</f>
        <v>0</v>
      </c>
    </row>
    <row r="42" spans="1:49" ht="19.5" x14ac:dyDescent="0.4">
      <c r="A42" s="954"/>
      <c r="B42" s="285">
        <f>'Licht vervoer'!A30</f>
        <v>0.69791666666666652</v>
      </c>
      <c r="C42" s="958" t="s">
        <v>23</v>
      </c>
      <c r="D42" s="959"/>
      <c r="E42" s="288">
        <f>'Licht vervoer'!D30</f>
        <v>0.70833333333333315</v>
      </c>
      <c r="F42" s="228">
        <f t="shared" ref="F42:Q42" si="29">F8+F16+F24</f>
        <v>33</v>
      </c>
      <c r="G42" s="229">
        <f t="shared" si="29"/>
        <v>4</v>
      </c>
      <c r="H42" s="230">
        <f t="shared" si="29"/>
        <v>27</v>
      </c>
      <c r="I42" s="231">
        <f t="shared" si="29"/>
        <v>0</v>
      </c>
      <c r="J42" s="229">
        <f t="shared" si="29"/>
        <v>268</v>
      </c>
      <c r="K42" s="230">
        <f t="shared" si="29"/>
        <v>161</v>
      </c>
      <c r="L42" s="231">
        <f t="shared" si="29"/>
        <v>0</v>
      </c>
      <c r="M42" s="229">
        <f t="shared" si="29"/>
        <v>0</v>
      </c>
      <c r="N42" s="230">
        <f t="shared" si="29"/>
        <v>0</v>
      </c>
      <c r="O42" s="231">
        <f t="shared" si="29"/>
        <v>62</v>
      </c>
      <c r="P42" s="229">
        <f t="shared" si="29"/>
        <v>171</v>
      </c>
      <c r="Q42" s="230">
        <f t="shared" si="29"/>
        <v>0</v>
      </c>
      <c r="R42" s="239">
        <f t="shared" si="26"/>
        <v>726</v>
      </c>
      <c r="AA42">
        <f>SUM(S48:S51)</f>
        <v>0</v>
      </c>
    </row>
    <row r="43" spans="1:49" ht="19.5" x14ac:dyDescent="0.4">
      <c r="A43" s="954"/>
      <c r="B43" s="285">
        <f>'Licht vervoer'!A31</f>
        <v>0.70833333333333315</v>
      </c>
      <c r="C43" s="958" t="s">
        <v>23</v>
      </c>
      <c r="D43" s="959"/>
      <c r="E43" s="288">
        <f>'Licht vervoer'!D31</f>
        <v>0.71874999999999978</v>
      </c>
      <c r="F43" s="228">
        <f t="shared" ref="F43:Q43" si="30">F9+F17+F25</f>
        <v>39</v>
      </c>
      <c r="G43" s="229">
        <f t="shared" si="30"/>
        <v>4</v>
      </c>
      <c r="H43" s="230">
        <f t="shared" si="30"/>
        <v>24</v>
      </c>
      <c r="I43" s="231">
        <f t="shared" si="30"/>
        <v>0</v>
      </c>
      <c r="J43" s="229">
        <f t="shared" si="30"/>
        <v>264</v>
      </c>
      <c r="K43" s="230">
        <f t="shared" si="30"/>
        <v>176</v>
      </c>
      <c r="L43" s="231">
        <f t="shared" si="30"/>
        <v>0</v>
      </c>
      <c r="M43" s="229">
        <f t="shared" si="30"/>
        <v>0</v>
      </c>
      <c r="N43" s="230">
        <f t="shared" si="30"/>
        <v>0</v>
      </c>
      <c r="O43" s="231">
        <f t="shared" si="30"/>
        <v>66</v>
      </c>
      <c r="P43" s="229">
        <f t="shared" si="30"/>
        <v>193</v>
      </c>
      <c r="Q43" s="230">
        <f t="shared" si="30"/>
        <v>0</v>
      </c>
      <c r="R43" s="239">
        <f t="shared" si="26"/>
        <v>766</v>
      </c>
      <c r="AA43">
        <f>SUM(S49:S52)</f>
        <v>1</v>
      </c>
    </row>
    <row r="44" spans="1:49" ht="19.5" x14ac:dyDescent="0.4">
      <c r="A44" s="954"/>
      <c r="B44" s="285">
        <f>'Licht vervoer'!A32</f>
        <v>0.71874999999999978</v>
      </c>
      <c r="C44" s="958" t="s">
        <v>23</v>
      </c>
      <c r="D44" s="959"/>
      <c r="E44" s="288">
        <f>'Licht vervoer'!D32</f>
        <v>0.72916666666666641</v>
      </c>
      <c r="F44" s="228">
        <f t="shared" ref="F44:Q44" si="31">F10+F18+F26</f>
        <v>47</v>
      </c>
      <c r="G44" s="229">
        <f t="shared" si="31"/>
        <v>3</v>
      </c>
      <c r="H44" s="230">
        <f t="shared" si="31"/>
        <v>24</v>
      </c>
      <c r="I44" s="231">
        <f t="shared" si="31"/>
        <v>0</v>
      </c>
      <c r="J44" s="229">
        <f t="shared" si="31"/>
        <v>277</v>
      </c>
      <c r="K44" s="230">
        <f t="shared" si="31"/>
        <v>163</v>
      </c>
      <c r="L44" s="231">
        <f t="shared" si="31"/>
        <v>0</v>
      </c>
      <c r="M44" s="229">
        <f t="shared" si="31"/>
        <v>0</v>
      </c>
      <c r="N44" s="230">
        <f t="shared" si="31"/>
        <v>0</v>
      </c>
      <c r="O44" s="231">
        <f t="shared" si="31"/>
        <v>83</v>
      </c>
      <c r="P44" s="229">
        <f t="shared" si="31"/>
        <v>192</v>
      </c>
      <c r="Q44" s="230">
        <f t="shared" si="31"/>
        <v>0</v>
      </c>
      <c r="R44" s="239">
        <f t="shared" si="26"/>
        <v>789</v>
      </c>
      <c r="AA44">
        <f>SUM(S50:S52)</f>
        <v>1</v>
      </c>
    </row>
    <row r="45" spans="1:49" ht="19.5" x14ac:dyDescent="0.4">
      <c r="A45" s="954"/>
      <c r="B45" s="285">
        <f>'Licht vervoer'!A33</f>
        <v>0.72916666666666641</v>
      </c>
      <c r="C45" s="958" t="s">
        <v>23</v>
      </c>
      <c r="D45" s="959"/>
      <c r="E45" s="288">
        <f>'Licht vervoer'!D33</f>
        <v>0.73958333333333304</v>
      </c>
      <c r="F45" s="228">
        <f t="shared" ref="F45:Q45" si="32">F11+F19+F27</f>
        <v>47</v>
      </c>
      <c r="G45" s="229">
        <f t="shared" si="32"/>
        <v>2</v>
      </c>
      <c r="H45" s="230">
        <f t="shared" si="32"/>
        <v>23</v>
      </c>
      <c r="I45" s="231">
        <f t="shared" si="32"/>
        <v>0</v>
      </c>
      <c r="J45" s="229">
        <f t="shared" si="32"/>
        <v>246</v>
      </c>
      <c r="K45" s="230">
        <f t="shared" si="32"/>
        <v>165</v>
      </c>
      <c r="L45" s="231">
        <f t="shared" si="32"/>
        <v>0</v>
      </c>
      <c r="M45" s="229">
        <f t="shared" si="32"/>
        <v>0</v>
      </c>
      <c r="N45" s="230">
        <f t="shared" si="32"/>
        <v>0</v>
      </c>
      <c r="O45" s="231">
        <f t="shared" si="32"/>
        <v>74</v>
      </c>
      <c r="P45" s="229">
        <f t="shared" si="32"/>
        <v>216</v>
      </c>
      <c r="Q45" s="230">
        <f t="shared" si="32"/>
        <v>0</v>
      </c>
      <c r="R45" s="239">
        <f t="shared" si="26"/>
        <v>773</v>
      </c>
      <c r="AA45">
        <f>SUM(S51:S52)</f>
        <v>1</v>
      </c>
    </row>
    <row r="46" spans="1:49" ht="20.25" thickBot="1" x14ac:dyDescent="0.45">
      <c r="A46" s="955"/>
      <c r="B46" s="286">
        <f>'Licht vervoer'!A34</f>
        <v>0.73958333333333304</v>
      </c>
      <c r="C46" s="969" t="s">
        <v>23</v>
      </c>
      <c r="D46" s="970"/>
      <c r="E46" s="289">
        <f>'Licht vervoer'!D34</f>
        <v>0.74999999999999967</v>
      </c>
      <c r="F46" s="232">
        <f t="shared" ref="F46:Q46" si="33">F12+F20+F28</f>
        <v>46</v>
      </c>
      <c r="G46" s="233">
        <f t="shared" si="33"/>
        <v>4</v>
      </c>
      <c r="H46" s="234">
        <f t="shared" si="33"/>
        <v>37</v>
      </c>
      <c r="I46" s="235">
        <f t="shared" si="33"/>
        <v>0</v>
      </c>
      <c r="J46" s="233">
        <f t="shared" si="33"/>
        <v>241</v>
      </c>
      <c r="K46" s="234">
        <f t="shared" si="33"/>
        <v>159</v>
      </c>
      <c r="L46" s="235">
        <f t="shared" si="33"/>
        <v>0</v>
      </c>
      <c r="M46" s="233">
        <f t="shared" si="33"/>
        <v>0</v>
      </c>
      <c r="N46" s="234">
        <f t="shared" si="33"/>
        <v>0</v>
      </c>
      <c r="O46" s="235">
        <f t="shared" si="33"/>
        <v>82</v>
      </c>
      <c r="P46" s="233">
        <f t="shared" si="33"/>
        <v>222</v>
      </c>
      <c r="Q46" s="234">
        <f t="shared" si="33"/>
        <v>0</v>
      </c>
      <c r="R46" s="240">
        <f t="shared" si="26"/>
        <v>791</v>
      </c>
      <c r="AA46">
        <f>SUM(S52)</f>
        <v>1</v>
      </c>
    </row>
    <row r="48" spans="1:49" ht="15" x14ac:dyDescent="0.3">
      <c r="F48" s="86">
        <f>IF(AND(SUM($R39:$R42)&gt;=SUM($R40:R$43),SUM($R39:$R42)&gt;=SUM($R41:$R44),SUM($R39:$R42)&gt;=SUM($R42:$R45),SUM($R39:$R42)&gt;=SUM($R43:$R46)),SUM(F39:F42),0)</f>
        <v>0</v>
      </c>
      <c r="G48" s="86">
        <f>IF(AND(SUM($R39:$R42)&gt;=SUM($R40:R$43),SUM($R39:$R42)&gt;=SUM($R41:$R44),SUM($R39:$R42)&gt;=SUM($R42:$R45),SUM($R39:$R42)&gt;=SUM($R43:$R46)),SUM(G39:G42),0)</f>
        <v>0</v>
      </c>
      <c r="H48" s="86">
        <f>IF(AND(SUM($R39:$R42)&gt;=SUM($R40:R$43),SUM($R39:$R42)&gt;=SUM($R41:$R44),SUM($R39:$R42)&gt;=SUM($R42:$R45),SUM($R39:$R42)&gt;=SUM($R43:$R46)),SUM(H39:H42),0)</f>
        <v>0</v>
      </c>
      <c r="I48" s="86">
        <f>IF(AND(SUM($R39:$R42)&gt;=SUM($R40:U$43),SUM($R39:$R42)&gt;=SUM($R41:$R44),SUM($R39:$R42)&gt;=SUM($R42:$R45),SUM($R39:$R42)&gt;=SUM($R43:$R46)),SUM(I39:I42),0)</f>
        <v>0</v>
      </c>
      <c r="J48" s="86">
        <f>IF(AND(SUM($R39:$R42)&gt;=SUM($R40:R$43),SUM($R39:$R42)&gt;=SUM($R41:$R44),SUM($R39:$R42)&gt;=SUM($R42:$R45),SUM($R39:$R42)&gt;=SUM($R43:$R46)),SUM(J39:J42),0)</f>
        <v>0</v>
      </c>
      <c r="K48" s="86">
        <f>IF(AND(SUM($R39:$R42)&gt;=SUM($R40:R$43),SUM($R39:$R42)&gt;=SUM($R41:$R44),SUM($R39:$R42)&gt;=SUM($R42:$R45),SUM($R39:$R42)&gt;=SUM($R43:$R46)),SUM(K39:K42),0)</f>
        <v>0</v>
      </c>
      <c r="L48" s="86">
        <f>IF(AND(SUM($R39:$R42)&gt;=SUM($R40:R$43),SUM($R39:$R42)&gt;=SUM($R41:$R44),SUM($R39:$R42)&gt;=SUM($R42:$R45),SUM($R39:$R42)&gt;=SUM($R43:$R46)),SUM(L39:L42),0)</f>
        <v>0</v>
      </c>
      <c r="M48" s="86">
        <f>IF(AND(SUM($R39:$R42)&gt;=SUM($R40:U$43),SUM($R39:$R42)&gt;=SUM($R41:$R44),SUM($R39:$R42)&gt;=SUM($R42:$R45),SUM($R39:$R42)&gt;=SUM($R43:$R46)),SUM(M39:M42),0)</f>
        <v>0</v>
      </c>
      <c r="N48" s="86">
        <f>IF(AND(SUM($R39:$R42)&gt;=SUM($R40:V$43),SUM($R39:$R42)&gt;=SUM($R41:$R44),SUM($R39:$R42)&gt;=SUM($R42:$R45),SUM($R39:$R42)&gt;=SUM($R43:$R46)),SUM(N39:N42),0)</f>
        <v>0</v>
      </c>
      <c r="O48" s="86">
        <f>IF(AND(SUM($R39:$R42)&gt;=SUM($R40:R$43),SUM($R39:$R42)&gt;=SUM($R41:$R44),SUM($R39:$R42)&gt;=SUM($R42:$R45),SUM($R39:$R42)&gt;=SUM($R43:$R46)),SUM(O39:O42),0)</f>
        <v>0</v>
      </c>
      <c r="P48" s="86">
        <f>IF(AND(SUM($R39:$R42)&gt;=SUM($R40:R$43),SUM($R39:$R42)&gt;=SUM($R41:$R44),SUM($R39:$R42)&gt;=SUM($R42:$R45),SUM($R39:$R42)&gt;=SUM($R43:$R46)),SUM(P39:P42),0)</f>
        <v>0</v>
      </c>
      <c r="Q48" s="86">
        <f>IF(AND(SUM($R39:$R42)&gt;=SUM($R40:R$43),SUM($R39:$R42)&gt;=SUM($R41:$R44),SUM($R39:$R42)&gt;=SUM($R42:$R45),SUM($R39:$R42)&gt;=SUM($R43:$R46)),SUM(Q39:Q42),0)</f>
        <v>0</v>
      </c>
      <c r="R48" s="86">
        <f>IF(AND(SUM($R39:$R42)&gt;=SUM($R40:R$43),SUM($R39:$R42)&gt;=SUM($R41:$R44),SUM($R39:$R42)&gt;=SUM($R42:$R45),SUM($R39:$R42)&gt;=SUM($R43:$R46)),SUM(R39:R42),0)</f>
        <v>0</v>
      </c>
      <c r="S48" s="86">
        <f>IF(AND(SUM($R39:$R42)&gt;=SUM($R40:$R43),SUM($R39:$R42)&gt;=SUM($R41:$R44),SUM($R39:$R42)&gt;=SUM($R42:$R45),SUM($R39:$R42)&gt;=SUM($R43:$R46)),1,0)</f>
        <v>0</v>
      </c>
      <c r="T48" s="283" t="str">
        <f>"van "&amp;TEXT(B39, "uuhmm")&amp;" tot "&amp;TEXT(E42, "uuhmm")</f>
        <v>van 16h00 tot 17h00</v>
      </c>
    </row>
    <row r="49" spans="6:21" ht="15" x14ac:dyDescent="0.3">
      <c r="F49" s="86">
        <f>IF(AND(SUM($R40:$R43)&gt;=SUM($R41:R$44),SUM($R40:$R43)&gt;=SUM($R42:$R45),SUM($R40:$R43)&gt;=SUM($R43:$R46),SUM($R40:$R43)&gt;SUM($R40:$R43)),SUM(F40:F43),0)</f>
        <v>0</v>
      </c>
      <c r="G49" s="86">
        <f>IF(AND(SUM($R40:$R43)&gt;=SUM($R41:R$44),SUM($R40:$R43)&gt;=SUM($R42:$R45),SUM($R40:$R43)&gt;=SUM($R43:$R46),SUM($R40:$R43)&gt;SUM($R40:$R43)),SUM(G40:G43),0)</f>
        <v>0</v>
      </c>
      <c r="H49" s="86">
        <f>IF(AND(SUM($R40:$R43)&gt;=SUM($R41:R$44),SUM($R40:$R43)&gt;=SUM($R42:$R45),SUM($R40:$R43)&gt;=SUM($R43:$R46),SUM($R40:$R43)&gt;SUM($R40:$R43)),SUM(H40:H43),0)</f>
        <v>0</v>
      </c>
      <c r="I49" s="86">
        <f>IF(AND(SUM($R40:$R43)&gt;=SUM($R41:R$44),SUM($R40:$R43)&gt;=SUM($R42:$R45),SUM($R40:$R43)&gt;=SUM($R43:$R46),SUM($R40:$R43)&gt;SUM($R40:$R43)),SUM(I40:I43),0)</f>
        <v>0</v>
      </c>
      <c r="J49" s="86">
        <f>IF(AND(SUM($R40:$R43)&gt;=SUM($R41:R$44),SUM($R40:$R43)&gt;=SUM($R42:$R45),SUM($R40:$R43)&gt;=SUM($R43:$R46),SUM($R40:$R43)&gt;SUM($R40:$R43)),SUM(J40:J43),0)</f>
        <v>0</v>
      </c>
      <c r="K49" s="86">
        <f>IF(AND(SUM($R40:$R43)&gt;=SUM($R41:R$44),SUM($R40:$R43)&gt;=SUM($R42:$R45),SUM($R40:$R43)&gt;=SUM($R43:$R46),SUM($R40:$R43)&gt;SUM($R40:$R43)),SUM(K40:K43),0)</f>
        <v>0</v>
      </c>
      <c r="L49" s="86">
        <f>IF(AND(SUM($R40:$R43)&gt;=SUM($R41:R$44),SUM($R40:$R43)&gt;=SUM($R42:$R45),SUM($R40:$R43)&gt;=SUM($R43:$R46),SUM($R40:$R43)&gt;SUM($R40:$R43)),SUM(L40:L43),0)</f>
        <v>0</v>
      </c>
      <c r="M49" s="86">
        <f>IF(AND(SUM($R40:$R43)&gt;=SUM($R41:U$44),SUM($R40:$R43)&gt;=SUM($R42:$R45),SUM($R40:$R43)&gt;=SUM($R43:$R46),SUM($R40:$R43)&gt;SUM($R40:$R43)),SUM(M40:M43),0)</f>
        <v>0</v>
      </c>
      <c r="N49" s="86">
        <f>IF(AND(SUM($R40:$R43)&gt;=SUM($R41:V$44),SUM($R40:$R43)&gt;=SUM($R42:$R45),SUM($R40:$R43)&gt;=SUM($R43:$R46),SUM($R40:$R43)&gt;SUM($R40:$R43)),SUM(N40:N43),0)</f>
        <v>0</v>
      </c>
      <c r="O49" s="86">
        <f>IF(AND(SUM($R40:$R43)&gt;=SUM($R41:R$44),SUM($R40:$R43)&gt;=SUM($R42:$R45),SUM($R40:$R43)&gt;=SUM($R43:$R46),SUM($R40:$R43)&gt;SUM($R40:$R43)),SUM(O40:O43),0)</f>
        <v>0</v>
      </c>
      <c r="P49" s="86">
        <f>IF(AND(SUM($R40:$R43)&gt;=SUM($R41:R$44),SUM($R40:$R43)&gt;=SUM($R42:$R45),SUM($R40:$R43)&gt;=SUM($R43:$R46),SUM($R40:$R43)&gt;SUM($R40:$R43)),SUM(P40:P43),0)</f>
        <v>0</v>
      </c>
      <c r="Q49" s="86">
        <f>IF(AND(SUM($R40:$R43)&gt;=SUM($R41:R$44),SUM($R40:$R43)&gt;=SUM($R42:$R45),SUM($R40:$R43)&gt;=SUM($R43:$R46),SUM($R40:$R43)&gt;SUM($R40:$R43)),SUM(Q40:Q43),0)</f>
        <v>0</v>
      </c>
      <c r="R49" s="86">
        <f>IF(AND(SUM($R40:$R43)&gt;=SUM($R41:R$44),SUM($R40:$R43)&gt;=SUM($R42:$R45),SUM($R40:$R43)&gt;=SUM($R43:$R46),SUM($R40:$R43)&gt;SUM($R40:$R43)),SUM(R40:R43),0)</f>
        <v>0</v>
      </c>
      <c r="S49" s="86">
        <f>IF(AND(SUM($R40:$R43)&gt;=SUM($R41:$R44),SUM($R40:$R43)&gt;=SUM($R42:$R45),SUM($R40:$R43)&gt;=SUM($R43:$R46),SUM($R40:$R43)&gt;SUM($R39:$R42)),1,0)</f>
        <v>0</v>
      </c>
      <c r="T49" s="283" t="str">
        <f>"van "&amp;TEXT(B40, "uuhmm")&amp;" tot "&amp;TEXT(E43, "uuhmm")</f>
        <v>van 16h15 tot 17h15</v>
      </c>
    </row>
    <row r="50" spans="6:21" ht="15" x14ac:dyDescent="0.3">
      <c r="F50" s="86">
        <f>IF(AND(SUM($R41:$R44)&gt;=SUM($R42:$R45),SUM($R41:$R44)&gt;=SUM($R43:$R46),SUM($R41:$R44)&gt;SUM($R39:$R42),SUM($R41:$R44)&gt;SUM(R40:R43)),SUM(F41:F44),0)</f>
        <v>0</v>
      </c>
      <c r="G50" s="86">
        <f>IF(AND(SUM($R41:$R44)&gt;=SUM($R42:$R45),SUM($R41:$R44)&gt;=SUM($R43:$R46),SUM($R41:$R44)&gt;SUM($R39:$R42),SUM($R41:$R44)&gt;SUM(R40:R43)),SUM(G41:G44),0)</f>
        <v>0</v>
      </c>
      <c r="H50" s="86">
        <f>IF(AND(SUM($R41:$R44)&gt;=SUM($R42:$R45),SUM($R41:$R44)&gt;=SUM($R43:$R46),SUM($R41:$R44)&gt;SUM($R39:$R42),SUM($R41:$R44)&gt;SUM(R40:R43)),SUM(H41:H44),0)</f>
        <v>0</v>
      </c>
      <c r="I50" s="86">
        <f>IF(AND(SUM($R41:$R44)&gt;=SUM($R42:$R45),SUM($R41:$R44)&gt;=SUM($R43:$R46),SUM($R41:$R44)&gt;SUM($R39:$R42),SUM($R41:$R44)&gt;SUM(R40:R43)),SUM(I41:I44),0)</f>
        <v>0</v>
      </c>
      <c r="J50" s="86">
        <f>IF(AND(SUM($R41:$R44)&gt;=SUM($R42:$R45),SUM($R41:$R44)&gt;=SUM($R43:$R46),SUM($R41:$R44)&gt;SUM($R39:$R42),SUM($R41:$R44)&gt;SUM(R40:R43)),SUM(J41:J44),0)</f>
        <v>0</v>
      </c>
      <c r="K50" s="86">
        <f>IF(AND(SUM($R41:$R44)&gt;=SUM($R42:$R45),SUM($R41:$R44)&gt;=SUM($R43:$R46),SUM($R41:$R44)&gt;SUM($R39:$R42),SUM($R41:$R44)&gt;SUM(R40:R43)),SUM(K41:K44),0)</f>
        <v>0</v>
      </c>
      <c r="L50" s="86">
        <f>IF(AND(SUM($R41:$R44)&gt;=SUM($R42:$R45),SUM($R41:$R44)&gt;=SUM($R43:$R46),SUM($R41:$R44)&gt;SUM($R39:$R42),SUM($R41:$R44)&gt;SUM(T40:T43)),SUM(L41:L44),0)</f>
        <v>0</v>
      </c>
      <c r="M50" s="86">
        <f>IF(AND(SUM($R41:$R44)&gt;=SUM($R42:$R45),SUM($R41:$R44)&gt;=SUM($R43:$R46),SUM($R41:$R44)&gt;SUM($R39:$R42),SUM($R41:$R44)&gt;SUM(U40:U43)),SUM(M41:M44),0)</f>
        <v>0</v>
      </c>
      <c r="N50" s="86">
        <f>IF(AND(SUM($R41:$R44)&gt;=SUM($R42:$R45),SUM($R41:$R44)&gt;=SUM($R43:$R46),SUM($R41:$R44)&gt;SUM($R39:$R42),SUM($R41:$R44)&gt;SUM(R40:R43)),SUM(N41:N44),0)</f>
        <v>0</v>
      </c>
      <c r="O50" s="86">
        <f>IF(AND(SUM($R41:$R44)&gt;=SUM($R42:$R45),SUM($R41:$R44)&gt;=SUM($R43:$R46),SUM($R41:$R44)&gt;SUM($R39:$R42),SUM($R41:$R44)&gt;SUM(R40:R43)),SUM(O41:O44),0)</f>
        <v>0</v>
      </c>
      <c r="P50" s="86">
        <f>IF(AND(SUM($R41:$R44)&gt;=SUM($R42:$R45),SUM($R41:$R44)&gt;=SUM($R43:$R46),SUM($R41:$R44)&gt;SUM($R39:$R42),SUM($R41:$R44)&gt;SUM(R40:R43)),SUM(P41:P44),0)</f>
        <v>0</v>
      </c>
      <c r="Q50" s="86">
        <f>IF(AND(SUM($R41:$R44)&gt;=SUM($R42:$R45),SUM($R41:$R44)&gt;=SUM($R43:$R46),SUM($R41:$R44)&gt;SUM($R39:$R42),SUM($R41:$R44)&gt;SUM(R40:R43)),SUM(Q41:Q44),0)</f>
        <v>0</v>
      </c>
      <c r="R50" s="86">
        <f>IF(AND(SUM($R41:$R44)&gt;=SUM($R42:$R45),SUM($R41:$R44)&gt;=SUM($R43:$R46),SUM($R41:$R44)&gt;SUM($R39:$R42),SUM($R41:$R44)&gt;SUM(R40:R43)),SUM(R41:R44),0)</f>
        <v>0</v>
      </c>
      <c r="S50" s="86">
        <f>IF(AND(SUM($R41:$R44)&gt;=SUM($R42:$R45),SUM($R41:$R44)&gt;=SUM($R43:$R46),SUM($R41:$R44)&gt;SUM(R39:R42),SUM($R41:$R44)&gt;SUM(R40:R43)),1,0)</f>
        <v>0</v>
      </c>
      <c r="T50" s="283" t="str">
        <f>"van "&amp;TEXT(B41, "uuhmm")&amp;" tot "&amp;TEXT(E44, "uuhmm")</f>
        <v>van 16h30 tot 17h30</v>
      </c>
    </row>
    <row r="51" spans="6:21" ht="15" x14ac:dyDescent="0.3">
      <c r="F51" s="86">
        <f>IF(AND(SUM($R42:$R45)&gt;=SUM($R43:$R46),SUM($R42:$R45)&gt;SUM($R39:$R42),SUM($R42:$R45)&gt;SUM($R40:$R43),SUM($R42:$R45)&gt;SUM(R41:R44)),SUM(F42:F45),0)</f>
        <v>0</v>
      </c>
      <c r="G51" s="86">
        <f>IF(AND(SUM($R42:$R45)&gt;=SUM($R43:$R46),SUM($R42:$R45)&gt;SUM($R39:$R42),SUM($R42:$R45)&gt;SUM($R40:$R43),SUM($R42:$R45)&gt;SUM(R41:R44)),SUM(G42:G45),0)</f>
        <v>0</v>
      </c>
      <c r="H51" s="86">
        <f>IF(AND(SUM($R42:$R45)&gt;=SUM($R43:$R46),SUM($R42:$R45)&gt;SUM($R39:$R42),SUM($R42:$R45)&gt;SUM($R40:$R43),SUM($R42:$R45)&gt;SUM(R41:R44)),SUM(H42:H45),0)</f>
        <v>0</v>
      </c>
      <c r="I51" s="86">
        <f>IF(AND(SUM($R42:$R45)&gt;=SUM($R43:$R46),SUM($R42:$R45)&gt;SUM($R39:$R42),SUM($R42:$R45)&gt;SUM($R40:$R43),SUM($R42:$R45)&gt;SUM(R41:R44)),SUM(I42:I45),0)</f>
        <v>0</v>
      </c>
      <c r="J51" s="86">
        <f>IF(AND(SUM($R42:$R45)&gt;=SUM($R43:$R46),SUM($R42:$R45)&gt;SUM($R39:$R42),SUM($R42:$R45)&gt;SUM($R40:$R43),SUM($R42:$R45)&gt;SUM(R41:R44)),SUM(J42:J45),0)</f>
        <v>0</v>
      </c>
      <c r="K51" s="86">
        <f>IF(AND(SUM($R42:$R45)&gt;=SUM($R43:$R46),SUM($R42:$R45)&gt;SUM($R39:$R42),SUM($R42:$R45)&gt;SUM($R40:$R43),SUM($R42:$R45)&gt;SUM(R41:R44)),SUM(K42:K45),0)</f>
        <v>0</v>
      </c>
      <c r="L51" s="86">
        <f>IF(AND(SUM($R42:$R45)&gt;=SUM($R43:$R46),SUM($R42:$R45)&gt;SUM($R39:$R42),SUM($R42:$R45)&gt;SUM($R40:$R43),SUM($R42:$R45)&gt;SUM(T41:T44)),SUM(L42:L45),0)</f>
        <v>0</v>
      </c>
      <c r="M51" s="86">
        <f>IF(AND(SUM($R42:$R45)&gt;=SUM($R43:$R46),SUM($R42:$R45)&gt;SUM($R39:$R42),SUM($R42:$R45)&gt;SUM($R40:$R43),SUM($R42:$R45)&gt;SUM(R41:R44)),SUM(M42:M45),0)</f>
        <v>0</v>
      </c>
      <c r="N51" s="86">
        <f>IF(AND(SUM($R42:$R45)&gt;=SUM($R43:$R46),SUM($R42:$R45)&gt;SUM($R39:$R42),SUM($R42:$R45)&gt;SUM($R40:$R43),SUM($R42:$R45)&gt;SUM(R41:R44)),SUM(N42:N45),0)</f>
        <v>0</v>
      </c>
      <c r="O51" s="86">
        <f>IF(AND(SUM($R42:$R45)&gt;=SUM($R43:$R46),SUM($R42:$R45)&gt;SUM($R39:$R42),SUM($R42:$R45)&gt;SUM($R40:$R43),SUM($R42:$R45)&gt;SUM(R41:R44)),SUM(O42:O45),0)</f>
        <v>0</v>
      </c>
      <c r="P51" s="86">
        <f>IF(AND(SUM($R42:$R45)&gt;=SUM($R43:$R46),SUM($R42:$R45)&gt;SUM($R39:$R42),SUM($R42:$R45)&gt;SUM($R40:$R43),SUM($R42:$R45)&gt;SUM(R41:R44)),SUM(P42:P45),0)</f>
        <v>0</v>
      </c>
      <c r="Q51" s="86">
        <f>IF(AND(SUM($R42:$R45)&gt;=SUM($R43:$R46),SUM($R42:$R45)&gt;SUM($R39:$R42),SUM($R42:$R45)&gt;SUM($R40:$R43),SUM($R42:$R45)&gt;SUM(R41:R44)),SUM(Q42:Q45),0)</f>
        <v>0</v>
      </c>
      <c r="R51" s="86">
        <f>IF(AND(SUM($R42:$R45)&gt;=SUM($R43:$R46),SUM($R42:$R45)&gt;SUM($R39:$R42),SUM($R42:$R45)&gt;SUM($R40:$R43),SUM($R42:$R45)&gt;SUM(R41:R44)),SUM(R42:R45),0)</f>
        <v>0</v>
      </c>
      <c r="S51" s="86">
        <f>IF(AND(SUM($R42:$R45)&gt;=SUM($R43:$R46),SUM($R42:$R45)&gt;SUM($R39:$R42),SUM($R42:$R45)&gt;SUM(R40:R43),SUM($R42:$R45)&gt;SUM(R41:R44)),1,0)</f>
        <v>0</v>
      </c>
      <c r="T51" s="283" t="str">
        <f>"van "&amp;TEXT(B42, "uuhmm")&amp;" tot "&amp;TEXT(E45, "uuhmm")</f>
        <v>van 16h45 tot 17h45</v>
      </c>
    </row>
    <row r="52" spans="6:21" ht="15" x14ac:dyDescent="0.3">
      <c r="F52" s="86">
        <f t="shared" ref="F52:R52" si="34">IF(AND(SUM($R43:$R46)&gt;SUM($R39:$R42),SUM($R43:$R46)&gt;SUM($R40:$R43),SUM($R43:$R46)&gt;SUM($R41:$R44),SUM($R43:$R46)&gt;SUM($R42:$R45)),SUM(F43:F46),0)</f>
        <v>179</v>
      </c>
      <c r="G52" s="86">
        <f t="shared" si="34"/>
        <v>13</v>
      </c>
      <c r="H52" s="86">
        <f t="shared" si="34"/>
        <v>108</v>
      </c>
      <c r="I52" s="86">
        <f t="shared" si="34"/>
        <v>0</v>
      </c>
      <c r="J52" s="86">
        <f t="shared" si="34"/>
        <v>1028</v>
      </c>
      <c r="K52" s="86">
        <f t="shared" si="34"/>
        <v>663</v>
      </c>
      <c r="L52" s="86">
        <f t="shared" si="34"/>
        <v>0</v>
      </c>
      <c r="M52" s="86">
        <f t="shared" si="34"/>
        <v>0</v>
      </c>
      <c r="N52" s="86">
        <f t="shared" si="34"/>
        <v>0</v>
      </c>
      <c r="O52" s="86">
        <f t="shared" si="34"/>
        <v>305</v>
      </c>
      <c r="P52" s="86">
        <f t="shared" si="34"/>
        <v>823</v>
      </c>
      <c r="Q52" s="86">
        <f t="shared" si="34"/>
        <v>0</v>
      </c>
      <c r="R52" s="86">
        <f t="shared" si="34"/>
        <v>3119</v>
      </c>
      <c r="S52" s="86">
        <f>IF(AND(SUM($R43:$R46)&gt;SUM($R39:$R42),SUM($R43:$R46)&gt;SUM(R40:R43),SUM($R43:$R46)&gt;SUM($R41:$R44),SUM($R43:$R46)&gt;SUM($R42:$R45)),1,0)</f>
        <v>1</v>
      </c>
      <c r="T52" s="283" t="str">
        <f>"van "&amp;TEXT(B43, "uuhmm")&amp;" tot "&amp;TEXT(E46, "uuhmm")</f>
        <v>van 17h00 tot 18h00</v>
      </c>
    </row>
    <row r="53" spans="6:21" ht="22.5" x14ac:dyDescent="0.45">
      <c r="F53" s="242">
        <f t="shared" ref="F53:R53" si="35">SUM(F48:F52)</f>
        <v>179</v>
      </c>
      <c r="G53" s="243">
        <f t="shared" si="35"/>
        <v>13</v>
      </c>
      <c r="H53" s="244">
        <f t="shared" si="35"/>
        <v>108</v>
      </c>
      <c r="I53" s="242">
        <f t="shared" si="35"/>
        <v>0</v>
      </c>
      <c r="J53" s="243">
        <f t="shared" si="35"/>
        <v>1028</v>
      </c>
      <c r="K53" s="244">
        <f t="shared" si="35"/>
        <v>663</v>
      </c>
      <c r="L53" s="242">
        <f t="shared" si="35"/>
        <v>0</v>
      </c>
      <c r="M53" s="243">
        <f t="shared" si="35"/>
        <v>0</v>
      </c>
      <c r="N53" s="244">
        <f t="shared" si="35"/>
        <v>0</v>
      </c>
      <c r="O53" s="242">
        <f t="shared" si="35"/>
        <v>305</v>
      </c>
      <c r="P53" s="243">
        <f t="shared" si="35"/>
        <v>823</v>
      </c>
      <c r="Q53" s="244">
        <f t="shared" si="35"/>
        <v>0</v>
      </c>
      <c r="R53" s="241">
        <f t="shared" si="35"/>
        <v>3119</v>
      </c>
      <c r="T53" s="978" t="str">
        <f>IF(S48=1,T48,IF(S49=1,T49,IF(S50=1,T50,IF(S51=1,T51,T52))))</f>
        <v>van 17h00 tot 18h00</v>
      </c>
      <c r="U53" s="978"/>
    </row>
  </sheetData>
  <mergeCells count="72">
    <mergeCell ref="A39:A46"/>
    <mergeCell ref="C39:D39"/>
    <mergeCell ref="C40:D40"/>
    <mergeCell ref="C41:D41"/>
    <mergeCell ref="C42:D42"/>
    <mergeCell ref="C43:D43"/>
    <mergeCell ref="C44:D44"/>
    <mergeCell ref="C45:D45"/>
    <mergeCell ref="C46:D46"/>
    <mergeCell ref="AD2:AF2"/>
    <mergeCell ref="AG2:AI2"/>
    <mergeCell ref="AJ2:AL2"/>
    <mergeCell ref="AM2:AO2"/>
    <mergeCell ref="AP3:AP4"/>
    <mergeCell ref="C16:D16"/>
    <mergeCell ref="C17:D17"/>
    <mergeCell ref="C18:D18"/>
    <mergeCell ref="C5:D5"/>
    <mergeCell ref="AW3:AW4"/>
    <mergeCell ref="AQ3:AQ4"/>
    <mergeCell ref="AV3:AV4"/>
    <mergeCell ref="AR3:AR4"/>
    <mergeCell ref="AS3:AS4"/>
    <mergeCell ref="AT3:AT4"/>
    <mergeCell ref="AU3:AU4"/>
    <mergeCell ref="A21:A28"/>
    <mergeCell ref="C29:D29"/>
    <mergeCell ref="C30:D30"/>
    <mergeCell ref="C31:D31"/>
    <mergeCell ref="C26:D26"/>
    <mergeCell ref="C24:D24"/>
    <mergeCell ref="C25:D25"/>
    <mergeCell ref="A29:A36"/>
    <mergeCell ref="C32:D32"/>
    <mergeCell ref="C33:D33"/>
    <mergeCell ref="C34:D34"/>
    <mergeCell ref="C35:D35"/>
    <mergeCell ref="C27:D27"/>
    <mergeCell ref="Y3:Y4"/>
    <mergeCell ref="A5:A12"/>
    <mergeCell ref="A13:A20"/>
    <mergeCell ref="T3:T4"/>
    <mergeCell ref="U3:U4"/>
    <mergeCell ref="V3:V4"/>
    <mergeCell ref="W3:W4"/>
    <mergeCell ref="R3:R4"/>
    <mergeCell ref="S3:S4"/>
    <mergeCell ref="C19:D19"/>
    <mergeCell ref="C12:D12"/>
    <mergeCell ref="X3:X4"/>
    <mergeCell ref="C13:D13"/>
    <mergeCell ref="C14:D14"/>
    <mergeCell ref="C15:D15"/>
    <mergeCell ref="C8:D8"/>
    <mergeCell ref="O2:Q2"/>
    <mergeCell ref="B3:C4"/>
    <mergeCell ref="D3:E4"/>
    <mergeCell ref="C10:D10"/>
    <mergeCell ref="C11:D11"/>
    <mergeCell ref="F2:H2"/>
    <mergeCell ref="I2:K2"/>
    <mergeCell ref="C6:D6"/>
    <mergeCell ref="C7:D7"/>
    <mergeCell ref="L2:N2"/>
    <mergeCell ref="C9:D9"/>
    <mergeCell ref="T53:U53"/>
    <mergeCell ref="C20:D20"/>
    <mergeCell ref="C21:D21"/>
    <mergeCell ref="C22:D22"/>
    <mergeCell ref="C36:D36"/>
    <mergeCell ref="C28:D28"/>
    <mergeCell ref="C23:D23"/>
  </mergeCells>
  <phoneticPr fontId="2" type="noConversion"/>
  <conditionalFormatting sqref="F21:Q28">
    <cfRule type="cellIs" dxfId="2" priority="1" stopIfTrue="1" operator="equal">
      <formula>" "</formula>
    </cfRule>
    <cfRule type="cellIs" dxfId="1" priority="2" stopIfTrue="1" operator="equal">
      <formula>0</formula>
    </cfRule>
  </conditionalFormatting>
  <conditionalFormatting sqref="R21:U28"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1:R51"/>
  <sheetViews>
    <sheetView zoomScaleNormal="100" workbookViewId="0">
      <selection activeCell="G32" sqref="G32"/>
    </sheetView>
  </sheetViews>
  <sheetFormatPr defaultRowHeight="12.75" x14ac:dyDescent="0.2"/>
  <cols>
    <col min="1" max="1" width="6.42578125" customWidth="1"/>
    <col min="2" max="2" width="6.7109375" customWidth="1"/>
    <col min="3" max="3" width="3.7109375" customWidth="1"/>
    <col min="4" max="4" width="6.7109375" customWidth="1"/>
    <col min="5" max="12" width="9.7109375" customWidth="1"/>
    <col min="14" max="14" width="11.7109375" customWidth="1"/>
    <col min="15" max="16" width="9.7109375" customWidth="1"/>
    <col min="17" max="17" width="15.7109375" customWidth="1"/>
  </cols>
  <sheetData>
    <row r="1" spans="1:18" ht="37.5" customHeight="1" x14ac:dyDescent="0.2">
      <c r="A1" s="1023" t="s">
        <v>2</v>
      </c>
      <c r="B1" s="1024"/>
      <c r="C1" s="1024"/>
      <c r="D1" s="1024"/>
      <c r="E1" s="1025"/>
      <c r="F1" s="1025"/>
      <c r="G1" s="1025"/>
      <c r="H1" s="1025"/>
      <c r="I1" s="1025"/>
      <c r="J1" s="1025"/>
      <c r="K1" s="1025"/>
      <c r="L1" s="1025"/>
      <c r="M1" s="1025"/>
      <c r="N1" s="1025"/>
      <c r="O1" s="1025"/>
      <c r="P1" s="1025"/>
      <c r="Q1" s="1026"/>
    </row>
    <row r="2" spans="1:18" ht="52.5" customHeight="1" thickBot="1" x14ac:dyDescent="0.25">
      <c r="A2" s="1027" t="s">
        <v>35</v>
      </c>
      <c r="B2" s="1028"/>
      <c r="C2" s="1028"/>
      <c r="D2" s="1028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30"/>
    </row>
    <row r="3" spans="1:18" ht="16.5" x14ac:dyDescent="0.35">
      <c r="A3" s="1031" t="s">
        <v>0</v>
      </c>
      <c r="B3" s="1032"/>
      <c r="C3" s="1033"/>
      <c r="D3" s="1034" t="e">
        <f>'Licht vervoer'!E3:H3</f>
        <v>#VALUE!</v>
      </c>
      <c r="E3" s="1033"/>
      <c r="F3" s="1033"/>
      <c r="G3" s="1035"/>
      <c r="H3" s="2" t="s">
        <v>5</v>
      </c>
      <c r="I3" s="1036" t="e">
        <f>'Licht vervoer'!J3:M4</f>
        <v>#VALUE!</v>
      </c>
      <c r="J3" s="1037"/>
      <c r="K3" s="1037"/>
      <c r="L3" s="1038"/>
      <c r="M3" s="2" t="s">
        <v>13</v>
      </c>
      <c r="N3" s="10"/>
      <c r="O3" s="1041" t="e">
        <f>'Licht vervoer'!P3:R3</f>
        <v>#VALUE!</v>
      </c>
      <c r="P3" s="1020"/>
      <c r="Q3" s="1021"/>
    </row>
    <row r="4" spans="1:18" ht="16.5" x14ac:dyDescent="0.35">
      <c r="A4" s="1002" t="s">
        <v>1</v>
      </c>
      <c r="B4" s="919"/>
      <c r="C4" s="1016"/>
      <c r="D4" s="1017" t="e">
        <f>'Licht vervoer'!E4:H4</f>
        <v>#VALUE!</v>
      </c>
      <c r="E4" s="1016"/>
      <c r="F4" s="1016"/>
      <c r="G4" s="1018"/>
      <c r="H4" s="1"/>
      <c r="I4" s="1039"/>
      <c r="J4" s="1039"/>
      <c r="K4" s="1039"/>
      <c r="L4" s="1040"/>
      <c r="M4" s="2" t="s">
        <v>22</v>
      </c>
      <c r="N4" s="11"/>
      <c r="O4" s="1009" t="e">
        <f>'Licht vervoer'!P4:R4</f>
        <v>#VALUE!</v>
      </c>
      <c r="P4" s="1020"/>
      <c r="Q4" s="1021"/>
    </row>
    <row r="5" spans="1:18" ht="16.5" x14ac:dyDescent="0.35">
      <c r="A5" s="1002" t="s">
        <v>6</v>
      </c>
      <c r="B5" s="919"/>
      <c r="C5" s="1016"/>
      <c r="D5" s="1017" t="e">
        <f>'Licht vervoer'!E5:H5</f>
        <v>#VALUE!</v>
      </c>
      <c r="E5" s="1016"/>
      <c r="F5" s="1016"/>
      <c r="G5" s="1018"/>
      <c r="H5" s="2" t="s">
        <v>7</v>
      </c>
      <c r="I5" s="1009" t="e">
        <f>'Licht vervoer'!J5:M5</f>
        <v>#VALUE!</v>
      </c>
      <c r="J5" s="1019"/>
      <c r="K5" s="1019"/>
      <c r="L5" s="1006"/>
      <c r="M5" s="2" t="s">
        <v>11</v>
      </c>
      <c r="N5" s="7"/>
      <c r="O5" s="1009" t="e">
        <f>'Licht vervoer'!P5:R5</f>
        <v>#VALUE!</v>
      </c>
      <c r="P5" s="1020"/>
      <c r="Q5" s="1021"/>
    </row>
    <row r="6" spans="1:18" ht="16.5" x14ac:dyDescent="0.35">
      <c r="A6" s="1002" t="s">
        <v>3</v>
      </c>
      <c r="B6" s="919"/>
      <c r="C6" s="1016"/>
      <c r="D6" s="1017" t="e">
        <f>'Licht vervoer'!E6:H6</f>
        <v>#VALUE!</v>
      </c>
      <c r="E6" s="1016"/>
      <c r="F6" s="1016"/>
      <c r="G6" s="1018"/>
      <c r="H6" s="2" t="s">
        <v>8</v>
      </c>
      <c r="I6" s="1022" t="e">
        <f>'Licht vervoer'!J6:M6</f>
        <v>#VALUE!</v>
      </c>
      <c r="J6" s="1019"/>
      <c r="K6" s="1019"/>
      <c r="L6" s="1006"/>
      <c r="M6" s="2" t="s">
        <v>24</v>
      </c>
      <c r="N6" s="8"/>
      <c r="O6" s="1010" t="e">
        <f>'Licht vervoer'!P6:R6</f>
        <v>#VALUE!</v>
      </c>
      <c r="P6" s="1020"/>
      <c r="Q6" s="1021"/>
    </row>
    <row r="7" spans="1:18" ht="16.5" x14ac:dyDescent="0.35">
      <c r="A7" s="1002" t="s">
        <v>4</v>
      </c>
      <c r="B7" s="919"/>
      <c r="C7" s="1003"/>
      <c r="D7" s="1004" t="e">
        <f>'Licht vervoer'!E7:H8</f>
        <v>#VALUE!</v>
      </c>
      <c r="E7" s="1005"/>
      <c r="F7" s="1005"/>
      <c r="G7" s="1006"/>
      <c r="H7" s="20" t="s">
        <v>9</v>
      </c>
      <c r="I7" s="1009" t="e">
        <f>'Licht vervoer'!J7:M7</f>
        <v>#VALUE!</v>
      </c>
      <c r="J7" s="1005"/>
      <c r="K7" s="1005"/>
      <c r="L7" s="1006"/>
      <c r="M7" s="22" t="s">
        <v>12</v>
      </c>
      <c r="N7" s="8"/>
      <c r="O7" s="1010" t="e">
        <f>'Licht vervoer'!P7:R8</f>
        <v>#VALUE!</v>
      </c>
      <c r="P7" s="1011"/>
      <c r="Q7" s="1012"/>
    </row>
    <row r="8" spans="1:18" ht="17.25" thickBot="1" x14ac:dyDescent="0.4">
      <c r="A8" s="6"/>
      <c r="B8" s="21"/>
      <c r="C8" s="21"/>
      <c r="D8" s="1007"/>
      <c r="E8" s="1007"/>
      <c r="F8" s="1007"/>
      <c r="G8" s="1008"/>
      <c r="H8" s="27" t="s">
        <v>10</v>
      </c>
      <c r="I8" s="1015" t="e">
        <f>'Licht vervoer'!J8:M8</f>
        <v>#VALUE!</v>
      </c>
      <c r="J8" s="1007"/>
      <c r="K8" s="1007"/>
      <c r="L8" s="1008"/>
      <c r="M8" s="18"/>
      <c r="N8" s="9"/>
      <c r="O8" s="1013"/>
      <c r="P8" s="1013"/>
      <c r="Q8" s="1014"/>
    </row>
    <row r="9" spans="1:18" ht="17.25" thickBot="1" x14ac:dyDescent="0.4">
      <c r="A9" s="19"/>
      <c r="B9" s="19"/>
      <c r="C9" s="19"/>
      <c r="D9" s="12"/>
      <c r="E9" s="12"/>
      <c r="F9" s="12"/>
      <c r="G9" s="12"/>
      <c r="H9" s="20"/>
      <c r="I9" s="30"/>
      <c r="J9" s="12"/>
      <c r="K9" s="12"/>
      <c r="L9" s="12"/>
      <c r="M9" s="20"/>
      <c r="N9" s="8"/>
      <c r="O9" s="28"/>
      <c r="P9" s="28"/>
      <c r="Q9" s="28"/>
    </row>
    <row r="10" spans="1:18" ht="18" x14ac:dyDescent="0.35">
      <c r="A10" s="23" t="s">
        <v>25</v>
      </c>
      <c r="B10" s="60">
        <f>'Licht vervoer'!B10</f>
        <v>0.29166666666666669</v>
      </c>
      <c r="C10" s="24" t="s">
        <v>26</v>
      </c>
      <c r="D10" s="60">
        <f>'Licht vervoer'!E10</f>
        <v>0.37500000000000017</v>
      </c>
      <c r="E10" s="963" t="s">
        <v>14</v>
      </c>
      <c r="F10" s="964"/>
      <c r="G10" s="965"/>
      <c r="H10" s="950" t="s">
        <v>15</v>
      </c>
      <c r="I10" s="951"/>
      <c r="J10" s="952"/>
      <c r="K10" s="950" t="s">
        <v>16</v>
      </c>
      <c r="L10" s="951"/>
      <c r="M10" s="952"/>
      <c r="N10" s="951" t="s">
        <v>17</v>
      </c>
      <c r="O10" s="951"/>
      <c r="P10" s="951"/>
      <c r="Q10" s="991" t="s">
        <v>21</v>
      </c>
    </row>
    <row r="11" spans="1:18" ht="16.5" x14ac:dyDescent="0.35">
      <c r="A11" s="971" t="str">
        <f>'Licht vervoer'!A11:E12</f>
        <v>Periode 1:</v>
      </c>
      <c r="B11" s="1000"/>
      <c r="C11" s="972"/>
      <c r="D11" s="1001"/>
      <c r="E11" s="29">
        <v>1</v>
      </c>
      <c r="F11" s="44">
        <v>2</v>
      </c>
      <c r="G11" s="13">
        <v>3</v>
      </c>
      <c r="H11" s="40">
        <v>4</v>
      </c>
      <c r="I11" s="44">
        <v>5</v>
      </c>
      <c r="J11" s="13">
        <v>6</v>
      </c>
      <c r="K11" s="40">
        <v>7</v>
      </c>
      <c r="L11" s="44">
        <v>8</v>
      </c>
      <c r="M11" s="13">
        <v>9</v>
      </c>
      <c r="N11" s="41">
        <v>10</v>
      </c>
      <c r="O11" s="44">
        <v>11</v>
      </c>
      <c r="P11" s="15">
        <v>12</v>
      </c>
      <c r="Q11" s="992"/>
    </row>
    <row r="12" spans="1:18" ht="17.25" thickBot="1" x14ac:dyDescent="0.4">
      <c r="A12" s="973"/>
      <c r="B12" s="974"/>
      <c r="C12" s="974"/>
      <c r="D12" s="999"/>
      <c r="E12" s="43" t="s">
        <v>18</v>
      </c>
      <c r="F12" s="45" t="s">
        <v>19</v>
      </c>
      <c r="G12" s="46" t="s">
        <v>20</v>
      </c>
      <c r="H12" s="48" t="s">
        <v>18</v>
      </c>
      <c r="I12" s="45" t="s">
        <v>19</v>
      </c>
      <c r="J12" s="46" t="s">
        <v>20</v>
      </c>
      <c r="K12" s="43" t="s">
        <v>18</v>
      </c>
      <c r="L12" s="45" t="s">
        <v>19</v>
      </c>
      <c r="M12" s="46" t="s">
        <v>20</v>
      </c>
      <c r="N12" s="42" t="s">
        <v>18</v>
      </c>
      <c r="O12" s="45" t="s">
        <v>19</v>
      </c>
      <c r="P12" s="47" t="s">
        <v>20</v>
      </c>
      <c r="Q12" s="993"/>
    </row>
    <row r="13" spans="1:18" ht="18" x14ac:dyDescent="0.35">
      <c r="A13" s="55">
        <f>'Licht vervoer'!A13</f>
        <v>0.29166666666666669</v>
      </c>
      <c r="B13" s="956" t="s">
        <v>23</v>
      </c>
      <c r="C13" s="957"/>
      <c r="D13" s="56">
        <f>'Licht vervoer'!D13</f>
        <v>0.30208333333333337</v>
      </c>
      <c r="E13" s="50">
        <f>'Licht vervoer'!F13+'Zwaar vervoer'!F13*2+IF(' Fietsers '!$S$5=TRUE,' Fietsers '!F15/2,0)</f>
        <v>49</v>
      </c>
      <c r="F13" s="53">
        <f>'Licht vervoer'!G13+'Zwaar vervoer'!G13*2+IF(' Fietsers '!$S$5=TRUE,' Fietsers '!G14/2,0)</f>
        <v>0</v>
      </c>
      <c r="G13" s="144">
        <f>'Licht vervoer'!H13+'Zwaar vervoer'!H13*2+IF(' Fietsers '!$S$5=TRUE,' Fietsers '!H14/2,0)</f>
        <v>67</v>
      </c>
      <c r="H13" s="37">
        <f>'Licht vervoer'!I13+'Zwaar vervoer'!I13 * 2+IF(' Fietsers '!$S$6=TRUE,' Fietsers '!I14/2,0)</f>
        <v>0</v>
      </c>
      <c r="I13" s="53">
        <f>'Licht vervoer'!J13+'Zwaar vervoer'!J13 * 2+IF(' Fietsers '!$S$6=TRUE,' Fietsers '!J14/2,0)</f>
        <v>207</v>
      </c>
      <c r="J13" s="144">
        <f>'Licht vervoer'!K13+'Zwaar vervoer'!K13 * 2+IF(' Fietsers '!$S$6=TRUE,' Fietsers '!K14/2,0)</f>
        <v>63</v>
      </c>
      <c r="K13" s="37">
        <f>'Licht vervoer'!L13+'Zwaar vervoer'!L13 * 2+IF(' Fietsers '!$S$7=TRUE,' Fietsers '!L14/2,0)</f>
        <v>0</v>
      </c>
      <c r="L13" s="53">
        <f>'Licht vervoer'!M13+'Zwaar vervoer'!M13 * 2+IF(' Fietsers '!$S$7=TRUE,' Fietsers '!M14/2,0)</f>
        <v>0</v>
      </c>
      <c r="M13" s="144">
        <f>'Licht vervoer'!N13+'Zwaar vervoer'!N13 * 2+IF(' Fietsers '!$S$7=TRUE,' Fietsers '!N14/2,0)</f>
        <v>0</v>
      </c>
      <c r="N13" s="50">
        <f>'Licht vervoer'!O13+'Zwaar vervoer'!O13 * 2+IF(' Fietsers '!$S$8=TRUE,' Fietsers '!O14/2,0)</f>
        <v>43</v>
      </c>
      <c r="O13" s="53">
        <f>'Licht vervoer'!P13+'Zwaar vervoer'!P13 * 2+IF(' Fietsers '!$S$8=TRUE,' Fietsers '!P14/2,0)</f>
        <v>144</v>
      </c>
      <c r="P13" s="144">
        <f>'Licht vervoer'!Q13+'Zwaar vervoer'!Q13 * 2+IF(' Fietsers '!$S$8=TRUE,' Fietsers '!Q14/2,0)</f>
        <v>0</v>
      </c>
      <c r="Q13" s="65">
        <f>SUM(E13:P13)</f>
        <v>573</v>
      </c>
      <c r="R13">
        <f>R23</f>
        <v>0</v>
      </c>
    </row>
    <row r="14" spans="1:18" ht="18" x14ac:dyDescent="0.35">
      <c r="A14" s="57">
        <f>'Licht vervoer'!A14</f>
        <v>0.30208333333333337</v>
      </c>
      <c r="B14" s="958" t="s">
        <v>23</v>
      </c>
      <c r="C14" s="959"/>
      <c r="D14" s="56">
        <f>'Licht vervoer'!D14</f>
        <v>0.31250000000000006</v>
      </c>
      <c r="E14" s="51">
        <f>'Licht vervoer'!F14+'Zwaar vervoer'!F14*2+IF(' Fietsers '!$S$5=TRUE,' Fietsers '!#REF!/2,0)</f>
        <v>41</v>
      </c>
      <c r="F14" s="52">
        <f>'Licht vervoer'!G14+'Zwaar vervoer'!G14*2+IF(' Fietsers '!$S$5=TRUE,' Fietsers '!G15/2,0)</f>
        <v>0</v>
      </c>
      <c r="G14" s="145">
        <f>'Licht vervoer'!H14+'Zwaar vervoer'!H14*2+IF(' Fietsers '!$S$5=TRUE,' Fietsers '!H15/2,0)</f>
        <v>69</v>
      </c>
      <c r="H14" s="38">
        <f>'Licht vervoer'!I14+'Zwaar vervoer'!I14 * 2+IF(' Fietsers '!$S$6=TRUE,' Fietsers '!I15/2,0)</f>
        <v>0</v>
      </c>
      <c r="I14" s="52">
        <f>'Licht vervoer'!J14+'Zwaar vervoer'!J14 * 2+IF(' Fietsers '!$S$6=TRUE,' Fietsers '!J15/2,0)</f>
        <v>216</v>
      </c>
      <c r="J14" s="145">
        <f>'Licht vervoer'!K14+'Zwaar vervoer'!K14 * 2+IF(' Fietsers '!$S$6=TRUE,' Fietsers '!K15/2,0)</f>
        <v>85</v>
      </c>
      <c r="K14" s="38">
        <f>'Licht vervoer'!L14+'Zwaar vervoer'!L14 * 2+IF(' Fietsers '!$S$7=TRUE,' Fietsers '!L15/2,0)</f>
        <v>0</v>
      </c>
      <c r="L14" s="52">
        <f>'Licht vervoer'!M14+'Zwaar vervoer'!M14 * 2+IF(' Fietsers '!$S$7=TRUE,' Fietsers '!M15/2,0)</f>
        <v>0</v>
      </c>
      <c r="M14" s="145">
        <f>'Licht vervoer'!N14+'Zwaar vervoer'!N14 * 2+IF(' Fietsers '!$S$7=TRUE,' Fietsers '!N15/2,0)</f>
        <v>0</v>
      </c>
      <c r="N14" s="51">
        <f>'Licht vervoer'!O14+'Zwaar vervoer'!O14 * 2+IF(' Fietsers '!$S$8=TRUE,' Fietsers '!O15/2,0)</f>
        <v>48</v>
      </c>
      <c r="O14" s="52">
        <f>'Licht vervoer'!P14+'Zwaar vervoer'!P14 * 2+IF(' Fietsers '!$S$8=TRUE,' Fietsers '!P15/2,0)</f>
        <v>204</v>
      </c>
      <c r="P14" s="145">
        <f>'Licht vervoer'!Q14+'Zwaar vervoer'!Q14 * 2+IF(' Fietsers '!$S$8=TRUE,' Fietsers '!Q15/2,0)</f>
        <v>0</v>
      </c>
      <c r="Q14" s="66">
        <f t="shared" ref="Q14:Q20" si="0">SUM(E14:P14)</f>
        <v>663</v>
      </c>
      <c r="R14">
        <f>R23+R24</f>
        <v>0</v>
      </c>
    </row>
    <row r="15" spans="1:18" ht="18" x14ac:dyDescent="0.35">
      <c r="A15" s="57">
        <f>'Licht vervoer'!A15</f>
        <v>0.31250000000000006</v>
      </c>
      <c r="B15" s="958" t="s">
        <v>23</v>
      </c>
      <c r="C15" s="959"/>
      <c r="D15" s="56">
        <f>'Licht vervoer'!D15</f>
        <v>0.32291666666666674</v>
      </c>
      <c r="E15" s="51">
        <f>'Licht vervoer'!F15+'Zwaar vervoer'!F15*2+IF(' Fietsers '!$S$5=TRUE,' Fietsers '!F16/2,0)</f>
        <v>61</v>
      </c>
      <c r="F15" s="52">
        <f>'Licht vervoer'!G15+'Zwaar vervoer'!G15*2+IF(' Fietsers '!$S$5=TRUE,' Fietsers '!G16/2,0)</f>
        <v>0</v>
      </c>
      <c r="G15" s="145">
        <f>'Licht vervoer'!H15+'Zwaar vervoer'!H15*2+IF(' Fietsers '!$S$5=TRUE,' Fietsers '!H16/2,0)</f>
        <v>65</v>
      </c>
      <c r="H15" s="38">
        <f>'Licht vervoer'!I15+'Zwaar vervoer'!I15 * 2+IF(' Fietsers '!$S$6=TRUE,' Fietsers '!I16/2,0)</f>
        <v>0</v>
      </c>
      <c r="I15" s="52">
        <f>'Licht vervoer'!J15+'Zwaar vervoer'!J15 * 2+IF(' Fietsers '!$S$6=TRUE,' Fietsers '!J16/2,0)</f>
        <v>229</v>
      </c>
      <c r="J15" s="145">
        <f>'Licht vervoer'!K15+'Zwaar vervoer'!K15 * 2+IF(' Fietsers '!$S$6=TRUE,' Fietsers '!K16/2,0)</f>
        <v>99</v>
      </c>
      <c r="K15" s="38">
        <f>'Licht vervoer'!L15+'Zwaar vervoer'!L15 * 2+IF(' Fietsers '!$S$7=TRUE,' Fietsers '!L16/2,0)</f>
        <v>0</v>
      </c>
      <c r="L15" s="52">
        <f>'Licht vervoer'!M15+'Zwaar vervoer'!M15 * 2+IF(' Fietsers '!$S$7=TRUE,' Fietsers '!M16/2,0)</f>
        <v>0</v>
      </c>
      <c r="M15" s="145">
        <f>'Licht vervoer'!N15+'Zwaar vervoer'!N15 * 2+IF(' Fietsers '!$S$7=TRUE,' Fietsers '!N16/2,0)</f>
        <v>0</v>
      </c>
      <c r="N15" s="51">
        <f>'Licht vervoer'!O15+'Zwaar vervoer'!O15 * 2+IF(' Fietsers '!$S$8=TRUE,' Fietsers '!O16/2,0)</f>
        <v>44</v>
      </c>
      <c r="O15" s="52">
        <f>'Licht vervoer'!P15+'Zwaar vervoer'!P15 * 2+IF(' Fietsers '!$S$8=TRUE,' Fietsers '!P16/2,0)</f>
        <v>308</v>
      </c>
      <c r="P15" s="145">
        <f>'Licht vervoer'!Q15+'Zwaar vervoer'!Q15 * 2+IF(' Fietsers '!$S$8=TRUE,' Fietsers '!Q16/2,0)</f>
        <v>0</v>
      </c>
      <c r="Q15" s="66">
        <f t="shared" si="0"/>
        <v>806</v>
      </c>
      <c r="R15">
        <f>R23+R24+R25</f>
        <v>0</v>
      </c>
    </row>
    <row r="16" spans="1:18" ht="18" x14ac:dyDescent="0.35">
      <c r="A16" s="57">
        <f>'Licht vervoer'!A16</f>
        <v>0.32291666666666674</v>
      </c>
      <c r="B16" s="958" t="s">
        <v>23</v>
      </c>
      <c r="C16" s="959"/>
      <c r="D16" s="56">
        <f>'Licht vervoer'!D16</f>
        <v>0.33333333333333343</v>
      </c>
      <c r="E16" s="51">
        <f>'Licht vervoer'!F16+'Zwaar vervoer'!F16*2+IF(' Fietsers '!$S$5=TRUE,' Fietsers '!F17/2,0)</f>
        <v>60</v>
      </c>
      <c r="F16" s="52">
        <f>'Licht vervoer'!G16+'Zwaar vervoer'!G16*2+IF(' Fietsers '!$S$5=TRUE,' Fietsers '!G17/2,0)</f>
        <v>0</v>
      </c>
      <c r="G16" s="145">
        <f>'Licht vervoer'!H16+'Zwaar vervoer'!H16*2+IF(' Fietsers '!$S$5=TRUE,' Fietsers '!H17/2,0)</f>
        <v>110</v>
      </c>
      <c r="H16" s="38">
        <f>'Licht vervoer'!I16+'Zwaar vervoer'!I16 * 2+IF(' Fietsers '!$S$6=TRUE,' Fietsers '!I17/2,0)</f>
        <v>0</v>
      </c>
      <c r="I16" s="52">
        <f>'Licht vervoer'!J16+'Zwaar vervoer'!J16 * 2+IF(' Fietsers '!$S$6=TRUE,' Fietsers '!J17/2,0)</f>
        <v>193</v>
      </c>
      <c r="J16" s="145">
        <f>'Licht vervoer'!K16+'Zwaar vervoer'!K16 * 2+IF(' Fietsers '!$S$6=TRUE,' Fietsers '!K17/2,0)</f>
        <v>105</v>
      </c>
      <c r="K16" s="38">
        <f>'Licht vervoer'!L16+'Zwaar vervoer'!L16 * 2+IF(' Fietsers '!$S$7=TRUE,' Fietsers '!L17/2,0)</f>
        <v>0</v>
      </c>
      <c r="L16" s="52">
        <f>'Licht vervoer'!M16+'Zwaar vervoer'!M16 * 2+IF(' Fietsers '!$S$7=TRUE,' Fietsers '!M17/2,0)</f>
        <v>0</v>
      </c>
      <c r="M16" s="145">
        <f>'Licht vervoer'!N16+'Zwaar vervoer'!N16 * 2+IF(' Fietsers '!$S$7=TRUE,' Fietsers '!N17/2,0)</f>
        <v>0</v>
      </c>
      <c r="N16" s="51">
        <f>'Licht vervoer'!O16+'Zwaar vervoer'!O16 * 2+IF(' Fietsers '!$S$8=TRUE,' Fietsers '!O17/2,0)</f>
        <v>42</v>
      </c>
      <c r="O16" s="52">
        <f>'Licht vervoer'!P16+'Zwaar vervoer'!P16 * 2+IF(' Fietsers '!$S$8=TRUE,' Fietsers '!P17/2,0)</f>
        <v>288</v>
      </c>
      <c r="P16" s="145">
        <f>'Licht vervoer'!Q16+'Zwaar vervoer'!Q16 * 2+IF(' Fietsers '!$S$8=TRUE,' Fietsers '!Q17/2,0)</f>
        <v>0</v>
      </c>
      <c r="Q16" s="66">
        <f t="shared" si="0"/>
        <v>798</v>
      </c>
      <c r="R16">
        <f>R23+R24+R25+R26</f>
        <v>0</v>
      </c>
    </row>
    <row r="17" spans="1:18" ht="18" x14ac:dyDescent="0.35">
      <c r="A17" s="57">
        <f>'Licht vervoer'!A17</f>
        <v>0.33333333333333343</v>
      </c>
      <c r="B17" s="958" t="s">
        <v>23</v>
      </c>
      <c r="C17" s="959"/>
      <c r="D17" s="56">
        <f>'Licht vervoer'!D17</f>
        <v>0.34375000000000011</v>
      </c>
      <c r="E17" s="51">
        <f>'Licht vervoer'!F17+'Zwaar vervoer'!F17*2+IF(' Fietsers '!$S$5=TRUE,' Fietsers '!F18/2,0)</f>
        <v>70</v>
      </c>
      <c r="F17" s="52">
        <f>'Licht vervoer'!G17+'Zwaar vervoer'!G17*2+IF(' Fietsers '!$S$5=TRUE,' Fietsers '!G18/2,0)</f>
        <v>0</v>
      </c>
      <c r="G17" s="145">
        <f>'Licht vervoer'!H17+'Zwaar vervoer'!H17*2+IF(' Fietsers '!$S$5=TRUE,' Fietsers '!H18/2,0)</f>
        <v>109</v>
      </c>
      <c r="H17" s="38">
        <f>'Licht vervoer'!I17+'Zwaar vervoer'!I17 * 2+IF(' Fietsers '!$S$6=TRUE,' Fietsers '!I18/2,0)</f>
        <v>0</v>
      </c>
      <c r="I17" s="52">
        <f>'Licht vervoer'!J17+'Zwaar vervoer'!J17 * 2+IF(' Fietsers '!$S$6=TRUE,' Fietsers '!J18/2,0)</f>
        <v>226</v>
      </c>
      <c r="J17" s="145">
        <f>'Licht vervoer'!K17+'Zwaar vervoer'!K17 * 2+IF(' Fietsers '!$S$6=TRUE,' Fietsers '!K18/2,0)</f>
        <v>116</v>
      </c>
      <c r="K17" s="38">
        <f>'Licht vervoer'!L17+'Zwaar vervoer'!L17 * 2+IF(' Fietsers '!$S$7=TRUE,' Fietsers '!L18/2,0)</f>
        <v>0</v>
      </c>
      <c r="L17" s="52">
        <f>'Licht vervoer'!M17+'Zwaar vervoer'!M17 * 2+IF(' Fietsers '!$S$7=TRUE,' Fietsers '!M18/2,0)</f>
        <v>0</v>
      </c>
      <c r="M17" s="145">
        <f>'Licht vervoer'!N17+'Zwaar vervoer'!N17 * 2+IF(' Fietsers '!$S$7=TRUE,' Fietsers '!N18/2,0)</f>
        <v>0</v>
      </c>
      <c r="N17" s="51">
        <f>'Licht vervoer'!O17+'Zwaar vervoer'!O17 * 2+IF(' Fietsers '!$S$8=TRUE,' Fietsers '!O18/2,0)</f>
        <v>41</v>
      </c>
      <c r="O17" s="52">
        <f>'Licht vervoer'!P17+'Zwaar vervoer'!P17 * 2+IF(' Fietsers '!$S$8=TRUE,' Fietsers '!P18/2,0)</f>
        <v>277</v>
      </c>
      <c r="P17" s="145">
        <f>'Licht vervoer'!Q17+'Zwaar vervoer'!Q17 * 2+IF(' Fietsers '!$S$8=TRUE,' Fietsers '!Q18/2,0)</f>
        <v>0</v>
      </c>
      <c r="Q17" s="66">
        <f t="shared" si="0"/>
        <v>839</v>
      </c>
      <c r="R17">
        <f>R24+R25+R26+R27</f>
        <v>1</v>
      </c>
    </row>
    <row r="18" spans="1:18" ht="18" x14ac:dyDescent="0.35">
      <c r="A18" s="57">
        <f>'Licht vervoer'!A18</f>
        <v>0.34375000000000011</v>
      </c>
      <c r="B18" s="958" t="s">
        <v>23</v>
      </c>
      <c r="C18" s="959"/>
      <c r="D18" s="56">
        <f>'Licht vervoer'!D18</f>
        <v>0.3541666666666668</v>
      </c>
      <c r="E18" s="51">
        <f>'Licht vervoer'!F18+'Zwaar vervoer'!F18*2+IF(' Fietsers '!$S$5=TRUE,' Fietsers '!F19/2,0)</f>
        <v>80</v>
      </c>
      <c r="F18" s="52">
        <f>'Licht vervoer'!G18+'Zwaar vervoer'!G18*2+IF(' Fietsers '!$S$5=TRUE,' Fietsers '!G19/2,0)</f>
        <v>1</v>
      </c>
      <c r="G18" s="145">
        <f>'Licht vervoer'!H18+'Zwaar vervoer'!H18*2+IF(' Fietsers '!$S$5=TRUE,' Fietsers '!H19/2,0)</f>
        <v>121</v>
      </c>
      <c r="H18" s="38">
        <f>'Licht vervoer'!I18+'Zwaar vervoer'!I18 * 2+IF(' Fietsers '!$S$6=TRUE,' Fietsers '!I19/2,0)</f>
        <v>0</v>
      </c>
      <c r="I18" s="52">
        <f>'Licht vervoer'!J18+'Zwaar vervoer'!J18 * 2+IF(' Fietsers '!$S$6=TRUE,' Fietsers '!J19/2,0)</f>
        <v>212</v>
      </c>
      <c r="J18" s="145">
        <f>'Licht vervoer'!K18+'Zwaar vervoer'!K18 * 2+IF(' Fietsers '!$S$6=TRUE,' Fietsers '!K19/2,0)</f>
        <v>100</v>
      </c>
      <c r="K18" s="38">
        <f>'Licht vervoer'!L18+'Zwaar vervoer'!L18 * 2+IF(' Fietsers '!$S$7=TRUE,' Fietsers '!L19/2,0)</f>
        <v>0</v>
      </c>
      <c r="L18" s="52">
        <f>'Licht vervoer'!M18+'Zwaar vervoer'!M18 * 2+IF(' Fietsers '!$S$7=TRUE,' Fietsers '!#REF!/2,0)</f>
        <v>0</v>
      </c>
      <c r="M18" s="145">
        <f>'Licht vervoer'!N18+'Zwaar vervoer'!N18 * 2+IF(' Fietsers '!$S$7=TRUE,' Fietsers '!N19/2,0)</f>
        <v>0</v>
      </c>
      <c r="N18" s="51">
        <f>'Licht vervoer'!O18+'Zwaar vervoer'!O18 * 2+IF(' Fietsers '!$S$8=TRUE,' Fietsers '!O19/2,0)</f>
        <v>50</v>
      </c>
      <c r="O18" s="52">
        <f>'Licht vervoer'!P18+'Zwaar vervoer'!P18 * 2+IF(' Fietsers '!$S$8=TRUE,' Fietsers '!P19/2,0)</f>
        <v>359</v>
      </c>
      <c r="P18" s="145">
        <f>'Licht vervoer'!Q18+'Zwaar vervoer'!Q18 * 2+IF(' Fietsers '!$S$8=TRUE,' Fietsers '!Q19/2,0)</f>
        <v>0</v>
      </c>
      <c r="Q18" s="66">
        <f t="shared" si="0"/>
        <v>923</v>
      </c>
      <c r="R18">
        <f>R25+R26+R27</f>
        <v>1</v>
      </c>
    </row>
    <row r="19" spans="1:18" ht="18" x14ac:dyDescent="0.35">
      <c r="A19" s="57">
        <f>'Licht vervoer'!A19</f>
        <v>0.3541666666666668</v>
      </c>
      <c r="B19" s="958" t="s">
        <v>23</v>
      </c>
      <c r="C19" s="959"/>
      <c r="D19" s="56">
        <f>'Licht vervoer'!D19</f>
        <v>0.36458333333333348</v>
      </c>
      <c r="E19" s="51">
        <f>'Licht vervoer'!F19+'Zwaar vervoer'!F19*2+IF(' Fietsers '!$S$5=TRUE,' Fietsers '!F20/2,0)</f>
        <v>71</v>
      </c>
      <c r="F19" s="52">
        <f>'Licht vervoer'!G19+'Zwaar vervoer'!G19*2+IF(' Fietsers '!$S$5=TRUE,' Fietsers '!G20/2,0)</f>
        <v>0</v>
      </c>
      <c r="G19" s="145">
        <f>'Licht vervoer'!H19+'Zwaar vervoer'!H19*2+IF(' Fietsers '!$S$5=TRUE,' Fietsers '!H20/2,0)</f>
        <v>126</v>
      </c>
      <c r="H19" s="38">
        <f>'Licht vervoer'!I19+'Zwaar vervoer'!I19 * 2+IF(' Fietsers '!$S$6=TRUE,' Fietsers '!I20/2,0)</f>
        <v>0</v>
      </c>
      <c r="I19" s="52">
        <f>'Licht vervoer'!J19+'Zwaar vervoer'!J19 * 2+IF(' Fietsers '!$S$6=TRUE,' Fietsers '!J20/2,0)</f>
        <v>233</v>
      </c>
      <c r="J19" s="145">
        <f>'Licht vervoer'!K19+'Zwaar vervoer'!K19 * 2+IF(' Fietsers '!$S$6=TRUE,' Fietsers '!K20/2,0)</f>
        <v>88</v>
      </c>
      <c r="K19" s="38">
        <f>'Licht vervoer'!L19+'Zwaar vervoer'!L19 * 2+IF(' Fietsers '!$S$7=TRUE,' Fietsers '!L20/2,0)</f>
        <v>0</v>
      </c>
      <c r="L19" s="52">
        <f>'Licht vervoer'!M19+'Zwaar vervoer'!M19 * 2+IF(' Fietsers '!$S$7=TRUE,' Fietsers '!M19/2,0)</f>
        <v>0</v>
      </c>
      <c r="M19" s="145">
        <f>'Licht vervoer'!N19+'Zwaar vervoer'!N19 * 2+IF(' Fietsers '!$S$7=TRUE,' Fietsers '!N20/2,0)</f>
        <v>0</v>
      </c>
      <c r="N19" s="51">
        <f>'Licht vervoer'!O19+'Zwaar vervoer'!O19 * 2+IF(' Fietsers '!$S$8=TRUE,' Fietsers '!O20/2,0)</f>
        <v>37</v>
      </c>
      <c r="O19" s="52">
        <f>'Licht vervoer'!P19+'Zwaar vervoer'!P19 * 2+IF(' Fietsers '!$S$8=TRUE,' Fietsers '!P20/2,0)</f>
        <v>299</v>
      </c>
      <c r="P19" s="145">
        <f>'Licht vervoer'!Q19+'Zwaar vervoer'!Q19 * 2+IF(' Fietsers '!$S$8=TRUE,' Fietsers '!Q20/2,0)</f>
        <v>0</v>
      </c>
      <c r="Q19" s="66">
        <f t="shared" si="0"/>
        <v>854</v>
      </c>
      <c r="R19">
        <f>R26+R27</f>
        <v>1</v>
      </c>
    </row>
    <row r="20" spans="1:18" ht="18.75" thickBot="1" x14ac:dyDescent="0.4">
      <c r="A20" s="58">
        <f>'Licht vervoer'!A20</f>
        <v>0.36458333333333348</v>
      </c>
      <c r="B20" s="969" t="s">
        <v>23</v>
      </c>
      <c r="C20" s="970"/>
      <c r="D20" s="59">
        <f>'Licht vervoer'!D20</f>
        <v>0.37500000000000017</v>
      </c>
      <c r="E20" s="49">
        <f>'Licht vervoer'!F20+'Zwaar vervoer'!F20*2+IF(' Fietsers '!$S$5=TRUE,' Fietsers '!F21/2,0)</f>
        <v>83</v>
      </c>
      <c r="F20" s="54">
        <f>'Licht vervoer'!G20+'Zwaar vervoer'!G20*2+IF(' Fietsers '!$S$5=TRUE,' Fietsers '!G21/2,0)</f>
        <v>0</v>
      </c>
      <c r="G20" s="146">
        <f>'Licht vervoer'!H20+'Zwaar vervoer'!H20*2+IF(' Fietsers '!$S$5=TRUE,' Fietsers '!H21/2,0)</f>
        <v>122</v>
      </c>
      <c r="H20" s="39">
        <f>'Licht vervoer'!I20+'Zwaar vervoer'!I20 * 2+IF(' Fietsers '!$S$6=TRUE,' Fietsers '!I21/2,0)</f>
        <v>0</v>
      </c>
      <c r="I20" s="54">
        <f>'Licht vervoer'!J20+'Zwaar vervoer'!J20 * 2+IF(' Fietsers '!$S$6=TRUE,' Fietsers '!J21/2,0)</f>
        <v>231</v>
      </c>
      <c r="J20" s="146">
        <f>'Licht vervoer'!K20+'Zwaar vervoer'!K20 * 2+IF(' Fietsers '!$S$6=TRUE,' Fietsers '!K21/2,0)</f>
        <v>96</v>
      </c>
      <c r="K20" s="39">
        <f>'Licht vervoer'!L20+'Zwaar vervoer'!L20 * 2+IF(' Fietsers '!$S$7=TRUE,' Fietsers '!L21/2,0)</f>
        <v>0</v>
      </c>
      <c r="L20" s="54">
        <f>'Licht vervoer'!M20+'Zwaar vervoer'!M20 * 2+IF(' Fietsers '!$S$7=TRUE,' Fietsers '!M21/2,0)</f>
        <v>0</v>
      </c>
      <c r="M20" s="146">
        <f>'Licht vervoer'!N20+'Zwaar vervoer'!N20 * 2+IF(' Fietsers '!$S$7=TRUE,' Fietsers '!N21/2,0)</f>
        <v>0</v>
      </c>
      <c r="N20" s="49">
        <f>'Licht vervoer'!O20+'Zwaar vervoer'!O20 * 2+IF(' Fietsers '!$S$8=TRUE,' Fietsers '!O21/2,0)</f>
        <v>42</v>
      </c>
      <c r="O20" s="54">
        <f>'Licht vervoer'!P20+'Zwaar vervoer'!P20 * 2+IF(' Fietsers '!$S$8=TRUE,' Fietsers '!P21/2,0)</f>
        <v>285</v>
      </c>
      <c r="P20" s="146">
        <f>'Licht vervoer'!Q20+'Zwaar vervoer'!Q20 * 2+IF(' Fietsers '!$S$8=TRUE,' Fietsers '!Q21/2,0)</f>
        <v>0</v>
      </c>
      <c r="Q20" s="67">
        <f t="shared" si="0"/>
        <v>859</v>
      </c>
      <c r="R20">
        <f>R27</f>
        <v>1</v>
      </c>
    </row>
    <row r="21" spans="1:18" ht="20.25" thickBot="1" x14ac:dyDescent="0.45">
      <c r="A21" s="998" t="s">
        <v>21</v>
      </c>
      <c r="B21" s="999"/>
      <c r="C21" s="999"/>
      <c r="D21" s="999"/>
      <c r="E21" s="90">
        <f>SUM(E13:E20)</f>
        <v>515</v>
      </c>
      <c r="F21" s="91">
        <f t="shared" ref="F21:P21" si="1">SUM(F13:F20)</f>
        <v>1</v>
      </c>
      <c r="G21" s="92">
        <f t="shared" si="1"/>
        <v>789</v>
      </c>
      <c r="H21" s="93">
        <f t="shared" si="1"/>
        <v>0</v>
      </c>
      <c r="I21" s="91">
        <f t="shared" si="1"/>
        <v>1747</v>
      </c>
      <c r="J21" s="92">
        <f t="shared" si="1"/>
        <v>752</v>
      </c>
      <c r="K21" s="93">
        <f t="shared" si="1"/>
        <v>0</v>
      </c>
      <c r="L21" s="91">
        <f t="shared" si="1"/>
        <v>0</v>
      </c>
      <c r="M21" s="92">
        <f t="shared" si="1"/>
        <v>0</v>
      </c>
      <c r="N21" s="93">
        <f t="shared" si="1"/>
        <v>347</v>
      </c>
      <c r="O21" s="91">
        <f t="shared" si="1"/>
        <v>2164</v>
      </c>
      <c r="P21" s="92">
        <f t="shared" si="1"/>
        <v>0</v>
      </c>
      <c r="Q21" s="64">
        <f xml:space="preserve"> SUM(Q13:Q20)</f>
        <v>6315</v>
      </c>
    </row>
    <row r="22" spans="1:18" ht="21.75" thickBot="1" x14ac:dyDescent="0.5">
      <c r="A22" s="14"/>
      <c r="B22" s="14"/>
      <c r="C22" s="14"/>
      <c r="D22" s="14"/>
      <c r="E22" s="3"/>
      <c r="F22" s="94">
        <f>SUM(E21:G21)</f>
        <v>1305</v>
      </c>
      <c r="G22" s="62"/>
      <c r="H22" s="63"/>
      <c r="I22" s="94">
        <f>SUM(H21:J21)</f>
        <v>2499</v>
      </c>
      <c r="J22" s="62"/>
      <c r="K22" s="63"/>
      <c r="L22" s="94">
        <f>SUM(K21:M21)</f>
        <v>0</v>
      </c>
      <c r="M22" s="62"/>
      <c r="N22" s="63"/>
      <c r="O22" s="94">
        <f>SUM(N21:P21)</f>
        <v>2511</v>
      </c>
      <c r="P22" s="4"/>
      <c r="Q22" s="95">
        <f>SUM(F22+I22+L22+O22)</f>
        <v>6315</v>
      </c>
    </row>
    <row r="23" spans="1:18" ht="18" customHeight="1" x14ac:dyDescent="0.3">
      <c r="A23" s="14"/>
      <c r="B23" s="14"/>
      <c r="C23" s="14"/>
      <c r="D23" s="14"/>
      <c r="E23" s="86">
        <f>IF(AND(SUM($Q13:$Q16)&gt;=SUM($Q14:$Q17),SUM($Q13:$Q16)&gt;=SUM($Q15:$Q18),SUM($Q13:$Q16)&gt;=SUM($Q16:$Q19),SUM($Q13:$Q16)&gt;=SUM($Q17:$Q20)),SUM(E13:E16),0)</f>
        <v>0</v>
      </c>
      <c r="F23" s="86">
        <f t="shared" ref="F23:Q23" si="2">IF(AND(SUM($Q13:$Q16)&gt;=SUM($Q14:$Q17),SUM($Q13:$Q16)&gt;=SUM($Q15:$Q18),SUM($Q13:$Q16)&gt;=SUM($Q16:$Q19),SUM($Q13:$Q16)&gt;=SUM($Q17:$Q20)),SUM(F13:F16),0)</f>
        <v>0</v>
      </c>
      <c r="G23" s="86">
        <f t="shared" si="2"/>
        <v>0</v>
      </c>
      <c r="H23" s="86">
        <f t="shared" si="2"/>
        <v>0</v>
      </c>
      <c r="I23" s="86">
        <f t="shared" si="2"/>
        <v>0</v>
      </c>
      <c r="J23" s="86">
        <f t="shared" si="2"/>
        <v>0</v>
      </c>
      <c r="K23" s="86">
        <f t="shared" si="2"/>
        <v>0</v>
      </c>
      <c r="L23" s="86">
        <f t="shared" si="2"/>
        <v>0</v>
      </c>
      <c r="M23" s="86">
        <f t="shared" si="2"/>
        <v>0</v>
      </c>
      <c r="N23" s="86">
        <f t="shared" si="2"/>
        <v>0</v>
      </c>
      <c r="O23" s="86">
        <f t="shared" si="2"/>
        <v>0</v>
      </c>
      <c r="P23" s="86">
        <f t="shared" si="2"/>
        <v>0</v>
      </c>
      <c r="Q23" s="86">
        <f t="shared" si="2"/>
        <v>0</v>
      </c>
      <c r="R23" s="86">
        <f>IF(AND(SUM($Q13:$Q16)&gt;=SUM($Q14:$Q17),SUM($Q13:$Q16)&gt;=SUM($Q15:$Q18),SUM($Q13:$Q16)&gt;=SUM($Q16:$Q19),SUM($Q13:$Q16)&gt;=SUM($Q17:$Q20)),1,0)</f>
        <v>0</v>
      </c>
    </row>
    <row r="24" spans="1:18" ht="18" customHeight="1" x14ac:dyDescent="0.3">
      <c r="A24" s="14"/>
      <c r="B24" s="14"/>
      <c r="C24" s="14"/>
      <c r="D24" s="14"/>
      <c r="E24" s="86">
        <f>IF(AND(SUM($Q14:$Q17)&gt;=SUM($Q15:$Q18),SUM($Q14:$Q17)&gt;=SUM($Q16:$Q19),SUM($Q14:$Q17)&gt;=SUM($Q17:$Q20),SUM($Q14:$Q17)&gt;SUM($Q13:$Q16)),SUM(E14:E17),0)</f>
        <v>0</v>
      </c>
      <c r="F24" s="86">
        <f t="shared" ref="F24:Q24" si="3">IF(AND(SUM($Q14:$Q17)&gt;=SUM($Q15:$Q18),SUM($Q14:$Q17)&gt;=SUM($Q16:$Q19),SUM($Q14:$Q17)&gt;=SUM($Q17:$Q20),SUM($Q14:$Q17)&gt;SUM($Q13:$Q16)),SUM(F14:F17),0)</f>
        <v>0</v>
      </c>
      <c r="G24" s="86">
        <f t="shared" si="3"/>
        <v>0</v>
      </c>
      <c r="H24" s="86">
        <f t="shared" si="3"/>
        <v>0</v>
      </c>
      <c r="I24" s="86">
        <f t="shared" si="3"/>
        <v>0</v>
      </c>
      <c r="J24" s="86">
        <f t="shared" si="3"/>
        <v>0</v>
      </c>
      <c r="K24" s="86">
        <f t="shared" si="3"/>
        <v>0</v>
      </c>
      <c r="L24" s="86">
        <f t="shared" si="3"/>
        <v>0</v>
      </c>
      <c r="M24" s="86">
        <f t="shared" si="3"/>
        <v>0</v>
      </c>
      <c r="N24" s="86">
        <f t="shared" si="3"/>
        <v>0</v>
      </c>
      <c r="O24" s="86">
        <f t="shared" si="3"/>
        <v>0</v>
      </c>
      <c r="P24" s="86">
        <f t="shared" si="3"/>
        <v>0</v>
      </c>
      <c r="Q24" s="86">
        <f t="shared" si="3"/>
        <v>0</v>
      </c>
      <c r="R24" s="86">
        <f>IF(AND(SUM($Q14:$Q17)&gt;=SUM($Q15:$Q18),SUM($Q14:$Q17)&gt;=SUM($Q16:$Q19),SUM($Q14:$Q17)&gt;=SUM($Q17:$Q20),SUM($Q14:$Q17)&gt;SUM($Q13:$Q16)),1,0)</f>
        <v>0</v>
      </c>
    </row>
    <row r="25" spans="1:18" ht="18" customHeight="1" x14ac:dyDescent="0.3">
      <c r="A25" s="14"/>
      <c r="B25" s="14"/>
      <c r="C25" s="14"/>
      <c r="D25" s="14"/>
      <c r="E25" s="86">
        <f>IF(AND(SUM($Q15:$Q18)&gt;=SUM($Q16:$Q19),SUM($Q15:$Q18)&gt;=SUM($Q17:$Q20),SUM($Q15:$Q18)&gt;SUM($Q14:$Q17),SUM($Q15:$Q18)&gt;SUM($Q13:$Q16)),SUM(E15:E18),0)</f>
        <v>0</v>
      </c>
      <c r="F25" s="86">
        <f t="shared" ref="F25:Q25" si="4">IF(AND(SUM($Q15:$Q18)&gt;=SUM($Q16:$Q19),SUM($Q15:$Q18)&gt;=SUM($Q17:$Q20),SUM($Q15:$Q18)&gt;SUM($Q14:$Q17),SUM($Q15:$Q18)&gt;SUM($Q13:$Q16)),SUM(F15:F18),0)</f>
        <v>0</v>
      </c>
      <c r="G25" s="86">
        <f t="shared" si="4"/>
        <v>0</v>
      </c>
      <c r="H25" s="86">
        <f t="shared" si="4"/>
        <v>0</v>
      </c>
      <c r="I25" s="86">
        <f t="shared" si="4"/>
        <v>0</v>
      </c>
      <c r="J25" s="86">
        <f t="shared" si="4"/>
        <v>0</v>
      </c>
      <c r="K25" s="86">
        <f t="shared" si="4"/>
        <v>0</v>
      </c>
      <c r="L25" s="86">
        <f t="shared" si="4"/>
        <v>0</v>
      </c>
      <c r="M25" s="86">
        <f t="shared" si="4"/>
        <v>0</v>
      </c>
      <c r="N25" s="86">
        <f t="shared" si="4"/>
        <v>0</v>
      </c>
      <c r="O25" s="86">
        <f t="shared" si="4"/>
        <v>0</v>
      </c>
      <c r="P25" s="86">
        <f t="shared" si="4"/>
        <v>0</v>
      </c>
      <c r="Q25" s="86">
        <f t="shared" si="4"/>
        <v>0</v>
      </c>
      <c r="R25" s="86">
        <f>IF(AND(SUM($Q15:$Q18)&gt;=SUM($Q16:$Q19),SUM($Q15:$Q18)&gt;=SUM($Q17:$Q20),SUM($Q15:$Q18)&gt;SUM($Q14:$Q17),SUM($Q15:$Q18)&gt;SUM($Q13:$Q16)),1,0)</f>
        <v>0</v>
      </c>
    </row>
    <row r="26" spans="1:18" ht="18" customHeight="1" x14ac:dyDescent="0.3">
      <c r="A26" s="14"/>
      <c r="B26" s="14"/>
      <c r="C26" s="14"/>
      <c r="D26" s="14"/>
      <c r="E26" s="86">
        <f>IF(AND(SUM($Q16:$Q19)&gt;=SUM($Q17:$Q20),SUM($Q16:$Q19)&gt;SUM($Q15:$Q18),SUM($Q16:$Q19)&gt;SUM($Q14:$Q17),SUM($Q16:$Q19)&gt;SUM($Q13:$Q16)),SUM(E16:E19),0)</f>
        <v>0</v>
      </c>
      <c r="F26" s="86">
        <f t="shared" ref="F26:Q26" si="5">IF(AND(SUM($Q16:$Q19)&gt;=SUM($Q17:$Q20),SUM($Q16:$Q19)&gt;SUM($Q15:$Q18),SUM($Q16:$Q19)&gt;SUM($Q14:$Q17),SUM($Q16:$Q19)&gt;SUM($Q13:$Q16)),SUM(F16:F19),0)</f>
        <v>0</v>
      </c>
      <c r="G26" s="86">
        <f t="shared" si="5"/>
        <v>0</v>
      </c>
      <c r="H26" s="86">
        <f t="shared" si="5"/>
        <v>0</v>
      </c>
      <c r="I26" s="86">
        <f t="shared" si="5"/>
        <v>0</v>
      </c>
      <c r="J26" s="86">
        <f t="shared" si="5"/>
        <v>0</v>
      </c>
      <c r="K26" s="86">
        <f t="shared" si="5"/>
        <v>0</v>
      </c>
      <c r="L26" s="86">
        <f t="shared" si="5"/>
        <v>0</v>
      </c>
      <c r="M26" s="86">
        <f t="shared" si="5"/>
        <v>0</v>
      </c>
      <c r="N26" s="86">
        <f t="shared" si="5"/>
        <v>0</v>
      </c>
      <c r="O26" s="86">
        <f t="shared" si="5"/>
        <v>0</v>
      </c>
      <c r="P26" s="86">
        <f t="shared" si="5"/>
        <v>0</v>
      </c>
      <c r="Q26" s="86">
        <f t="shared" si="5"/>
        <v>0</v>
      </c>
      <c r="R26" s="86">
        <f>IF(AND(SUM($Q16:$Q19)&gt;=SUM($Q17:$Q20),SUM($Q16:$Q19)&gt;SUM($Q15:$Q18),SUM($Q16:$Q19)&gt;SUM($Q14:$Q17),SUM($Q16:$Q19)&gt;SUM($Q13:$Q16)),1,0)</f>
        <v>0</v>
      </c>
    </row>
    <row r="27" spans="1:18" ht="18" customHeight="1" x14ac:dyDescent="0.3">
      <c r="A27" s="14"/>
      <c r="B27" s="14"/>
      <c r="C27" s="14"/>
      <c r="D27" s="14"/>
      <c r="E27" s="86">
        <f>IF(AND(SUM($Q17:$Q20)&gt;SUM($Q16:$Q19),SUM($Q17:$Q20)&gt;SUM($Q15:$Q18),SUM($Q17:$Q20)&gt;SUM($Q14:$Q17),SUM($Q17:$Q20)&gt;SUM($Q13:$Q16)),SUM(E17:E20),0)</f>
        <v>304</v>
      </c>
      <c r="F27" s="86">
        <f t="shared" ref="F27:Q27" si="6">IF(AND(SUM($Q17:$Q20)&gt;SUM($Q16:$Q19),SUM($Q17:$Q20)&gt;SUM($Q15:$Q18),SUM($Q17:$Q20)&gt;SUM($Q14:$Q17),SUM($Q17:$Q20)&gt;SUM($Q13:$Q16)),SUM(F17:F20),0)</f>
        <v>1</v>
      </c>
      <c r="G27" s="86">
        <f t="shared" si="6"/>
        <v>478</v>
      </c>
      <c r="H27" s="86">
        <f t="shared" si="6"/>
        <v>0</v>
      </c>
      <c r="I27" s="86">
        <f t="shared" si="6"/>
        <v>902</v>
      </c>
      <c r="J27" s="86">
        <f t="shared" si="6"/>
        <v>400</v>
      </c>
      <c r="K27" s="86">
        <f t="shared" si="6"/>
        <v>0</v>
      </c>
      <c r="L27" s="86">
        <f t="shared" si="6"/>
        <v>0</v>
      </c>
      <c r="M27" s="86">
        <f t="shared" si="6"/>
        <v>0</v>
      </c>
      <c r="N27" s="86">
        <f t="shared" si="6"/>
        <v>170</v>
      </c>
      <c r="O27" s="86">
        <f t="shared" si="6"/>
        <v>1220</v>
      </c>
      <c r="P27" s="86">
        <f t="shared" si="6"/>
        <v>0</v>
      </c>
      <c r="Q27" s="86">
        <f t="shared" si="6"/>
        <v>3475</v>
      </c>
      <c r="R27" s="86">
        <f>IF(AND(SUM($Q17:$Q20)&gt;SUM($Q16:$Q19),SUM($Q17:$Q20)&gt;SUM($Q15:$Q18),SUM($Q17:$Q20)&gt;SUM($Q14:$Q17),SUM($Q17:$Q20)&gt;SUM($Q13:$Q16)),1,0)</f>
        <v>1</v>
      </c>
    </row>
    <row r="28" spans="1:18" ht="18" customHeight="1" x14ac:dyDescent="0.35">
      <c r="A28" s="14"/>
      <c r="B28" s="14"/>
      <c r="C28" s="14"/>
      <c r="D28" s="14"/>
      <c r="E28" s="41">
        <f>SUM(E23:E27)</f>
        <v>304</v>
      </c>
      <c r="F28" s="44">
        <f t="shared" ref="F28:Q28" si="7">SUM(F23:F27)</f>
        <v>1</v>
      </c>
      <c r="G28" s="15">
        <f t="shared" si="7"/>
        <v>478</v>
      </c>
      <c r="H28" s="41">
        <f t="shared" si="7"/>
        <v>0</v>
      </c>
      <c r="I28" s="44">
        <f t="shared" si="7"/>
        <v>902</v>
      </c>
      <c r="J28" s="15">
        <f t="shared" si="7"/>
        <v>400</v>
      </c>
      <c r="K28" s="41">
        <f t="shared" si="7"/>
        <v>0</v>
      </c>
      <c r="L28" s="44">
        <f t="shared" si="7"/>
        <v>0</v>
      </c>
      <c r="M28" s="15">
        <f t="shared" si="7"/>
        <v>0</v>
      </c>
      <c r="N28" s="41">
        <f t="shared" si="7"/>
        <v>170</v>
      </c>
      <c r="O28" s="44">
        <f t="shared" si="7"/>
        <v>1220</v>
      </c>
      <c r="P28" s="15">
        <f t="shared" si="7"/>
        <v>0</v>
      </c>
      <c r="Q28" s="87">
        <f t="shared" si="7"/>
        <v>3475</v>
      </c>
    </row>
    <row r="29" spans="1:18" ht="18" customHeight="1" x14ac:dyDescent="0.45">
      <c r="A29" s="14"/>
      <c r="B29" s="14"/>
      <c r="C29" s="89" t="s">
        <v>30</v>
      </c>
      <c r="D29" s="89"/>
      <c r="E29" s="5"/>
      <c r="F29" s="88">
        <f>SUM(E28:G28)</f>
        <v>783</v>
      </c>
      <c r="G29" s="84"/>
      <c r="H29" s="84"/>
      <c r="I29" s="88">
        <f>SUM(H28:J28)</f>
        <v>1302</v>
      </c>
      <c r="J29" s="84"/>
      <c r="K29" s="84"/>
      <c r="L29" s="88">
        <f>SUM(K28:M28)</f>
        <v>0</v>
      </c>
      <c r="M29" s="84"/>
      <c r="N29" s="84"/>
      <c r="O29" s="88">
        <f>SUM(N28:P28)</f>
        <v>1390</v>
      </c>
      <c r="P29" s="5"/>
      <c r="Q29" s="85">
        <f>F29+I29+L29+O29</f>
        <v>3475</v>
      </c>
    </row>
    <row r="30" spans="1:18" ht="18" customHeight="1" x14ac:dyDescent="0.45">
      <c r="A30" s="14"/>
      <c r="B30" s="14"/>
      <c r="C30" s="99" t="s">
        <v>31</v>
      </c>
      <c r="D30" s="99"/>
      <c r="E30" s="100"/>
      <c r="F30" s="83">
        <f>H28+L28+P28</f>
        <v>0</v>
      </c>
      <c r="G30" s="84"/>
      <c r="H30" s="84"/>
      <c r="I30" s="83"/>
      <c r="J30" s="84"/>
      <c r="K30" s="84"/>
      <c r="L30" s="83"/>
      <c r="M30" s="84"/>
      <c r="N30" s="84"/>
      <c r="O30" s="83"/>
      <c r="P30" s="5"/>
      <c r="Q30" s="85"/>
    </row>
    <row r="31" spans="1:18" ht="18" customHeight="1" x14ac:dyDescent="0.45">
      <c r="A31" s="14"/>
      <c r="B31" s="14"/>
      <c r="C31" s="99" t="s">
        <v>32</v>
      </c>
      <c r="D31" s="99"/>
      <c r="E31" s="100"/>
      <c r="F31" s="83">
        <f>G28+K28+O28</f>
        <v>1698</v>
      </c>
      <c r="G31" s="84"/>
      <c r="H31" s="84"/>
      <c r="I31" s="83"/>
      <c r="J31" s="84"/>
      <c r="K31" s="84"/>
      <c r="L31" s="83"/>
      <c r="M31" s="84"/>
      <c r="N31" s="84"/>
      <c r="O31" s="83"/>
      <c r="P31" s="5"/>
      <c r="Q31" s="85"/>
    </row>
    <row r="32" spans="1:18" ht="18" customHeight="1" x14ac:dyDescent="0.45">
      <c r="A32" s="14"/>
      <c r="B32" s="14"/>
      <c r="C32" s="99" t="s">
        <v>33</v>
      </c>
      <c r="D32" s="99"/>
      <c r="E32" s="100"/>
      <c r="F32" s="83">
        <f>F28+J28+N28</f>
        <v>571</v>
      </c>
      <c r="G32" s="84"/>
      <c r="H32" s="84"/>
      <c r="I32" s="83"/>
      <c r="J32" s="84"/>
      <c r="K32" s="84"/>
      <c r="L32" s="83"/>
      <c r="M32" s="84"/>
      <c r="N32" s="84"/>
      <c r="O32" s="83"/>
      <c r="P32" s="5"/>
      <c r="Q32" s="85"/>
    </row>
    <row r="33" spans="1:17" ht="18" customHeight="1" x14ac:dyDescent="0.45">
      <c r="A33" s="14"/>
      <c r="B33" s="14"/>
      <c r="C33" s="99" t="s">
        <v>34</v>
      </c>
      <c r="D33" s="99"/>
      <c r="E33" s="100"/>
      <c r="F33" s="83">
        <f>E28+I28+M28</f>
        <v>1206</v>
      </c>
      <c r="G33" s="84"/>
      <c r="H33" s="84"/>
      <c r="I33" s="83"/>
      <c r="J33" s="84"/>
      <c r="K33" s="84"/>
      <c r="L33" s="83"/>
      <c r="M33" s="84"/>
      <c r="N33" s="84"/>
      <c r="O33" s="83"/>
      <c r="P33" s="5"/>
      <c r="Q33" s="85"/>
    </row>
    <row r="34" spans="1:17" ht="18" customHeight="1" thickBot="1" x14ac:dyDescent="0.45">
      <c r="A34" s="14"/>
      <c r="B34" s="14"/>
      <c r="C34" s="14"/>
      <c r="D34" s="14"/>
      <c r="E34" s="5"/>
      <c r="F34" s="16"/>
      <c r="G34" s="5"/>
      <c r="H34" s="5"/>
      <c r="I34" s="16"/>
      <c r="J34" s="5"/>
      <c r="K34" s="5"/>
      <c r="L34" s="16"/>
      <c r="M34" s="5"/>
      <c r="N34" s="5"/>
      <c r="O34" s="16"/>
      <c r="P34" s="5"/>
      <c r="Q34" s="17"/>
    </row>
    <row r="35" spans="1:17" ht="18" x14ac:dyDescent="0.35">
      <c r="A35" s="23" t="s">
        <v>25</v>
      </c>
      <c r="B35" s="31">
        <f>'Licht vervoer'!B24</f>
        <v>0.66666666666666663</v>
      </c>
      <c r="C35" s="24" t="s">
        <v>26</v>
      </c>
      <c r="D35" s="31">
        <f>'Licht vervoer'!E24</f>
        <v>0.74999999999999967</v>
      </c>
      <c r="E35" s="963" t="s">
        <v>14</v>
      </c>
      <c r="F35" s="964"/>
      <c r="G35" s="965"/>
      <c r="H35" s="950" t="s">
        <v>15</v>
      </c>
      <c r="I35" s="951"/>
      <c r="J35" s="952"/>
      <c r="K35" s="950" t="s">
        <v>16</v>
      </c>
      <c r="L35" s="951"/>
      <c r="M35" s="952"/>
      <c r="N35" s="951" t="s">
        <v>17</v>
      </c>
      <c r="O35" s="951"/>
      <c r="P35" s="951"/>
      <c r="Q35" s="991" t="s">
        <v>21</v>
      </c>
    </row>
    <row r="36" spans="1:17" ht="16.5" customHeight="1" x14ac:dyDescent="0.35">
      <c r="A36" s="979" t="str">
        <f>'Licht vervoer'!A25</f>
        <v>Periode 2:</v>
      </c>
      <c r="B36" s="994"/>
      <c r="C36" s="980"/>
      <c r="D36" s="995"/>
      <c r="E36" s="29">
        <v>1</v>
      </c>
      <c r="F36" s="44">
        <v>2</v>
      </c>
      <c r="G36" s="13">
        <v>3</v>
      </c>
      <c r="H36" s="40">
        <v>4</v>
      </c>
      <c r="I36" s="44">
        <v>5</v>
      </c>
      <c r="J36" s="13">
        <v>6</v>
      </c>
      <c r="K36" s="40">
        <v>7</v>
      </c>
      <c r="L36" s="44">
        <v>8</v>
      </c>
      <c r="M36" s="13">
        <v>9</v>
      </c>
      <c r="N36" s="41">
        <v>10</v>
      </c>
      <c r="O36" s="44">
        <v>11</v>
      </c>
      <c r="P36" s="15">
        <v>12</v>
      </c>
      <c r="Q36" s="992"/>
    </row>
    <row r="37" spans="1:17" ht="17.25" thickBot="1" x14ac:dyDescent="0.4">
      <c r="A37" s="981"/>
      <c r="B37" s="982"/>
      <c r="C37" s="982"/>
      <c r="D37" s="990"/>
      <c r="E37" s="43" t="s">
        <v>18</v>
      </c>
      <c r="F37" s="45" t="s">
        <v>19</v>
      </c>
      <c r="G37" s="46" t="s">
        <v>20</v>
      </c>
      <c r="H37" s="48" t="s">
        <v>18</v>
      </c>
      <c r="I37" s="45" t="s">
        <v>19</v>
      </c>
      <c r="J37" s="46" t="s">
        <v>20</v>
      </c>
      <c r="K37" s="43" t="s">
        <v>18</v>
      </c>
      <c r="L37" s="45" t="s">
        <v>19</v>
      </c>
      <c r="M37" s="46" t="s">
        <v>20</v>
      </c>
      <c r="N37" s="42" t="s">
        <v>18</v>
      </c>
      <c r="O37" s="45" t="s">
        <v>19</v>
      </c>
      <c r="P37" s="47" t="s">
        <v>20</v>
      </c>
      <c r="Q37" s="993"/>
    </row>
    <row r="38" spans="1:17" ht="18" customHeight="1" x14ac:dyDescent="0.35">
      <c r="A38" s="101">
        <f>'Licht vervoer'!A27</f>
        <v>0.66666666666666663</v>
      </c>
      <c r="B38" s="996" t="s">
        <v>23</v>
      </c>
      <c r="C38" s="997"/>
      <c r="D38" s="35">
        <f>'Licht vervoer'!D27</f>
        <v>0.67708333333333326</v>
      </c>
      <c r="E38" s="37">
        <f>'Licht vervoer'!F27+'Zwaar vervoer'!F27*2+IF(' Fietsers '!$S$5=TRUE,' Fietsers '!F34/2,0)</f>
        <v>40</v>
      </c>
      <c r="F38" s="53">
        <f>'Licht vervoer'!G27+'Zwaar vervoer'!G27*2+IF(' Fietsers '!$S$5=TRUE,' Fietsers '!G34/2,0)</f>
        <v>2</v>
      </c>
      <c r="G38" s="144">
        <f>'Licht vervoer'!H27+'Zwaar vervoer'!H27*2+IF(' Fietsers '!$S$5=TRUE,' Fietsers '!H34/2,0)</f>
        <v>23</v>
      </c>
      <c r="H38" s="37">
        <f>'Licht vervoer'!I27+'Zwaar vervoer'!I27*2+IF(' Fietsers '!$S$6=TRUE,' Fietsers '!I34/2,0)</f>
        <v>0</v>
      </c>
      <c r="I38" s="53">
        <f>'Licht vervoer'!J27+'Zwaar vervoer'!J27*2+IF(' Fietsers '!$S$6=TRUE,' Fietsers '!J34/2,0)</f>
        <v>285</v>
      </c>
      <c r="J38" s="144">
        <f>'Licht vervoer'!K27+'Zwaar vervoer'!K27*2+IF(' Fietsers '!$S$6=TRUE,' Fietsers '!K34/2,0)</f>
        <v>153</v>
      </c>
      <c r="K38" s="37">
        <f>'Licht vervoer'!L27+'Zwaar vervoer'!L27*2+IF(' Fietsers '!$S$7=TRUE,' Fietsers '!L34/2,0)</f>
        <v>0</v>
      </c>
      <c r="L38" s="53">
        <f>'Licht vervoer'!M27+'Zwaar vervoer'!M27*2+IF(' Fietsers '!$S$7=TRUE,' Fietsers '!M34/2,0)</f>
        <v>0</v>
      </c>
      <c r="M38" s="144">
        <f>'Licht vervoer'!N27+'Zwaar vervoer'!N27*2+IF(' Fietsers '!$S$7=TRUE,' Fietsers '!N34/2,0)</f>
        <v>0</v>
      </c>
      <c r="N38" s="37">
        <f>'Licht vervoer'!O27+'Zwaar vervoer'!O27*2+IF(' Fietsers '!$S$8,' Fietsers '!O34/2,0)</f>
        <v>63</v>
      </c>
      <c r="O38" s="53">
        <f>'Licht vervoer'!P27+'Zwaar vervoer'!P27*2+IF(' Fietsers '!$S$8,' Fietsers '!P34/2,0)</f>
        <v>154</v>
      </c>
      <c r="P38" s="144">
        <f>'Licht vervoer'!Q27+'Zwaar vervoer'!Q27*2+IF(' Fietsers '!$S$8,' Fietsers '!Q34/2,0)</f>
        <v>0</v>
      </c>
      <c r="Q38" s="65">
        <f>SUM(E38:P38)</f>
        <v>720</v>
      </c>
    </row>
    <row r="39" spans="1:17" ht="18" x14ac:dyDescent="0.35">
      <c r="A39" s="102">
        <f>'Licht vervoer'!A28</f>
        <v>0.67708333333333326</v>
      </c>
      <c r="B39" s="985" t="s">
        <v>23</v>
      </c>
      <c r="C39" s="986"/>
      <c r="D39" s="35">
        <f>'Licht vervoer'!D28</f>
        <v>0.68749999999999989</v>
      </c>
      <c r="E39" s="38">
        <f>'Licht vervoer'!F28+'Zwaar vervoer'!F28*2+IF(' Fietsers '!$S$5=TRUE,' Fietsers '!F35/2,0)</f>
        <v>36</v>
      </c>
      <c r="F39" s="52">
        <f>'Licht vervoer'!G28+'Zwaar vervoer'!G28*2+IF(' Fietsers '!$S$5=TRUE,' Fietsers '!G35/2,0)</f>
        <v>1</v>
      </c>
      <c r="G39" s="145">
        <f>'Licht vervoer'!H28+'Zwaar vervoer'!H28*2+IF(' Fietsers '!$S$5=TRUE,' Fietsers '!H35/2,0)</f>
        <v>30</v>
      </c>
      <c r="H39" s="38">
        <f>'Licht vervoer'!I28+'Zwaar vervoer'!I28*2+IF(' Fietsers '!$S$6=TRUE,' Fietsers '!I35/2,0)</f>
        <v>0</v>
      </c>
      <c r="I39" s="52">
        <f>'Licht vervoer'!J28+'Zwaar vervoer'!J28*2+IF(' Fietsers '!$S$6=TRUE,' Fietsers '!J35/2,0)</f>
        <v>259</v>
      </c>
      <c r="J39" s="145">
        <f>'Licht vervoer'!K28+'Zwaar vervoer'!K28*2+IF(' Fietsers '!$S$6=TRUE,' Fietsers '!K35/2,0)</f>
        <v>166</v>
      </c>
      <c r="K39" s="38">
        <f>'Licht vervoer'!L28+'Zwaar vervoer'!L28*2+IF(' Fietsers '!$S$7=TRUE,' Fietsers '!L35/2,0)</f>
        <v>0</v>
      </c>
      <c r="L39" s="52">
        <f>'Licht vervoer'!M28+'Zwaar vervoer'!M28*2+IF(' Fietsers '!$S$7=TRUE,' Fietsers '!M35/2,0)</f>
        <v>0</v>
      </c>
      <c r="M39" s="145">
        <f>'Licht vervoer'!N28+'Zwaar vervoer'!N28*2+IF(' Fietsers '!$S$7=TRUE,' Fietsers '!N35/2,0)</f>
        <v>0</v>
      </c>
      <c r="N39" s="38">
        <f>'Licht vervoer'!O28+'Zwaar vervoer'!O28*2+IF(' Fietsers '!$S$8,' Fietsers '!O35/2,0)</f>
        <v>80</v>
      </c>
      <c r="O39" s="52">
        <f>'Licht vervoer'!P28+'Zwaar vervoer'!P28*2+IF(' Fietsers '!$S$8,' Fietsers '!P35/2,0)</f>
        <v>117</v>
      </c>
      <c r="P39" s="145">
        <f>'Licht vervoer'!Q28+'Zwaar vervoer'!Q28*2+IF(' Fietsers '!$S$8,' Fietsers '!Q35/2,0)</f>
        <v>0</v>
      </c>
      <c r="Q39" s="66">
        <f t="shared" ref="Q39:Q45" si="8">SUM(E39:P39)</f>
        <v>689</v>
      </c>
    </row>
    <row r="40" spans="1:17" ht="18" x14ac:dyDescent="0.35">
      <c r="A40" s="102">
        <f>'Licht vervoer'!A29</f>
        <v>0.68749999999999989</v>
      </c>
      <c r="B40" s="985" t="s">
        <v>23</v>
      </c>
      <c r="C40" s="986"/>
      <c r="D40" s="35">
        <f>'Licht vervoer'!D29</f>
        <v>0.69791666666666652</v>
      </c>
      <c r="E40" s="38">
        <f>'Licht vervoer'!F29+'Zwaar vervoer'!F29*2+IF(' Fietsers '!$S$5=TRUE,' Fietsers '!F36/2,0)</f>
        <v>35</v>
      </c>
      <c r="F40" s="52">
        <f>'Licht vervoer'!G29+'Zwaar vervoer'!G29*2+IF(' Fietsers '!$S$5=TRUE,' Fietsers '!G36/2,0)</f>
        <v>3</v>
      </c>
      <c r="G40" s="145">
        <f>'Licht vervoer'!H29+'Zwaar vervoer'!H29*2+IF(' Fietsers '!$S$5=TRUE,' Fietsers '!H36/2,0)</f>
        <v>34</v>
      </c>
      <c r="H40" s="38">
        <f>'Licht vervoer'!I29+'Zwaar vervoer'!I29*2+IF(' Fietsers '!$S$6=TRUE,' Fietsers '!I36/2,0)</f>
        <v>0</v>
      </c>
      <c r="I40" s="52">
        <f>'Licht vervoer'!J29+'Zwaar vervoer'!J29*2+IF(' Fietsers '!$S$6=TRUE,' Fietsers '!J36/2,0)</f>
        <v>234</v>
      </c>
      <c r="J40" s="145">
        <f>'Licht vervoer'!K29+'Zwaar vervoer'!K29*2+IF(' Fietsers '!$S$6=TRUE,' Fietsers '!K36/2,0)</f>
        <v>161</v>
      </c>
      <c r="K40" s="38">
        <f>'Licht vervoer'!L29+'Zwaar vervoer'!L29*2+IF(' Fietsers '!$S$7=TRUE,' Fietsers '!L36/2,0)</f>
        <v>0</v>
      </c>
      <c r="L40" s="52">
        <f>'Licht vervoer'!M29+'Zwaar vervoer'!M29*2+IF(' Fietsers '!$S$7=TRUE,' Fietsers '!M36/2,0)</f>
        <v>0</v>
      </c>
      <c r="M40" s="145">
        <f>'Licht vervoer'!N29+'Zwaar vervoer'!N29*2+IF(' Fietsers '!$S$7=TRUE,' Fietsers '!N36/2,0)</f>
        <v>0</v>
      </c>
      <c r="N40" s="38">
        <f>'Licht vervoer'!O29+'Zwaar vervoer'!O29*2+IF(' Fietsers '!$S$8,' Fietsers '!O36/2,0)</f>
        <v>73</v>
      </c>
      <c r="O40" s="52">
        <f>'Licht vervoer'!P29+'Zwaar vervoer'!P29*2+IF(' Fietsers '!$S$8,' Fietsers '!P36/2,0)</f>
        <v>188</v>
      </c>
      <c r="P40" s="145">
        <f>'Licht vervoer'!Q29+'Zwaar vervoer'!Q29*2+IF(' Fietsers '!$S$8,' Fietsers '!Q36/2,0)</f>
        <v>0</v>
      </c>
      <c r="Q40" s="66">
        <f t="shared" si="8"/>
        <v>728</v>
      </c>
    </row>
    <row r="41" spans="1:17" ht="18" x14ac:dyDescent="0.35">
      <c r="A41" s="102">
        <f>'Licht vervoer'!A30</f>
        <v>0.69791666666666652</v>
      </c>
      <c r="B41" s="985" t="s">
        <v>23</v>
      </c>
      <c r="C41" s="986"/>
      <c r="D41" s="35">
        <f>'Licht vervoer'!D30</f>
        <v>0.70833333333333315</v>
      </c>
      <c r="E41" s="38">
        <f>'Licht vervoer'!F30+'Zwaar vervoer'!F30*2+IF(' Fietsers '!$S$5=TRUE,' Fietsers '!F37/2,0)</f>
        <v>33</v>
      </c>
      <c r="F41" s="52">
        <f>'Licht vervoer'!G30+'Zwaar vervoer'!G30*2+IF(' Fietsers '!$S$5=TRUE,' Fietsers '!G37/2,0)</f>
        <v>4</v>
      </c>
      <c r="G41" s="145">
        <f>'Licht vervoer'!H30+'Zwaar vervoer'!H30*2+IF(' Fietsers '!$S$5=TRUE,' Fietsers '!H37/2,0)</f>
        <v>27</v>
      </c>
      <c r="H41" s="38">
        <f>'Licht vervoer'!I30+'Zwaar vervoer'!I30*2+IF(' Fietsers '!$S$6=TRUE,' Fietsers '!I37/2,0)</f>
        <v>0</v>
      </c>
      <c r="I41" s="52">
        <f>'Licht vervoer'!J30+'Zwaar vervoer'!J30*2+IF(' Fietsers '!$S$6=TRUE,' Fietsers '!J37/2,0)</f>
        <v>268</v>
      </c>
      <c r="J41" s="145">
        <f>'Licht vervoer'!K30+'Zwaar vervoer'!K30*2+IF(' Fietsers '!$S$6=TRUE,' Fietsers '!K37/2,0)</f>
        <v>161</v>
      </c>
      <c r="K41" s="38">
        <f>'Licht vervoer'!L30+'Zwaar vervoer'!L30*2+IF(' Fietsers '!$S$7=TRUE,' Fietsers '!L37/2,0)</f>
        <v>0</v>
      </c>
      <c r="L41" s="52">
        <f>'Licht vervoer'!M30+'Zwaar vervoer'!M30*2+IF(' Fietsers '!$S$7=TRUE,' Fietsers '!M37/2,0)</f>
        <v>0</v>
      </c>
      <c r="M41" s="145">
        <f>'Licht vervoer'!N30+'Zwaar vervoer'!N30*2+IF(' Fietsers '!$S$7=TRUE,' Fietsers '!N37/2,0)</f>
        <v>0</v>
      </c>
      <c r="N41" s="38">
        <f>'Licht vervoer'!O30+'Zwaar vervoer'!O30*2+IF(' Fietsers '!$S$8,' Fietsers '!O37/2,0)</f>
        <v>62</v>
      </c>
      <c r="O41" s="52">
        <f>'Licht vervoer'!P30+'Zwaar vervoer'!P30*2+IF(' Fietsers '!$S$8,' Fietsers '!P37/2,0)</f>
        <v>171</v>
      </c>
      <c r="P41" s="145">
        <f>'Licht vervoer'!Q30+'Zwaar vervoer'!Q30*2+IF(' Fietsers '!$S$8,' Fietsers '!Q37/2,0)</f>
        <v>0</v>
      </c>
      <c r="Q41" s="66">
        <f t="shared" si="8"/>
        <v>726</v>
      </c>
    </row>
    <row r="42" spans="1:17" ht="18" customHeight="1" x14ac:dyDescent="0.35">
      <c r="A42" s="102">
        <f>'Licht vervoer'!A31</f>
        <v>0.70833333333333315</v>
      </c>
      <c r="B42" s="985" t="s">
        <v>23</v>
      </c>
      <c r="C42" s="986"/>
      <c r="D42" s="35">
        <f>'Licht vervoer'!D31</f>
        <v>0.71874999999999978</v>
      </c>
      <c r="E42" s="38">
        <f>'Licht vervoer'!F31+'Zwaar vervoer'!F31*2+IF(' Fietsers '!$S$5=TRUE,' Fietsers '!F38/2,0)</f>
        <v>39</v>
      </c>
      <c r="F42" s="52">
        <f>'Licht vervoer'!G31+'Zwaar vervoer'!G31*2+IF(' Fietsers '!$S$5=TRUE,' Fietsers '!G38/2,0)</f>
        <v>4</v>
      </c>
      <c r="G42" s="145">
        <f>'Licht vervoer'!H31+'Zwaar vervoer'!H31*2+IF(' Fietsers '!$S$5=TRUE,' Fietsers '!H38/2,0)</f>
        <v>24</v>
      </c>
      <c r="H42" s="38">
        <f>'Licht vervoer'!I31+'Zwaar vervoer'!I31*2+IF(' Fietsers '!$S$6=TRUE,' Fietsers '!I38/2,0)</f>
        <v>0</v>
      </c>
      <c r="I42" s="52">
        <f>'Licht vervoer'!J31+'Zwaar vervoer'!J31*2+IF(' Fietsers '!$S$6=TRUE,' Fietsers '!J38/2,0)</f>
        <v>264</v>
      </c>
      <c r="J42" s="145">
        <f>'Licht vervoer'!K31+'Zwaar vervoer'!K31*2+IF(' Fietsers '!$S$6=TRUE,' Fietsers '!K38/2,0)</f>
        <v>176</v>
      </c>
      <c r="K42" s="38">
        <f>'Licht vervoer'!L31+'Zwaar vervoer'!L31*2+IF(' Fietsers '!$S$7=TRUE,' Fietsers '!L38/2,0)</f>
        <v>0</v>
      </c>
      <c r="L42" s="52">
        <f>'Licht vervoer'!M31+'Zwaar vervoer'!M31*2+IF(' Fietsers '!$S$7=TRUE,' Fietsers '!M38/2,0)</f>
        <v>0</v>
      </c>
      <c r="M42" s="145">
        <f>'Licht vervoer'!N31+'Zwaar vervoer'!N31*2+IF(' Fietsers '!$S$7=TRUE,' Fietsers '!N38/2,0)</f>
        <v>0</v>
      </c>
      <c r="N42" s="38">
        <f>'Licht vervoer'!O31+'Zwaar vervoer'!O31*2+IF(' Fietsers '!$S$8,' Fietsers '!O38/2,0)</f>
        <v>66</v>
      </c>
      <c r="O42" s="52">
        <f>'Licht vervoer'!P31+'Zwaar vervoer'!P31*2+IF(' Fietsers '!$S$8,' Fietsers '!P38/2,0)</f>
        <v>193</v>
      </c>
      <c r="P42" s="145">
        <f>'Licht vervoer'!Q31+'Zwaar vervoer'!Q31*2+IF(' Fietsers '!$S$8,' Fietsers '!Q38/2,0)</f>
        <v>0</v>
      </c>
      <c r="Q42" s="66">
        <f t="shared" si="8"/>
        <v>766</v>
      </c>
    </row>
    <row r="43" spans="1:17" ht="18" x14ac:dyDescent="0.35">
      <c r="A43" s="102">
        <f>'Licht vervoer'!A32</f>
        <v>0.71874999999999978</v>
      </c>
      <c r="B43" s="985" t="s">
        <v>23</v>
      </c>
      <c r="C43" s="986"/>
      <c r="D43" s="35">
        <f>'Licht vervoer'!D32</f>
        <v>0.72916666666666641</v>
      </c>
      <c r="E43" s="38">
        <f>'Licht vervoer'!F32+'Zwaar vervoer'!F32*2+IF(' Fietsers '!$S$5=TRUE,' Fietsers '!F39/2,0)</f>
        <v>47</v>
      </c>
      <c r="F43" s="52">
        <f>'Licht vervoer'!G32+'Zwaar vervoer'!G32*2+IF(' Fietsers '!$S$5=TRUE,' Fietsers '!G39/2,0)</f>
        <v>3</v>
      </c>
      <c r="G43" s="145">
        <f>'Licht vervoer'!H32+'Zwaar vervoer'!H32*2+IF(' Fietsers '!$S$5=TRUE,' Fietsers '!H39/2,0)</f>
        <v>24</v>
      </c>
      <c r="H43" s="38">
        <f>'Licht vervoer'!I32+'Zwaar vervoer'!I32*2+IF(' Fietsers '!$S$6=TRUE,' Fietsers '!I39/2,0)</f>
        <v>0</v>
      </c>
      <c r="I43" s="52">
        <f>'Licht vervoer'!J32+'Zwaar vervoer'!J32*2+IF(' Fietsers '!$S$6=TRUE,' Fietsers '!J39/2,0)</f>
        <v>277</v>
      </c>
      <c r="J43" s="145">
        <f>'Licht vervoer'!K32+'Zwaar vervoer'!K32*2+IF(' Fietsers '!$S$6=TRUE,' Fietsers '!K39/2,0)</f>
        <v>163</v>
      </c>
      <c r="K43" s="38">
        <f>'Licht vervoer'!L32+'Zwaar vervoer'!L32*2+IF(' Fietsers '!$S$7=TRUE,' Fietsers '!L39/2,0)</f>
        <v>0</v>
      </c>
      <c r="L43" s="52">
        <f>'Licht vervoer'!M32+'Zwaar vervoer'!M32*2+IF(' Fietsers '!$S$7=TRUE,' Fietsers '!M39/2,0)</f>
        <v>0</v>
      </c>
      <c r="M43" s="145">
        <f>'Licht vervoer'!N32+'Zwaar vervoer'!N32*2+IF(' Fietsers '!$S$7=TRUE,' Fietsers '!N39/2,0)</f>
        <v>0</v>
      </c>
      <c r="N43" s="38">
        <f>'Licht vervoer'!O32+'Zwaar vervoer'!O32*2+IF(' Fietsers '!$S$8,' Fietsers '!O39/2,0)</f>
        <v>83</v>
      </c>
      <c r="O43" s="52">
        <f>'Licht vervoer'!P32+'Zwaar vervoer'!P32*2+IF(' Fietsers '!$S$8,' Fietsers '!P39/2,0)</f>
        <v>192</v>
      </c>
      <c r="P43" s="145">
        <f>'Licht vervoer'!Q32+'Zwaar vervoer'!Q32*2+IF(' Fietsers '!$S$8,' Fietsers '!Q39/2,0)</f>
        <v>0</v>
      </c>
      <c r="Q43" s="66">
        <f t="shared" si="8"/>
        <v>789</v>
      </c>
    </row>
    <row r="44" spans="1:17" ht="18" x14ac:dyDescent="0.35">
      <c r="A44" s="102">
        <f>'Licht vervoer'!A33</f>
        <v>0.72916666666666641</v>
      </c>
      <c r="B44" s="985" t="s">
        <v>23</v>
      </c>
      <c r="C44" s="986"/>
      <c r="D44" s="35">
        <f>'Licht vervoer'!D33</f>
        <v>0.73958333333333304</v>
      </c>
      <c r="E44" s="38">
        <f>'Licht vervoer'!F33+'Zwaar vervoer'!F33*2+IF(' Fietsers '!$S$5=TRUE,' Fietsers '!F40/2,0)</f>
        <v>47</v>
      </c>
      <c r="F44" s="52">
        <f>'Licht vervoer'!G33+'Zwaar vervoer'!G33*2+IF(' Fietsers '!$S$5=TRUE,' Fietsers '!G40/2,0)</f>
        <v>2</v>
      </c>
      <c r="G44" s="145">
        <f>'Licht vervoer'!H33+'Zwaar vervoer'!H33*2+IF(' Fietsers '!$S$5=TRUE,' Fietsers '!H40/2,0)</f>
        <v>23</v>
      </c>
      <c r="H44" s="38">
        <f>'Licht vervoer'!I33+'Zwaar vervoer'!I33*2+IF(' Fietsers '!$S$6=TRUE,' Fietsers '!I40/2,0)</f>
        <v>0</v>
      </c>
      <c r="I44" s="52">
        <f>'Licht vervoer'!J33+'Zwaar vervoer'!J33*2+IF(' Fietsers '!$S$6=TRUE,' Fietsers '!J40/2,0)</f>
        <v>246</v>
      </c>
      <c r="J44" s="145">
        <f>'Licht vervoer'!K33+'Zwaar vervoer'!K33*2+IF(' Fietsers '!$S$6=TRUE,' Fietsers '!K40/2,0)</f>
        <v>165</v>
      </c>
      <c r="K44" s="38">
        <f>'Licht vervoer'!L33+'Zwaar vervoer'!L33*2+IF(' Fietsers '!$S$7=TRUE,' Fietsers '!L40/2,0)</f>
        <v>0</v>
      </c>
      <c r="L44" s="52">
        <f>'Licht vervoer'!M33+'Zwaar vervoer'!M33*2+IF(' Fietsers '!$S$7=TRUE,' Fietsers '!M40/2,0)</f>
        <v>0</v>
      </c>
      <c r="M44" s="145">
        <f>'Licht vervoer'!N33+'Zwaar vervoer'!N33*2+IF(' Fietsers '!$S$7=TRUE,' Fietsers '!N40/2,0)</f>
        <v>0</v>
      </c>
      <c r="N44" s="38">
        <f>'Licht vervoer'!O33+'Zwaar vervoer'!O33*2+IF(' Fietsers '!$S$8,' Fietsers '!O40/2,0)</f>
        <v>74</v>
      </c>
      <c r="O44" s="52">
        <f>'Licht vervoer'!P33+'Zwaar vervoer'!P33*2+IF(' Fietsers '!$S$8,' Fietsers '!P40/2,0)</f>
        <v>216</v>
      </c>
      <c r="P44" s="145">
        <f>'Licht vervoer'!Q33+'Zwaar vervoer'!Q33*2+IF(' Fietsers '!$S$8,' Fietsers '!Q40/2,0)</f>
        <v>0</v>
      </c>
      <c r="Q44" s="66">
        <f t="shared" si="8"/>
        <v>773</v>
      </c>
    </row>
    <row r="45" spans="1:17" ht="18.75" thickBot="1" x14ac:dyDescent="0.4">
      <c r="A45" s="103">
        <f>'Licht vervoer'!A34</f>
        <v>0.73958333333333304</v>
      </c>
      <c r="B45" s="987" t="s">
        <v>23</v>
      </c>
      <c r="C45" s="988"/>
      <c r="D45" s="36">
        <f>'Licht vervoer'!D34</f>
        <v>0.74999999999999967</v>
      </c>
      <c r="E45" s="39">
        <f>'Licht vervoer'!F34+'Zwaar vervoer'!F34*2+IF(' Fietsers '!$S$5=TRUE,' Fietsers '!F41/2,0)</f>
        <v>46</v>
      </c>
      <c r="F45" s="54">
        <f>'Licht vervoer'!G34+'Zwaar vervoer'!G34*2+IF(' Fietsers '!$S$5=TRUE,' Fietsers '!G41/2,0)</f>
        <v>4</v>
      </c>
      <c r="G45" s="146">
        <f>'Licht vervoer'!H34+'Zwaar vervoer'!H34*2+IF(' Fietsers '!$S$5=TRUE,' Fietsers '!H41/2,0)</f>
        <v>37</v>
      </c>
      <c r="H45" s="39">
        <f>'Licht vervoer'!I34+'Zwaar vervoer'!I34*2+IF(' Fietsers '!$S$6=TRUE,' Fietsers '!I41/2,0)</f>
        <v>0</v>
      </c>
      <c r="I45" s="54">
        <f>'Licht vervoer'!J34+'Zwaar vervoer'!J34*2+IF(' Fietsers '!$S$6=TRUE,' Fietsers '!J41/2,0)</f>
        <v>241</v>
      </c>
      <c r="J45" s="146">
        <f>'Licht vervoer'!K34+'Zwaar vervoer'!K34*2+IF(' Fietsers '!$S$6=TRUE,' Fietsers '!K41/2,0)</f>
        <v>159</v>
      </c>
      <c r="K45" s="39">
        <f>'Licht vervoer'!L34+'Zwaar vervoer'!L34*2+IF(' Fietsers '!$S$7=TRUE,' Fietsers '!L41/2,0)</f>
        <v>0</v>
      </c>
      <c r="L45" s="54">
        <f>'Licht vervoer'!M34+'Zwaar vervoer'!M34*2+IF(' Fietsers '!$S$7=TRUE,' Fietsers '!M41/2,0)</f>
        <v>0</v>
      </c>
      <c r="M45" s="146">
        <f>'Licht vervoer'!N34+'Zwaar vervoer'!N34*2+IF(' Fietsers '!$S$7=TRUE,' Fietsers '!N41/2,0)</f>
        <v>0</v>
      </c>
      <c r="N45" s="39">
        <f>'Licht vervoer'!O34+'Zwaar vervoer'!O34*2+IF(' Fietsers '!$S$8,' Fietsers '!O41/2,0)</f>
        <v>82</v>
      </c>
      <c r="O45" s="54">
        <f>'Licht vervoer'!P34+'Zwaar vervoer'!P34*2+IF(' Fietsers '!$S$8,' Fietsers '!P41/2,0)</f>
        <v>222</v>
      </c>
      <c r="P45" s="146">
        <f>'Licht vervoer'!Q34+'Zwaar vervoer'!Q34*2+IF(' Fietsers '!$S$8,' Fietsers '!Q41/2,0)</f>
        <v>0</v>
      </c>
      <c r="Q45" s="67">
        <f t="shared" si="8"/>
        <v>791</v>
      </c>
    </row>
    <row r="46" spans="1:17" ht="20.25" thickBot="1" x14ac:dyDescent="0.45">
      <c r="A46" s="989" t="s">
        <v>21</v>
      </c>
      <c r="B46" s="990"/>
      <c r="C46" s="990"/>
      <c r="D46" s="990"/>
      <c r="E46" s="96">
        <f>SUM(E38:E45)</f>
        <v>323</v>
      </c>
      <c r="F46" s="147">
        <f t="shared" ref="F46:P46" si="9">SUM(F38:F45)</f>
        <v>23</v>
      </c>
      <c r="G46" s="97">
        <f t="shared" si="9"/>
        <v>222</v>
      </c>
      <c r="H46" s="96">
        <f t="shared" si="9"/>
        <v>0</v>
      </c>
      <c r="I46" s="147">
        <f t="shared" si="9"/>
        <v>2074</v>
      </c>
      <c r="J46" s="97">
        <f t="shared" si="9"/>
        <v>1304</v>
      </c>
      <c r="K46" s="96">
        <f t="shared" si="9"/>
        <v>0</v>
      </c>
      <c r="L46" s="147">
        <f t="shared" si="9"/>
        <v>0</v>
      </c>
      <c r="M46" s="97">
        <f t="shared" si="9"/>
        <v>0</v>
      </c>
      <c r="N46" s="96">
        <f t="shared" si="9"/>
        <v>583</v>
      </c>
      <c r="O46" s="147">
        <f t="shared" si="9"/>
        <v>1453</v>
      </c>
      <c r="P46" s="97">
        <f t="shared" si="9"/>
        <v>0</v>
      </c>
      <c r="Q46" s="64">
        <f xml:space="preserve"> SUM(Q38:Q45)</f>
        <v>5982</v>
      </c>
    </row>
    <row r="47" spans="1:17" ht="21.75" thickBot="1" x14ac:dyDescent="0.5">
      <c r="A47" s="14"/>
      <c r="B47" s="14"/>
      <c r="C47" s="14"/>
      <c r="D47" s="14"/>
      <c r="E47" s="3"/>
      <c r="F47" s="98">
        <f xml:space="preserve"> SUM(E46:G46)</f>
        <v>568</v>
      </c>
      <c r="G47" s="62"/>
      <c r="H47" s="63"/>
      <c r="I47" s="98">
        <f>SUM(H46:J46)</f>
        <v>3378</v>
      </c>
      <c r="J47" s="62"/>
      <c r="K47" s="63"/>
      <c r="L47" s="98">
        <f>SUM(K46:M46)</f>
        <v>0</v>
      </c>
      <c r="M47" s="62"/>
      <c r="N47" s="63"/>
      <c r="O47" s="98">
        <f>SUM(N46:P46)</f>
        <v>2036</v>
      </c>
      <c r="P47" s="4"/>
      <c r="Q47" s="95">
        <f>SUM(F47+I47+L47+O47)</f>
        <v>5982</v>
      </c>
    </row>
    <row r="50" spans="2:2" ht="16.5" x14ac:dyDescent="0.35">
      <c r="B50" s="25"/>
    </row>
    <row r="51" spans="2:2" ht="16.5" x14ac:dyDescent="0.35">
      <c r="B51" s="26"/>
    </row>
  </sheetData>
  <mergeCells count="52">
    <mergeCell ref="A1:Q1"/>
    <mergeCell ref="A2:Q2"/>
    <mergeCell ref="A3:C3"/>
    <mergeCell ref="D3:G3"/>
    <mergeCell ref="I3:L4"/>
    <mergeCell ref="O3:Q3"/>
    <mergeCell ref="A4:C4"/>
    <mergeCell ref="D4:G4"/>
    <mergeCell ref="O4:Q4"/>
    <mergeCell ref="A5:C5"/>
    <mergeCell ref="D5:G5"/>
    <mergeCell ref="I5:L5"/>
    <mergeCell ref="O5:Q5"/>
    <mergeCell ref="A6:C6"/>
    <mergeCell ref="D6:G6"/>
    <mergeCell ref="I6:L6"/>
    <mergeCell ref="O6:Q6"/>
    <mergeCell ref="A7:C7"/>
    <mergeCell ref="D7:G8"/>
    <mergeCell ref="I7:L7"/>
    <mergeCell ref="O7:Q8"/>
    <mergeCell ref="I8:L8"/>
    <mergeCell ref="Q10:Q12"/>
    <mergeCell ref="A11:D12"/>
    <mergeCell ref="B13:C13"/>
    <mergeCell ref="B14:C14"/>
    <mergeCell ref="E10:G10"/>
    <mergeCell ref="H10:J10"/>
    <mergeCell ref="K10:M10"/>
    <mergeCell ref="N10:P10"/>
    <mergeCell ref="B15:C15"/>
    <mergeCell ref="B16:C16"/>
    <mergeCell ref="B17:C17"/>
    <mergeCell ref="B18:C18"/>
    <mergeCell ref="B19:C19"/>
    <mergeCell ref="B20:C20"/>
    <mergeCell ref="A21:D21"/>
    <mergeCell ref="E35:G35"/>
    <mergeCell ref="H35:J35"/>
    <mergeCell ref="K35:M35"/>
    <mergeCell ref="N35:P35"/>
    <mergeCell ref="Q35:Q37"/>
    <mergeCell ref="A36:D37"/>
    <mergeCell ref="B38:C38"/>
    <mergeCell ref="B39:C39"/>
    <mergeCell ref="B40:C40"/>
    <mergeCell ref="B45:C45"/>
    <mergeCell ref="A46:D46"/>
    <mergeCell ref="B41:C41"/>
    <mergeCell ref="B42:C42"/>
    <mergeCell ref="B43:C43"/>
    <mergeCell ref="B44:C44"/>
  </mergeCells>
  <phoneticPr fontId="2" type="noConversion"/>
  <pageMargins left="1.2" right="0.18" top="0.46" bottom="0.17" header="0.5" footer="0.5"/>
  <pageSetup paperSize="9"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1FA4CE1AD6B4586AE2F7ABD8166D3" ma:contentTypeVersion="12" ma:contentTypeDescription="Een nieuw document maken." ma:contentTypeScope="" ma:versionID="ff6284cf00d69234eab2cc98a27032af">
  <xsd:schema xmlns:xsd="http://www.w3.org/2001/XMLSchema" xmlns:xs="http://www.w3.org/2001/XMLSchema" xmlns:p="http://schemas.microsoft.com/office/2006/metadata/properties" xmlns:ns1="http://schemas.microsoft.com/sharepoint/v3" xmlns:ns2="13bdc5d8-128c-48ce-ac69-ece3f6f394e8" xmlns:ns3="http://schemas.microsoft.com/sharepoint/v4" xmlns:ns4="0d10f22a-0b98-420c-b42f-363b5690eeb4" xmlns:ns5="bd38e375-de0a-46a8-868e-f2d23971529b" targetNamespace="http://schemas.microsoft.com/office/2006/metadata/properties" ma:root="true" ma:fieldsID="4ff86c3679434fed96a8ddf79d16e259" ns1:_="" ns2:_="" ns3:_="" ns4:_="" ns5:_="">
    <xsd:import namespace="http://schemas.microsoft.com/sharepoint/v3"/>
    <xsd:import namespace="13bdc5d8-128c-48ce-ac69-ece3f6f394e8"/>
    <xsd:import namespace="http://schemas.microsoft.com/sharepoint/v4"/>
    <xsd:import namespace="0d10f22a-0b98-420c-b42f-363b5690eeb4"/>
    <xsd:import namespace="bd38e375-de0a-46a8-868e-f2d2397152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IconOverlay" minOccurs="0"/>
                <xsd:element ref="ns2:Betrokken_x0020_medewerkers_x0020_verwittigen_x0028_1_x0029_" minOccurs="0"/>
                <xsd:element ref="ns2:Elementen_x0020_door_x0020_verwittigen" minOccurs="0"/>
                <xsd:element ref="ns2:Betrokken_x0020_medewerkers_x0020_verwittigen_x0028_1_x0029_0" minOccurs="0"/>
                <xsd:element ref="ns4:Vraagsteller" minOccurs="0"/>
                <xsd:element ref="ns4:MOWElementenDoor" minOccurs="0"/>
                <xsd:element ref="ns4:MOWGecoordineerdDoor" minOccurs="0"/>
                <xsd:element ref="ns4:MOWNrSV" minOccurs="0"/>
                <xsd:element ref="ns4:MOWNrVOU" minOccurs="0"/>
                <xsd:element ref="ns4:MOWDatumVraag" minOccurs="0"/>
                <xsd:element ref="ns5:SharedWithUsers" minOccurs="0"/>
                <xsd:element ref="ns5:SharedWithDetails" minOccurs="0"/>
                <xsd:element ref="ns1:DocumentSetDescription" minOccurs="0"/>
                <xsd:element ref="ns4:MOWDatumGecoordineerdTegen" minOccurs="0"/>
                <xsd:element ref="ns4:MOWDatumElementenTe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2" nillable="true" ma:displayName="Beschrijving" ma:description="Een beschrijving van de documenten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c5d8-128c-48ce-ac69-ece3f6f394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trokken_x0020_medewerkers_x0020_verwittigen_x0028_1_x0029_" ma:index="11" nillable="true" ma:displayName="Gecoördineerd door verwittigen" ma:internalName="Betrokken_x0020_medewerkers_x0020_verwittigen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lementen_x0020_door_x0020_verwittigen" ma:index="12" nillable="true" ma:displayName="Elementen door verwittigen" ma:internalName="Elementen_x0020_door_x0020_verwittige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etrokken_x0020_medewerkers_x0020_verwittigen_x0028_1_x0029_0" ma:index="13" nillable="true" ma:displayName="Betrokken medewerkers verwittigen" ma:internalName="Betrokken_x0020_medewerkers_x0020_verwittigen_x0028_1_x0029_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10f22a-0b98-420c-b42f-363b5690eeb4" elementFormDefault="qualified">
    <xsd:import namespace="http://schemas.microsoft.com/office/2006/documentManagement/types"/>
    <xsd:import namespace="http://schemas.microsoft.com/office/infopath/2007/PartnerControls"/>
    <xsd:element name="Vraagsteller" ma:index="14" nillable="true" ma:displayName="Vraagsteller" ma:format="Dropdown" ma:internalName="Vraagsteller">
      <xsd:simpleType>
        <xsd:restriction base="dms:Choice">
          <xsd:enumeration value="Els Kindt"/>
          <xsd:enumeration value="Björn Anseeuw"/>
          <xsd:enumeration value="Filip Anthuenis"/>
          <xsd:enumeration value="Erik Arckens"/>
          <xsd:enumeration value="Lionel Bajart"/>
          <xsd:enumeration value="Caroline Bastiaens"/>
          <xsd:enumeration value="Rob Beenders"/>
          <xsd:enumeration value="Jan Bertels"/>
          <xsd:enumeration value="Barbara Bonte"/>
          <xsd:enumeration value="Robrecht Bothuyne"/>
          <xsd:enumeration value="Boudewijn Bouckaert"/>
          <xsd:enumeration value="Karin Brouwers"/>
          <xsd:enumeration value="Ann Brusseel"/>
          <xsd:enumeration value="Agnes Bruyninckx-Vandenhoudt"/>
          <xsd:enumeration value="Karlos Callens"/>
          <xsd:enumeration value="Ludwig Caluwé"/>
          <xsd:enumeration value="Bart Caron"/>
          <xsd:enumeration value="Vera Celis"/>
          <xsd:enumeration value="Patricia Ceysens"/>
          <xsd:enumeration value="Lode Ceyssens"/>
          <xsd:enumeration value="An Christiaens"/>
          <xsd:enumeration value="Sonja Claes"/>
          <xsd:enumeration value="Griet Coppé"/>
          <xsd:enumeration value="Cathy Coudyser"/>
          <xsd:enumeration value="Frank Creyelman"/>
          <xsd:enumeration value="John Crombez"/>
          <xsd:enumeration value="Johan Daenen"/>
          <xsd:enumeration value="Rik Daems"/>
          <xsd:enumeration value="Steve D'Hulster"/>
          <xsd:enumeration value="Guy D'Haeseleer"/>
          <xsd:enumeration value="Sabine De Bethune"/>
          <xsd:enumeration value="Koen Daniëls"/>
          <xsd:enumeration value="Carl Decaluwe"/>
          <xsd:enumeration value="Herman De Croo"/>
          <xsd:enumeration value="Johan Deckmyn"/>
          <xsd:enumeration value="Kathleen Deckx"/>
          <xsd:enumeration value="Piet De Bruyn"/>
          <xsd:enumeration value="Mathias De Clercq"/>
          <xsd:enumeration value="Philippe De Coene"/>
          <xsd:enumeration value="Jean-Jacques De Gucht"/>
          <xsd:enumeration value="Tom Dehaene"/>
          <xsd:enumeration value="Lieven Dehandschutter"/>
          <xsd:enumeration value="Irina De Knop"/>
          <xsd:enumeration value="Dirk de Kort"/>
          <xsd:enumeration value="Kurt De Loor"/>
          <xsd:enumeration value="Jenne De Potter"/>
          <xsd:enumeration value="Ortwin Depoortere"/>
          <xsd:enumeration value="Paul Delva"/>
          <xsd:enumeration value="Mark Demesmaeker"/>
          <xsd:enumeration value="Ingeborg De Meulemeester"/>
          <xsd:enumeration value="Marnic De Meulemeester"/>
          <xsd:enumeration value="Jos De Meyer"/>
          <xsd:enumeration value="Annick De Ridder"/>
          <xsd:enumeration value="Jo De Ro"/>
          <xsd:enumeration value="Mia De Vits"/>
          <xsd:enumeration value="Gwenny De Vroe"/>
          <xsd:enumeration value="Else De Wachter"/>
          <xsd:enumeration value="Patricia De Waele"/>
          <xsd:enumeration value="Bart De Wever"/>
          <xsd:enumeration value="Filip Dewinter"/>
          <xsd:enumeration value="Sophie De Wit"/>
          <xsd:enumeration value="Matthias Diependaele"/>
          <xsd:enumeration value="Marijke Dillen"/>
          <xsd:enumeration value="Bart Dochy"/>
          <xsd:enumeration value="Michel Doomst"/>
          <xsd:enumeration value="Jan Durnez"/>
          <xsd:enumeration value="Jelle Engelbosch"/>
          <xsd:enumeration value="Tine Eerlingen"/>
          <xsd:enumeration value="Martine Fournier"/>
          <xsd:enumeration value="Cindy Franssen"/>
          <xsd:enumeration value="Sven Gatz"/>
          <xsd:enumeration value="Caroline Gennez"/>
          <xsd:enumeration value="Danielle Godderis-T'Jonck"/>
          <xsd:enumeration value="Andries Gryffroy"/>
          <xsd:enumeration value="Peter Gysbrechts"/>
          <xsd:enumeration value="Veerle Heeren"/>
          <xsd:enumeration value="Kathleen Helsen"/>
          <xsd:enumeration value="Marc Hendrickx"/>
          <xsd:enumeration value="Jan Hofkens"/>
          <xsd:enumeration value="Liesbeth Homans"/>
          <xsd:enumeration value="Michèle Hostekint"/>
          <xsd:enumeration value="Pieter Huybrechts"/>
          <xsd:enumeration value="Yamila Idrissi"/>
          <xsd:enumeration value="Lies Jans"/>
          <xsd:enumeration value="Vera Jans"/>
          <xsd:enumeration value="Chris Janssens"/>
          <xsd:enumeration value="Patrick Janssens"/>
          <xsd:enumeration value="Sofie Joosen"/>
          <xsd:enumeration value="Ward Kennes"/>
          <xsd:enumeration value="Marino Keulen"/>
          <xsd:enumeration value="Yasmine Kherbache"/>
          <xsd:enumeration value="Kathleen Krekels"/>
          <xsd:enumeration value="Egbert Lachaert"/>
          <xsd:enumeration value="Renaat Landuyt"/>
          <xsd:enumeration value="Jos Lantmeeters"/>
          <xsd:enumeration value="Jan Laurys"/>
          <xsd:enumeration value="Ingrid Lieten"/>
          <xsd:enumeration value="Marcel Logist"/>
          <xsd:enumeration value="Chokri Mahassine"/>
          <xsd:enumeration value="Bert Maertens"/>
          <xsd:enumeration value="Lieve Maes"/>
          <xsd:enumeration value="Bart Martens"/>
          <xsd:enumeration value="Katleen Martens"/>
          <xsd:enumeration value="Marius Meremans"/>
          <xsd:enumeration value="Elisabeth Meuleman"/>
          <xsd:enumeration value="An Michiels"/>
          <xsd:enumeration value="An Moerenhout"/>
          <xsd:enumeration value="Fientje Moerman"/>
          <xsd:enumeration value="Bart Nevens"/>
          <xsd:enumeration value="Lorin Parys"/>
          <xsd:enumeration value="Katrien Partyka"/>
          <xsd:enumeration value="Dirk Peeters"/>
          <xsd:enumeration value="Lydia Peeters"/>
          <xsd:enumeration value="Fatma Pehlivan"/>
          <xsd:enumeration value="Jan Penris"/>
          <xsd:enumeration value="Jan Peumans"/>
          <xsd:enumeration value="Ingrid Pira"/>
          <xsd:enumeration value="Sabine Poleyn"/>
          <xsd:enumeration value="Joris Poschet"/>
          <xsd:enumeration value="Peter Reekmans"/>
          <xsd:enumeration value="Grete Remen"/>
          <xsd:enumeration value="Gwendolyn Rutten"/>
          <xsd:enumeration value="Els Robeyns"/>
          <xsd:enumeration value="Jan Roegiers"/>
          <xsd:enumeration value="Tinne Rombouts"/>
          <xsd:enumeration value="Björn Rzoska"/>
          <xsd:enumeration value="Ivan Sabbe"/>
          <xsd:enumeration value="Freya Saeys"/>
          <xsd:enumeration value="Hermes Sanctorum"/>
          <xsd:enumeration value="Ludo Sannen"/>
          <xsd:enumeration value="Johan Sauwens"/>
          <xsd:enumeration value="Willem-Frederik Schiltz"/>
          <xsd:enumeration value="Katrien Schryvers"/>
          <xsd:enumeration value="Herman Schueremans"/>
          <xsd:enumeration value="Katia Segers"/>
          <xsd:enumeration value="Willy Segers"/>
          <xsd:enumeration value="Stefaan Sintobin"/>
          <xsd:enumeration value="Elke Sleurs"/>
          <xsd:enumeration value="Griet Smaers"/>
          <xsd:enumeration value="Tine Soens"/>
          <xsd:enumeration value="Ann Soete"/>
          <xsd:enumeration value="Bart Somers"/>
          <xsd:enumeration value="Helga Stevens"/>
          <xsd:enumeration value="Felix Strackx"/>
          <xsd:enumeration value="Nadia Sminate"/>
          <xsd:enumeration value="Erik Tack"/>
          <xsd:enumeration value="Valerie Taeldeman"/>
          <xsd:enumeration value="Martine Taeleman"/>
          <xsd:enumeration value="Emmily Talpe"/>
          <xsd:enumeration value="Bruno Tobback"/>
          <xsd:enumeration value="Bart Tommelein"/>
          <xsd:enumeration value="Güler Turan"/>
          <xsd:enumeration value="Wouter Vanbesien"/>
          <xsd:enumeration value="Wilfried Vandaele"/>
          <xsd:enumeration value="Steve Vandenberghe"/>
          <xsd:enumeration value="Frank Vandenbroucke"/>
          <xsd:enumeration value="Joris Vandenbroucke"/>
          <xsd:enumeration value="Ludo Van Campenhout"/>
          <xsd:enumeration value="Marcus Vanden Bussche"/>
          <xsd:enumeration value="Anke Van Dermeersch"/>
          <xsd:enumeration value="Marleen Van den Eynde"/>
          <xsd:enumeration value="Koen Van den Heuvel"/>
          <xsd:enumeration value="Vera Van der Borght"/>
          <xsd:enumeration value="Francesco Vanderjeugd"/>
          <xsd:enumeration value="Marleen Vanderpoorten"/>
          <xsd:enumeration value="Luckas Van Der Taelen"/>
          <xsd:enumeration value="Marc Van de Vijver"/>
          <xsd:enumeration value="Orry Van De Wauwer"/>
          <xsd:enumeration value="Kris Van Dijck"/>
          <xsd:enumeration value="Miranda Van Eetvelde"/>
          <xsd:enumeration value="Jan Van Esbroeck"/>
          <xsd:enumeration value="Christian Van Eyken"/>
          <xsd:enumeration value="Tom Van Grieken"/>
          <xsd:enumeration value="Joris Van Hauthem"/>
          <xsd:enumeration value="Karl Vanlouwe"/>
          <xsd:enumeration value="Jurgen Vanlerberghe"/>
          <xsd:enumeration value="Bart Van Malderen"/>
          <xsd:enumeration value="Dirk Van Mechelen"/>
          <xsd:enumeration value="Paul Van Miert"/>
          <xsd:enumeration value="Karim Van Overmeire"/>
          <xsd:enumeration value="Eric Van Rompuy"/>
          <xsd:enumeration value="Peter Van Rompuy"/>
          <xsd:enumeration value="Axel Ronse"/>
          <xsd:enumeration value="Sas van Rouveroij"/>
          <xsd:enumeration value="Gerda Van Steenberge"/>
          <xsd:enumeration value="Manuela Van Werde"/>
          <xsd:enumeration value="Peter Vanvelthoven"/>
          <xsd:enumeration value="Mercedes Van Volcem"/>
          <xsd:enumeration value="Daniëlle Vanwesenbeeck"/>
          <xsd:enumeration value="Lode Vereeck"/>
          <xsd:enumeration value="Jan Verfaillie"/>
          <xsd:enumeration value="Goedele Vermeiren"/>
          <xsd:enumeration value="Sabine Vermeulen"/>
          <xsd:enumeration value="Christian Verougstraete"/>
          <xsd:enumeration value="Johan Verstreken"/>
          <xsd:enumeration value="Jurgen Verstrepen"/>
          <xsd:enumeration value="Linda Vissers"/>
          <xsd:enumeration value="Mieke Vogels"/>
          <xsd:enumeration value="Filip Watteeuw"/>
          <xsd:enumeration value="Ulla Werbrouck"/>
          <xsd:enumeration value="Wim Wienen"/>
          <xsd:enumeration value="Peter Wouters"/>
          <xsd:enumeration value="Herman Wynants"/>
          <xsd:enumeration value="Veli Yüksel"/>
        </xsd:restriction>
      </xsd:simpleType>
    </xsd:element>
    <xsd:element name="MOWElementenDoor" ma:index="15" nillable="true" ma:displayName="Elementen van antwoord door" ma:list="UserInfo" ma:SearchPeopleOnly="false" ma:SharePointGroup="0" ma:internalName="MOWElementen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GecoordineerdDoor" ma:index="16" nillable="true" ma:displayName="Gecoördineerd door" ma:list="UserInfo" ma:SearchPeopleOnly="false" ma:SharePointGroup="0" ma:internalName="MOWGecoordineerdDo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OWNrSV" ma:index="17" nillable="true" ma:displayName="Nr SV" ma:indexed="true" ma:internalName="MOWNrSV">
      <xsd:simpleType>
        <xsd:restriction base="dms:Text">
          <xsd:maxLength value="255"/>
        </xsd:restriction>
      </xsd:simpleType>
    </xsd:element>
    <xsd:element name="MOWNrVOU" ma:index="18" nillable="true" ma:displayName="Nr VOU" ma:indexed="true" ma:internalName="MOWNrVOU">
      <xsd:simpleType>
        <xsd:restriction base="dms:Text">
          <xsd:maxLength value="255"/>
        </xsd:restriction>
      </xsd:simpleType>
    </xsd:element>
    <xsd:element name="MOWDatumVraag" ma:index="19" nillable="true" ma:displayName="Datum" ma:format="DateOnly" ma:internalName="MOWDatumVraag">
      <xsd:simpleType>
        <xsd:restriction base="dms:DateTime"/>
      </xsd:simpleType>
    </xsd:element>
    <xsd:element name="MOWDatumGecoordineerdTegen" ma:index="23" nillable="true" ma:displayName="Gecoördineerd tegen" ma:format="DateOnly" ma:internalName="MOWDatumGecoordineerdTegen">
      <xsd:simpleType>
        <xsd:restriction base="dms:DateTime"/>
      </xsd:simpleType>
    </xsd:element>
    <xsd:element name="MOWDatumElementenTegen" ma:index="24" nillable="true" ma:displayName="Elementen tegen" ma:format="DateOnly" ma:internalName="MOWDatumElementenTege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8e375-de0a-46a8-868e-f2d23971529b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WDatumVraag xmlns="0d10f22a-0b98-420c-b42f-363b5690eeb4" xsi:nil="true"/>
    <IconOverlay xmlns="http://schemas.microsoft.com/sharepoint/v4" xsi:nil="true"/>
    <DocumentSetDescription xmlns="http://schemas.microsoft.com/sharepoint/v3">Gevaarlijke punten  -  N26 Leuven (2)</DocumentSetDescription>
    <MOWElementenDoor xmlns="0d10f22a-0b98-420c-b42f-363b5690eeb4">
      <UserInfo>
        <DisplayName/>
        <AccountId xsi:nil="true"/>
        <AccountType/>
      </UserInfo>
    </MOWElementenDoor>
    <MOWGecoordineerdDoor xmlns="0d10f22a-0b98-420c-b42f-363b5690eeb4">
      <UserInfo>
        <DisplayName>AWV - Coördinatie PV</DisplayName>
        <AccountId>30</AccountId>
        <AccountType/>
      </UserInfo>
    </MOWGecoordineerdDoor>
    <Elementen_x0020_door_x0020_verwittigen xmlns="13bdc5d8-128c-48ce-ac69-ece3f6f394e8">
      <Url xsi:nil="true"/>
      <Description xsi:nil="true"/>
    </Elementen_x0020_door_x0020_verwittigen>
    <Vraagsteller xmlns="0d10f22a-0b98-420c-b42f-363b5690eeb4">Karin Brouwers</Vraagsteller>
    <MOWDatumElementenTegen xmlns="0d10f22a-0b98-420c-b42f-363b5690eeb4" xsi:nil="true"/>
    <Betrokken_x0020_medewerkers_x0020_verwittigen_x0028_1_x0029_ xmlns="13bdc5d8-128c-48ce-ac69-ece3f6f394e8">
      <Url xsi:nil="true"/>
      <Description xsi:nil="true"/>
    </Betrokken_x0020_medewerkers_x0020_verwittigen_x0028_1_x0029_>
    <MOWDatumGecoordineerdTegen xmlns="0d10f22a-0b98-420c-b42f-363b5690eeb4">2018-07-05T22:00:00+00:00</MOWDatumGecoordineerdTegen>
    <Betrokken_x0020_medewerkers_x0020_verwittigen_x0028_1_x0029_0 xmlns="13bdc5d8-128c-48ce-ac69-ece3f6f394e8">
      <Url xsi:nil="true"/>
      <Description xsi:nil="true"/>
    </Betrokken_x0020_medewerkers_x0020_verwittigen_x0028_1_x0029_0>
    <MOWNrSV xmlns="0d10f22a-0b98-420c-b42f-363b5690eeb4">1273</MOWNrSV>
    <MOWNrVOU xmlns="0d10f22a-0b98-420c-b42f-363b5690eeb4" xsi:nil="true"/>
  </documentManagement>
</p:properties>
</file>

<file path=customXml/itemProps1.xml><?xml version="1.0" encoding="utf-8"?>
<ds:datastoreItem xmlns:ds="http://schemas.openxmlformats.org/officeDocument/2006/customXml" ds:itemID="{5C6270A0-DBF7-455D-9E6B-1E07B9DEF923}"/>
</file>

<file path=customXml/itemProps2.xml><?xml version="1.0" encoding="utf-8"?>
<ds:datastoreItem xmlns:ds="http://schemas.openxmlformats.org/officeDocument/2006/customXml" ds:itemID="{962C9A67-1D92-4165-B1B7-13DAE112D2DE}"/>
</file>

<file path=customXml/itemProps3.xml><?xml version="1.0" encoding="utf-8"?>
<ds:datastoreItem xmlns:ds="http://schemas.openxmlformats.org/officeDocument/2006/customXml" ds:itemID="{87EFFA12-61E0-479F-82F9-81E737D370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6</vt:i4>
      </vt:variant>
    </vt:vector>
  </HeadingPairs>
  <TitlesOfParts>
    <vt:vector size="15" baseType="lpstr">
      <vt:lpstr>Licht vervoer</vt:lpstr>
      <vt:lpstr>Zwaar vervoer</vt:lpstr>
      <vt:lpstr> Fietsers </vt:lpstr>
      <vt:lpstr>Voetgangers</vt:lpstr>
      <vt:lpstr>Stromendiagram periode 1</vt:lpstr>
      <vt:lpstr>Stromendiagram periode 2</vt:lpstr>
      <vt:lpstr>Samenvattende telresultaten 1</vt:lpstr>
      <vt:lpstr>Samenvattende telresultaten 2</vt:lpstr>
      <vt:lpstr>Licht en zwaar vervoer+fietsers</vt:lpstr>
      <vt:lpstr>' Fietsers '!Afdrukbereik</vt:lpstr>
      <vt:lpstr>'Licht vervoer'!Afdrukbereik</vt:lpstr>
      <vt:lpstr>'Stromendiagram periode 1'!Afdrukbereik</vt:lpstr>
      <vt:lpstr>'Stromendiagram periode 2'!Afdrukbereik</vt:lpstr>
      <vt:lpstr>Voetgangers!Afdrukbereik</vt:lpstr>
      <vt:lpstr>'Zwaar vervoer'!Afdrukbereik</vt:lpstr>
    </vt:vector>
  </TitlesOfParts>
  <Company>MVG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Ferry de Bruin</dc:creator>
  <cp:lastModifiedBy>AutoBVT</cp:lastModifiedBy>
  <cp:lastPrinted>2016-05-18T10:29:19Z</cp:lastPrinted>
  <dcterms:created xsi:type="dcterms:W3CDTF">2010-03-04T09:47:28Z</dcterms:created>
  <dcterms:modified xsi:type="dcterms:W3CDTF">2018-07-19T07:07:58Z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0x010100E571FA4CE1AD6B4586AE2F7ABD8166D3</vt:lpwstr>
  </property>
  <property fmtid="{D5CDD505-2E9C-101B-9397-08002B2CF9AE}" pid="3" name="TaxCatchAll">
    <vt:lpwstr>2;#Weyts</vt:lpwstr>
  </property>
  <property fmtid="{D5CDD505-2E9C-101B-9397-08002B2CF9AE}" pid="4" name="b380ef9a484045d6b3fcbe0714e202bd">
    <vt:lpwstr>Weyts|3bb67fa1-59cf-4f6f-a73e-9cb3bd18d547</vt:lpwstr>
  </property>
</Properties>
</file>