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179 Centra algemeen welzijnswerk (CAW's) - Financiering/"/>
    </mc:Choice>
  </mc:AlternateContent>
  <bookViews>
    <workbookView xWindow="0" yWindow="0" windowWidth="23040" windowHeight="8790" activeTab="5"/>
  </bookViews>
  <sheets>
    <sheet name="RRAC14" sheetId="1" r:id="rId1"/>
    <sheet name="14Detail73" sheetId="2" r:id="rId2"/>
    <sheet name="RRAC15" sheetId="3" r:id="rId3"/>
    <sheet name="15Detail73" sheetId="4" r:id="rId4"/>
    <sheet name="RRAC16" sheetId="5" r:id="rId5"/>
    <sheet name="16Detail73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6" l="1"/>
  <c r="D52" i="6"/>
  <c r="D49" i="6"/>
  <c r="D48" i="6"/>
  <c r="D47" i="6"/>
  <c r="D46" i="6"/>
  <c r="D45" i="6"/>
  <c r="D25" i="6"/>
  <c r="D24" i="6"/>
  <c r="D23" i="6"/>
  <c r="D19" i="6"/>
  <c r="D17" i="6"/>
  <c r="D15" i="6"/>
  <c r="D8" i="6"/>
  <c r="D4" i="6" s="1"/>
  <c r="D6" i="6"/>
  <c r="I40" i="5" l="1"/>
  <c r="J40" i="5" s="1"/>
  <c r="J38" i="5"/>
  <c r="AC38" i="5" s="1"/>
  <c r="AC33" i="5"/>
  <c r="J33" i="5"/>
  <c r="J31" i="5"/>
  <c r="AC31" i="5" s="1"/>
  <c r="AC29" i="5"/>
  <c r="J29" i="5"/>
  <c r="J25" i="5"/>
  <c r="AC25" i="5" s="1"/>
  <c r="J23" i="5"/>
  <c r="AC23" i="5" s="1"/>
  <c r="AC19" i="5"/>
  <c r="J19" i="5"/>
  <c r="Y18" i="5"/>
  <c r="J18" i="5"/>
  <c r="AC18" i="5" s="1"/>
  <c r="J17" i="5"/>
  <c r="AC17" i="5" s="1"/>
  <c r="J16" i="5"/>
  <c r="AC16" i="5" s="1"/>
  <c r="X15" i="5"/>
  <c r="T15" i="5"/>
  <c r="S15" i="5"/>
  <c r="J15" i="5" s="1"/>
  <c r="AC15" i="5" s="1"/>
  <c r="N15" i="5"/>
  <c r="M15" i="5"/>
  <c r="AB14" i="5"/>
  <c r="AA14" i="5"/>
  <c r="Z14" i="5"/>
  <c r="Y14" i="5"/>
  <c r="X14" i="5"/>
  <c r="W14" i="5"/>
  <c r="V14" i="5"/>
  <c r="U14" i="5"/>
  <c r="T14" i="5"/>
  <c r="S14" i="5"/>
  <c r="P14" i="5"/>
  <c r="O14" i="5"/>
  <c r="N14" i="5"/>
  <c r="M14" i="5"/>
  <c r="L14" i="5"/>
  <c r="K14" i="5"/>
  <c r="J14" i="5" s="1"/>
  <c r="AC14" i="5" s="1"/>
  <c r="AB13" i="5"/>
  <c r="AA13" i="5"/>
  <c r="Z13" i="5"/>
  <c r="Y13" i="5"/>
  <c r="X13" i="5"/>
  <c r="W13" i="5"/>
  <c r="V13" i="5"/>
  <c r="U13" i="5"/>
  <c r="T13" i="5"/>
  <c r="S13" i="5"/>
  <c r="Q13" i="5"/>
  <c r="P13" i="5"/>
  <c r="O13" i="5"/>
  <c r="N13" i="5"/>
  <c r="M13" i="5"/>
  <c r="L13" i="5"/>
  <c r="K13" i="5"/>
  <c r="J13" i="5"/>
  <c r="AC13" i="5" s="1"/>
  <c r="I13" i="5"/>
  <c r="AB12" i="5"/>
  <c r="R12" i="5"/>
  <c r="R10" i="5" s="1"/>
  <c r="R9" i="5" s="1"/>
  <c r="R21" i="5" s="1"/>
  <c r="R27" i="5" s="1"/>
  <c r="R35" i="5" s="1"/>
  <c r="R42" i="5" s="1"/>
  <c r="P12" i="5"/>
  <c r="N12" i="5"/>
  <c r="N10" i="5" s="1"/>
  <c r="N9" i="5" s="1"/>
  <c r="N21" i="5" s="1"/>
  <c r="N27" i="5" s="1"/>
  <c r="N35" i="5" s="1"/>
  <c r="N42" i="5" s="1"/>
  <c r="AC11" i="5"/>
  <c r="J11" i="5"/>
  <c r="AB10" i="5"/>
  <c r="AA10" i="5"/>
  <c r="AA9" i="5" s="1"/>
  <c r="AA21" i="5" s="1"/>
  <c r="AA27" i="5" s="1"/>
  <c r="AA35" i="5" s="1"/>
  <c r="AA42" i="5" s="1"/>
  <c r="Z10" i="5"/>
  <c r="Y10" i="5"/>
  <c r="X10" i="5"/>
  <c r="W10" i="5"/>
  <c r="W9" i="5" s="1"/>
  <c r="W21" i="5" s="1"/>
  <c r="W27" i="5" s="1"/>
  <c r="W35" i="5" s="1"/>
  <c r="W42" i="5" s="1"/>
  <c r="V10" i="5"/>
  <c r="U10" i="5"/>
  <c r="T10" i="5"/>
  <c r="S10" i="5"/>
  <c r="S9" i="5" s="1"/>
  <c r="S21" i="5" s="1"/>
  <c r="S27" i="5" s="1"/>
  <c r="S35" i="5" s="1"/>
  <c r="S42" i="5" s="1"/>
  <c r="Q10" i="5"/>
  <c r="P10" i="5"/>
  <c r="O10" i="5"/>
  <c r="O9" i="5" s="1"/>
  <c r="O21" i="5" s="1"/>
  <c r="O27" i="5" s="1"/>
  <c r="O35" i="5" s="1"/>
  <c r="O42" i="5" s="1"/>
  <c r="M10" i="5"/>
  <c r="L10" i="5"/>
  <c r="K10" i="5"/>
  <c r="K9" i="5" s="1"/>
  <c r="K21" i="5" s="1"/>
  <c r="K27" i="5" s="1"/>
  <c r="K35" i="5" s="1"/>
  <c r="K42" i="5" s="1"/>
  <c r="I10" i="5"/>
  <c r="AB9" i="5"/>
  <c r="AB21" i="5" s="1"/>
  <c r="AB27" i="5" s="1"/>
  <c r="AB35" i="5" s="1"/>
  <c r="AB42" i="5" s="1"/>
  <c r="Z9" i="5"/>
  <c r="Z21" i="5" s="1"/>
  <c r="Z27" i="5" s="1"/>
  <c r="Z35" i="5" s="1"/>
  <c r="Z42" i="5" s="1"/>
  <c r="Y9" i="5"/>
  <c r="Y21" i="5" s="1"/>
  <c r="Y27" i="5" s="1"/>
  <c r="Y35" i="5" s="1"/>
  <c r="Y42" i="5" s="1"/>
  <c r="X9" i="5"/>
  <c r="X21" i="5" s="1"/>
  <c r="X27" i="5" s="1"/>
  <c r="X35" i="5" s="1"/>
  <c r="X42" i="5" s="1"/>
  <c r="V9" i="5"/>
  <c r="V21" i="5" s="1"/>
  <c r="V27" i="5" s="1"/>
  <c r="V35" i="5" s="1"/>
  <c r="V42" i="5" s="1"/>
  <c r="U9" i="5"/>
  <c r="U21" i="5" s="1"/>
  <c r="U27" i="5" s="1"/>
  <c r="U35" i="5" s="1"/>
  <c r="U42" i="5" s="1"/>
  <c r="T9" i="5"/>
  <c r="T21" i="5" s="1"/>
  <c r="T27" i="5" s="1"/>
  <c r="T35" i="5" s="1"/>
  <c r="T42" i="5" s="1"/>
  <c r="Q9" i="5"/>
  <c r="Q21" i="5" s="1"/>
  <c r="Q27" i="5" s="1"/>
  <c r="Q35" i="5" s="1"/>
  <c r="Q42" i="5" s="1"/>
  <c r="P9" i="5"/>
  <c r="P21" i="5" s="1"/>
  <c r="P27" i="5" s="1"/>
  <c r="P35" i="5" s="1"/>
  <c r="P42" i="5" s="1"/>
  <c r="M9" i="5"/>
  <c r="M21" i="5" s="1"/>
  <c r="M27" i="5" s="1"/>
  <c r="M35" i="5" s="1"/>
  <c r="M42" i="5" s="1"/>
  <c r="L9" i="5"/>
  <c r="L21" i="5" s="1"/>
  <c r="L27" i="5" s="1"/>
  <c r="L35" i="5" s="1"/>
  <c r="L42" i="5" s="1"/>
  <c r="I9" i="5"/>
  <c r="AC5" i="5"/>
  <c r="J5" i="5"/>
  <c r="J10" i="5" l="1"/>
  <c r="J9" i="5" s="1"/>
  <c r="J21" i="5" s="1"/>
  <c r="J27" i="5" s="1"/>
  <c r="J35" i="5" s="1"/>
  <c r="J42" i="5" s="1"/>
  <c r="I21" i="5"/>
  <c r="I27" i="5" s="1"/>
  <c r="I35" i="5" s="1"/>
  <c r="I42" i="5" s="1"/>
  <c r="AC10" i="5"/>
  <c r="AC40" i="5"/>
  <c r="J12" i="5"/>
  <c r="AC12" i="5" s="1"/>
  <c r="AC9" i="5" l="1"/>
  <c r="AC21" i="5" s="1"/>
  <c r="AC27" i="5" s="1"/>
  <c r="AC35" i="5" s="1"/>
  <c r="AC42" i="5" s="1"/>
  <c r="D57" i="4" l="1"/>
  <c r="D56" i="4"/>
  <c r="D55" i="4"/>
  <c r="D54" i="4"/>
  <c r="D52" i="4"/>
  <c r="D40" i="4"/>
  <c r="D37" i="4"/>
  <c r="D36" i="4"/>
  <c r="D34" i="4"/>
  <c r="D33" i="4"/>
  <c r="D31" i="4"/>
  <c r="D30" i="4"/>
  <c r="D28" i="4"/>
  <c r="D27" i="4"/>
  <c r="D14" i="4"/>
  <c r="D13" i="4"/>
  <c r="D8" i="4" s="1"/>
  <c r="D4" i="4" s="1"/>
  <c r="D12" i="4"/>
  <c r="D6" i="4"/>
  <c r="R48" i="3"/>
  <c r="Q45" i="3"/>
  <c r="P45" i="3"/>
  <c r="R45" i="3" s="1"/>
  <c r="R47" i="3" s="1"/>
  <c r="AE40" i="3"/>
  <c r="J40" i="3"/>
  <c r="J38" i="3"/>
  <c r="AE38" i="3" s="1"/>
  <c r="AE33" i="3"/>
  <c r="J33" i="3"/>
  <c r="J31" i="3"/>
  <c r="AE31" i="3" s="1"/>
  <c r="AE29" i="3"/>
  <c r="J29" i="3"/>
  <c r="J25" i="3"/>
  <c r="AE25" i="3" s="1"/>
  <c r="J23" i="3"/>
  <c r="AE23" i="3" s="1"/>
  <c r="AE19" i="3"/>
  <c r="J19" i="3"/>
  <c r="J18" i="3"/>
  <c r="AE18" i="3" s="1"/>
  <c r="AE17" i="3"/>
  <c r="J17" i="3"/>
  <c r="J16" i="3"/>
  <c r="AE16" i="3" s="1"/>
  <c r="AD15" i="3"/>
  <c r="AC15" i="3"/>
  <c r="AB15" i="3"/>
  <c r="Z15" i="3"/>
  <c r="X15" i="3"/>
  <c r="W15" i="3"/>
  <c r="V15" i="3"/>
  <c r="U15" i="3"/>
  <c r="J15" i="3" s="1"/>
  <c r="AE15" i="3" s="1"/>
  <c r="S15" i="3"/>
  <c r="O15" i="3"/>
  <c r="AE14" i="3"/>
  <c r="AA14" i="3"/>
  <c r="J14" i="3"/>
  <c r="J13" i="3"/>
  <c r="AE13" i="3" s="1"/>
  <c r="V12" i="3"/>
  <c r="J12" i="3"/>
  <c r="AE12" i="3" s="1"/>
  <c r="AE11" i="3"/>
  <c r="J11" i="3"/>
  <c r="AD10" i="3"/>
  <c r="AD9" i="3" s="1"/>
  <c r="AD21" i="3" s="1"/>
  <c r="AD27" i="3" s="1"/>
  <c r="AD35" i="3" s="1"/>
  <c r="AD42" i="3" s="1"/>
  <c r="AC10" i="3"/>
  <c r="AC9" i="3" s="1"/>
  <c r="AC21" i="3" s="1"/>
  <c r="AC27" i="3" s="1"/>
  <c r="AC35" i="3" s="1"/>
  <c r="AC42" i="3" s="1"/>
  <c r="AB10" i="3"/>
  <c r="AA10" i="3"/>
  <c r="Z10" i="3"/>
  <c r="Z9" i="3" s="1"/>
  <c r="Z21" i="3" s="1"/>
  <c r="Z27" i="3" s="1"/>
  <c r="Z35" i="3" s="1"/>
  <c r="Z42" i="3" s="1"/>
  <c r="Y10" i="3"/>
  <c r="Y9" i="3" s="1"/>
  <c r="Y21" i="3" s="1"/>
  <c r="Y27" i="3" s="1"/>
  <c r="Y35" i="3" s="1"/>
  <c r="Y42" i="3" s="1"/>
  <c r="X10" i="3"/>
  <c r="W10" i="3"/>
  <c r="V10" i="3"/>
  <c r="V9" i="3" s="1"/>
  <c r="V21" i="3" s="1"/>
  <c r="V27" i="3" s="1"/>
  <c r="V35" i="3" s="1"/>
  <c r="V42" i="3" s="1"/>
  <c r="U10" i="3"/>
  <c r="U9" i="3" s="1"/>
  <c r="U21" i="3" s="1"/>
  <c r="U27" i="3" s="1"/>
  <c r="U35" i="3" s="1"/>
  <c r="U42" i="3" s="1"/>
  <c r="T10" i="3"/>
  <c r="S10" i="3"/>
  <c r="R10" i="3"/>
  <c r="R9" i="3" s="1"/>
  <c r="R21" i="3" s="1"/>
  <c r="R27" i="3" s="1"/>
  <c r="R35" i="3" s="1"/>
  <c r="R42" i="3" s="1"/>
  <c r="Q10" i="3"/>
  <c r="Q9" i="3" s="1"/>
  <c r="Q21" i="3" s="1"/>
  <c r="Q27" i="3" s="1"/>
  <c r="Q35" i="3" s="1"/>
  <c r="Q42" i="3" s="1"/>
  <c r="P10" i="3"/>
  <c r="O10" i="3"/>
  <c r="N10" i="3"/>
  <c r="N9" i="3" s="1"/>
  <c r="N21" i="3" s="1"/>
  <c r="N27" i="3" s="1"/>
  <c r="N35" i="3" s="1"/>
  <c r="N42" i="3" s="1"/>
  <c r="M10" i="3"/>
  <c r="M9" i="3" s="1"/>
  <c r="M21" i="3" s="1"/>
  <c r="M27" i="3" s="1"/>
  <c r="M35" i="3" s="1"/>
  <c r="M42" i="3" s="1"/>
  <c r="L10" i="3"/>
  <c r="K10" i="3"/>
  <c r="I10" i="3"/>
  <c r="I9" i="3" s="1"/>
  <c r="AB9" i="3"/>
  <c r="AB21" i="3" s="1"/>
  <c r="AB27" i="3" s="1"/>
  <c r="AB35" i="3" s="1"/>
  <c r="AB42" i="3" s="1"/>
  <c r="AA9" i="3"/>
  <c r="AA21" i="3" s="1"/>
  <c r="AA27" i="3" s="1"/>
  <c r="AA35" i="3" s="1"/>
  <c r="AA42" i="3" s="1"/>
  <c r="X9" i="3"/>
  <c r="X21" i="3" s="1"/>
  <c r="X27" i="3" s="1"/>
  <c r="X35" i="3" s="1"/>
  <c r="X42" i="3" s="1"/>
  <c r="W9" i="3"/>
  <c r="W21" i="3" s="1"/>
  <c r="W27" i="3" s="1"/>
  <c r="W35" i="3" s="1"/>
  <c r="W42" i="3" s="1"/>
  <c r="T9" i="3"/>
  <c r="T21" i="3" s="1"/>
  <c r="T27" i="3" s="1"/>
  <c r="T35" i="3" s="1"/>
  <c r="T42" i="3" s="1"/>
  <c r="S9" i="3"/>
  <c r="S21" i="3" s="1"/>
  <c r="S27" i="3" s="1"/>
  <c r="S35" i="3" s="1"/>
  <c r="S42" i="3" s="1"/>
  <c r="P9" i="3"/>
  <c r="P21" i="3" s="1"/>
  <c r="P27" i="3" s="1"/>
  <c r="P35" i="3" s="1"/>
  <c r="P42" i="3" s="1"/>
  <c r="O9" i="3"/>
  <c r="O21" i="3" s="1"/>
  <c r="O27" i="3" s="1"/>
  <c r="O35" i="3" s="1"/>
  <c r="O42" i="3" s="1"/>
  <c r="L9" i="3"/>
  <c r="L21" i="3" s="1"/>
  <c r="L27" i="3" s="1"/>
  <c r="L35" i="3" s="1"/>
  <c r="L42" i="3" s="1"/>
  <c r="K9" i="3"/>
  <c r="K21" i="3" s="1"/>
  <c r="K27" i="3" s="1"/>
  <c r="K35" i="3" s="1"/>
  <c r="K42" i="3" s="1"/>
  <c r="L5" i="3"/>
  <c r="J5" i="3" s="1"/>
  <c r="AE5" i="3" s="1"/>
  <c r="I21" i="3" l="1"/>
  <c r="I27" i="3" s="1"/>
  <c r="I35" i="3" s="1"/>
  <c r="I42" i="3" s="1"/>
  <c r="J10" i="3"/>
  <c r="J9" i="3" s="1"/>
  <c r="J21" i="3" s="1"/>
  <c r="J27" i="3" s="1"/>
  <c r="J35" i="3" s="1"/>
  <c r="J42" i="3" s="1"/>
  <c r="AE10" i="3"/>
  <c r="AE9" i="3" l="1"/>
  <c r="AE21" i="3" s="1"/>
  <c r="AE27" i="3" s="1"/>
  <c r="AE35" i="3" s="1"/>
  <c r="AE42" i="3" s="1"/>
  <c r="D56" i="2" l="1"/>
  <c r="D14" i="2"/>
  <c r="D13" i="2"/>
  <c r="D12" i="2"/>
  <c r="D9" i="2" s="1"/>
  <c r="D5" i="2" s="1"/>
  <c r="D11" i="2"/>
  <c r="D7" i="2"/>
  <c r="AE40" i="1" l="1"/>
  <c r="J40" i="1"/>
  <c r="AE38" i="1"/>
  <c r="J38" i="1"/>
  <c r="AE33" i="1"/>
  <c r="J33" i="1"/>
  <c r="AE31" i="1"/>
  <c r="J31" i="1"/>
  <c r="AE29" i="1"/>
  <c r="J29" i="1"/>
  <c r="AE25" i="1"/>
  <c r="J25" i="1"/>
  <c r="AE23" i="1"/>
  <c r="J23" i="1"/>
  <c r="AD21" i="1"/>
  <c r="AD27" i="1" s="1"/>
  <c r="AD35" i="1" s="1"/>
  <c r="AD42" i="1" s="1"/>
  <c r="AC21" i="1"/>
  <c r="AC27" i="1" s="1"/>
  <c r="AC35" i="1" s="1"/>
  <c r="AC42" i="1" s="1"/>
  <c r="AB21" i="1"/>
  <c r="AB27" i="1" s="1"/>
  <c r="AB35" i="1" s="1"/>
  <c r="AB42" i="1" s="1"/>
  <c r="AA21" i="1"/>
  <c r="AA27" i="1" s="1"/>
  <c r="AA35" i="1" s="1"/>
  <c r="AA42" i="1" s="1"/>
  <c r="Z21" i="1"/>
  <c r="Z27" i="1" s="1"/>
  <c r="Z35" i="1" s="1"/>
  <c r="Z42" i="1" s="1"/>
  <c r="Y21" i="1"/>
  <c r="Y27" i="1" s="1"/>
  <c r="Y35" i="1" s="1"/>
  <c r="Y42" i="1" s="1"/>
  <c r="X21" i="1"/>
  <c r="X27" i="1" s="1"/>
  <c r="X35" i="1" s="1"/>
  <c r="X42" i="1" s="1"/>
  <c r="W21" i="1"/>
  <c r="W27" i="1" s="1"/>
  <c r="W35" i="1" s="1"/>
  <c r="W42" i="1" s="1"/>
  <c r="V21" i="1"/>
  <c r="V27" i="1" s="1"/>
  <c r="V35" i="1" s="1"/>
  <c r="V42" i="1" s="1"/>
  <c r="U21" i="1"/>
  <c r="U27" i="1" s="1"/>
  <c r="U35" i="1" s="1"/>
  <c r="U42" i="1" s="1"/>
  <c r="T21" i="1"/>
  <c r="T27" i="1" s="1"/>
  <c r="T35" i="1" s="1"/>
  <c r="T42" i="1" s="1"/>
  <c r="S21" i="1"/>
  <c r="S27" i="1" s="1"/>
  <c r="S35" i="1" s="1"/>
  <c r="S42" i="1" s="1"/>
  <c r="R21" i="1"/>
  <c r="R27" i="1" s="1"/>
  <c r="R35" i="1" s="1"/>
  <c r="R42" i="1" s="1"/>
  <c r="Q21" i="1"/>
  <c r="Q27" i="1" s="1"/>
  <c r="Q35" i="1" s="1"/>
  <c r="Q42" i="1" s="1"/>
  <c r="P21" i="1"/>
  <c r="P27" i="1" s="1"/>
  <c r="P35" i="1" s="1"/>
  <c r="P42" i="1" s="1"/>
  <c r="O21" i="1"/>
  <c r="O27" i="1" s="1"/>
  <c r="O35" i="1" s="1"/>
  <c r="O42" i="1" s="1"/>
  <c r="N21" i="1"/>
  <c r="N27" i="1" s="1"/>
  <c r="N35" i="1" s="1"/>
  <c r="N42" i="1" s="1"/>
  <c r="M21" i="1"/>
  <c r="M27" i="1" s="1"/>
  <c r="M35" i="1" s="1"/>
  <c r="M42" i="1" s="1"/>
  <c r="L21" i="1"/>
  <c r="L27" i="1" s="1"/>
  <c r="L35" i="1" s="1"/>
  <c r="L42" i="1" s="1"/>
  <c r="K21" i="1"/>
  <c r="K27" i="1" s="1"/>
  <c r="K35" i="1" s="1"/>
  <c r="K42" i="1" s="1"/>
  <c r="I21" i="1"/>
  <c r="I27" i="1" s="1"/>
  <c r="I35" i="1" s="1"/>
  <c r="I42" i="1" s="1"/>
  <c r="AE19" i="1"/>
  <c r="J19" i="1"/>
  <c r="AE18" i="1"/>
  <c r="J18" i="1"/>
  <c r="AE17" i="1"/>
  <c r="J17" i="1"/>
  <c r="AE16" i="1"/>
  <c r="J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E14" i="1"/>
  <c r="AC14" i="1"/>
  <c r="AB14" i="1"/>
  <c r="AA14" i="1"/>
  <c r="Z14" i="1"/>
  <c r="Y14" i="1"/>
  <c r="X14" i="1"/>
  <c r="W14" i="1"/>
  <c r="V14" i="1"/>
  <c r="U14" i="1"/>
  <c r="S14" i="1"/>
  <c r="R14" i="1"/>
  <c r="Q14" i="1"/>
  <c r="P14" i="1"/>
  <c r="O14" i="1"/>
  <c r="N14" i="1"/>
  <c r="M14" i="1"/>
  <c r="L14" i="1"/>
  <c r="K14" i="1"/>
  <c r="J14" i="1"/>
  <c r="AE13" i="1"/>
  <c r="Z13" i="1"/>
  <c r="Y13" i="1"/>
  <c r="X13" i="1"/>
  <c r="W13" i="1"/>
  <c r="V13" i="1"/>
  <c r="U13" i="1"/>
  <c r="S13" i="1"/>
  <c r="R13" i="1"/>
  <c r="Q13" i="1"/>
  <c r="O13" i="1"/>
  <c r="N13" i="1"/>
  <c r="M13" i="1"/>
  <c r="L13" i="1"/>
  <c r="K13" i="1"/>
  <c r="J13" i="1"/>
  <c r="I13" i="1"/>
  <c r="N12" i="1"/>
  <c r="M12" i="1"/>
  <c r="J12" i="1"/>
  <c r="AE12" i="1" s="1"/>
  <c r="AE11" i="1"/>
  <c r="J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J9" i="1" s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I9" i="1"/>
  <c r="AE5" i="1"/>
  <c r="J5" i="1"/>
  <c r="J21" i="1" l="1"/>
  <c r="J27" i="1" s="1"/>
  <c r="J35" i="1" s="1"/>
  <c r="J42" i="1" s="1"/>
  <c r="AE9" i="1"/>
  <c r="AE21" i="1" s="1"/>
  <c r="AE27" i="1" s="1"/>
  <c r="AE35" i="1" s="1"/>
  <c r="AE42" i="1" s="1"/>
  <c r="AE10" i="1"/>
</calcChain>
</file>

<file path=xl/sharedStrings.xml><?xml version="1.0" encoding="utf-8"?>
<sst xmlns="http://schemas.openxmlformats.org/spreadsheetml/2006/main" count="751" uniqueCount="240">
  <si>
    <t>Bijlage 1: Resultatenrekening per activiteitencentrum 2014</t>
  </si>
  <si>
    <t>Naam vzw: CAW Limburg</t>
  </si>
  <si>
    <t>Codes</t>
  </si>
  <si>
    <t>Vzw CAW Limburg</t>
  </si>
  <si>
    <t>Activiteitencentrum
Vlaamse Overheid</t>
  </si>
  <si>
    <t xml:space="preserve">ActiviteitencentrumConeo
</t>
  </si>
  <si>
    <t>Activiteitencentrum Managers van Diversiteit</t>
  </si>
  <si>
    <t>Activiteitencentrum
Wonen-Welzijn</t>
  </si>
  <si>
    <t xml:space="preserve">Activiteitencentrum  Kind en Gezin
</t>
  </si>
  <si>
    <t xml:space="preserve">Activiteitencentrum Schuldhulpverl.
</t>
  </si>
  <si>
    <t xml:space="preserve">Activiteitencentrum Stad St-Truiden Outreachend
</t>
  </si>
  <si>
    <t>Activiteitencentrum
Stad Genk Winterdagopvang</t>
  </si>
  <si>
    <t>Activiteitencentrum OCMW Heusden-Zolder</t>
  </si>
  <si>
    <t xml:space="preserve">Activiteitencentrum OCMW  Hasselt LOI
</t>
  </si>
  <si>
    <t xml:space="preserve">Activiteitencentrum OCMW Hasselt Winternachtopvang
</t>
  </si>
  <si>
    <t xml:space="preserve">Activiteitencentrum OCMW  Bilzen
</t>
  </si>
  <si>
    <t>Activiteitencentrum Rosettabaan</t>
  </si>
  <si>
    <t>Activiteitencentrum Ontmoetingshuis Tongeren</t>
  </si>
  <si>
    <t>Activiteitencentrum Studenten ass. Stuvox</t>
  </si>
  <si>
    <t>Activiteitencentrum Form a Chain</t>
  </si>
  <si>
    <t>Activiteitencentrum Leader</t>
  </si>
  <si>
    <t>Activiteitencentrum Ontmoetingshuis Genk</t>
  </si>
  <si>
    <t>Activiteitencentrum  CKG Hummeltjes</t>
  </si>
  <si>
    <t>Activiteitencentrum CKG Molenberg</t>
  </si>
  <si>
    <t xml:space="preserve">Activiteitencentrum OPZC Woonbegeleiding
</t>
  </si>
  <si>
    <t>CONTROLE</t>
  </si>
  <si>
    <t>Aantal VTE</t>
  </si>
  <si>
    <t>RESULTATENREKENING</t>
  </si>
  <si>
    <t>Bedrijfsopbrengsten en bedrijfskosten</t>
  </si>
  <si>
    <t>Brutomarge</t>
  </si>
  <si>
    <t>(+/-)</t>
  </si>
  <si>
    <t>Bedrijfsopbrengsten</t>
  </si>
  <si>
    <t>70/74</t>
  </si>
  <si>
    <t>Omzet</t>
  </si>
  <si>
    <t>Lidgeld, schenkingen, legaten en subsidies</t>
  </si>
  <si>
    <t>Handelsgoederen, grond- en hulpstoffen;
diensten en diverse goederen</t>
  </si>
  <si>
    <t>60/61</t>
  </si>
  <si>
    <t>Bezoldigingen, sociale lasten en pensioenen
(toel. VI, 2) …………………………………………………….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</si>
  <si>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</si>
  <si>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Waardeverminderingen op voorraden, bestellingen in
uitvoering en handelsvorderingen (toevoegingen-,
terugnemingen +)……………………………………………….</t>
  </si>
  <si>
    <t>631/4</t>
  </si>
  <si>
    <t>Voorzieningen voor risico's en kosten (toevoegingen-,
bestedingen en terugnemingen +)……………………………</t>
  </si>
  <si>
    <t>635/8</t>
  </si>
  <si>
    <t>Andere bedrijfskosten………………………………………….</t>
  </si>
  <si>
    <t>640/8</t>
  </si>
  <si>
    <t>Als herstructureringskosten geactiveerde
bedrijfskosten …………………………………………………..</t>
  </si>
  <si>
    <t>(-)</t>
  </si>
  <si>
    <t>Bedrijfswinst (bedrijfsverlies)……………………………………</t>
  </si>
  <si>
    <t>Financiële opbrengsten…………………………………………</t>
  </si>
  <si>
    <t>Financiële kosten ………………………………………………..</t>
  </si>
  <si>
    <t>Winst (verlies) uit de gewone bedrijfsuitoefening ………….</t>
  </si>
  <si>
    <t>Uitzonderlijke opbrengsten ……………………………………</t>
  </si>
  <si>
    <t>Uitzonderlijke kosten ……………………………………………</t>
  </si>
  <si>
    <t>Belasting op het resultaat</t>
  </si>
  <si>
    <t xml:space="preserve">Winst van het boekjaar volgens NBB </t>
  </si>
  <si>
    <t>Toevoeging aan de bestemde fondsen</t>
  </si>
  <si>
    <t xml:space="preserve"> </t>
  </si>
  <si>
    <t>Onttrekking aan de bestemde fondsen</t>
  </si>
  <si>
    <t>Winst van het boekjaar volgens proef- en saldibalans</t>
  </si>
  <si>
    <t>Bijlage 4: DETAIL VAN DE 73-REKENINGEN (lijst van subsidies)</t>
  </si>
  <si>
    <t>Naam VZW: CAW Limburg</t>
  </si>
  <si>
    <t>730/731</t>
  </si>
  <si>
    <t>Lidgelden</t>
  </si>
  <si>
    <t>732/733</t>
  </si>
  <si>
    <t>Schenkingen</t>
  </si>
  <si>
    <t>734/735</t>
  </si>
  <si>
    <t>Legaten</t>
  </si>
  <si>
    <t xml:space="preserve">736 
737  
738 </t>
  </si>
  <si>
    <t>Kapitaal- en intrestsubsidies
Werkingssubsides Vlaamse Overheid 
Overige werkingssubsidies en werkingstoelagen</t>
  </si>
  <si>
    <t>Subsidieverlener</t>
  </si>
  <si>
    <t>Doel</t>
  </si>
  <si>
    <t>Activiteitencentrum</t>
  </si>
  <si>
    <t>Bedrag</t>
  </si>
  <si>
    <t xml:space="preserve">Vlaamse Overheid </t>
  </si>
  <si>
    <t>Kapitaalsubsidies VIPA</t>
  </si>
  <si>
    <t>Vlaamse Overheid</t>
  </si>
  <si>
    <t xml:space="preserve">Gift Infrastructuur </t>
  </si>
  <si>
    <t>Kapitaalsubsidies overige</t>
  </si>
  <si>
    <t>Nationale Loterij</t>
  </si>
  <si>
    <t>Kapitaalsubsidies</t>
  </si>
  <si>
    <t>Gift Era</t>
  </si>
  <si>
    <t>Gift Kiwanis</t>
  </si>
  <si>
    <t>Gift United Fund</t>
  </si>
  <si>
    <t>Reguliere subsidie AW 41.7 34.04</t>
  </si>
  <si>
    <r>
      <rPr>
        <sz val="10"/>
        <rFont val="Arial"/>
        <family val="2"/>
      </rPr>
      <t>Vrijwilligerswerk</t>
    </r>
    <r>
      <rPr>
        <sz val="10"/>
        <color theme="6"/>
        <rFont val="Arial"/>
        <family val="2"/>
      </rPr>
      <t xml:space="preserve"> </t>
    </r>
    <r>
      <rPr>
        <sz val="10"/>
        <rFont val="Arial"/>
        <family val="2"/>
      </rPr>
      <t>2013</t>
    </r>
  </si>
  <si>
    <t>Crisisjeugdhulpverlening</t>
  </si>
  <si>
    <t>Sociale Maribel</t>
  </si>
  <si>
    <t>Loonsubsidie</t>
  </si>
  <si>
    <t>Sociale Maribel DL/DW</t>
  </si>
  <si>
    <t>Sociale Maribel éénmalig</t>
  </si>
  <si>
    <t>Gesco subsidie</t>
  </si>
  <si>
    <t>Subsidie WEP+</t>
  </si>
  <si>
    <t>Vlaams Fonds VOP</t>
  </si>
  <si>
    <t>Gemeente Alken</t>
  </si>
  <si>
    <t>Toelage werking</t>
  </si>
  <si>
    <t>Stad  Hasselt</t>
  </si>
  <si>
    <t>Gemeente Tessenderlo</t>
  </si>
  <si>
    <t>Gemeente Beringen</t>
  </si>
  <si>
    <t>Gemeente Neerpelt</t>
  </si>
  <si>
    <t>Gemeente Overpelt</t>
  </si>
  <si>
    <t>Stad Hasselt TLC</t>
  </si>
  <si>
    <t>Stad Hasselt Veiligheid TLC</t>
  </si>
  <si>
    <t>Stad Hasselt Veiligheid JAC</t>
  </si>
  <si>
    <t>OCMW's 3 zones</t>
  </si>
  <si>
    <t>Toelage werking - crisisopvang</t>
  </si>
  <si>
    <t>OCMW Dilsen-Stokkem Crisis</t>
  </si>
  <si>
    <t>OCMW Dilsen-Stokkem Opvang</t>
  </si>
  <si>
    <t>OCMW Maasmechelen</t>
  </si>
  <si>
    <t>Toelage Werking -begeleiding asielzoekers en conciërge functie</t>
  </si>
  <si>
    <t>Toelage Werking - Garantieregeling</t>
  </si>
  <si>
    <t>OCMW Genk</t>
  </si>
  <si>
    <t xml:space="preserve">Toelage werking - Preventieve woonbegeleiding </t>
  </si>
  <si>
    <t>Vlaamse overheid</t>
  </si>
  <si>
    <t>Toelage werking - Activering - stedenfonds 2013</t>
  </si>
  <si>
    <t>Subsidie Sectoraal Fonds</t>
  </si>
  <si>
    <t>ICOBA</t>
  </si>
  <si>
    <t>VIVO</t>
  </si>
  <si>
    <t>IOM</t>
  </si>
  <si>
    <t>Reab dossiers</t>
  </si>
  <si>
    <t>Provincie Limburg</t>
  </si>
  <si>
    <t>Project "Intrafamiliaal geweld" 2013</t>
  </si>
  <si>
    <t>Project "Intrafamiliaal geweld - Groepen in beweging" 2013</t>
  </si>
  <si>
    <t>Asster</t>
  </si>
  <si>
    <t>Project "Salamander"</t>
  </si>
  <si>
    <t>Cera CVBA</t>
  </si>
  <si>
    <t>Project "Geestkracht"</t>
  </si>
  <si>
    <t>KBS</t>
  </si>
  <si>
    <t>Project "Een hart voor Limburg - Tuin Bezoekruimte"</t>
  </si>
  <si>
    <t>Project "Wonen-Welzijn" 2013</t>
  </si>
  <si>
    <t>Kind en Gezin 2013</t>
  </si>
  <si>
    <t>Project "Schuldhulpverlening" 2013</t>
  </si>
  <si>
    <t>De Nieuwe Volksbond vzw</t>
  </si>
  <si>
    <t>Toelage werking - Ontmoetingshuis Tongeren 2012+2013</t>
  </si>
  <si>
    <t>Project Coneo</t>
  </si>
  <si>
    <t>Coneo</t>
  </si>
  <si>
    <t>Project "Managers van diversiteit"</t>
  </si>
  <si>
    <t>Managers van diversiteit</t>
  </si>
  <si>
    <t>Project "Wonen-Welzijn"</t>
  </si>
  <si>
    <t>Wonen-Welzijn</t>
  </si>
  <si>
    <t>Kind en Gezin</t>
  </si>
  <si>
    <t>Project "Schuldhulpverlening"</t>
  </si>
  <si>
    <t>Schuldhulpverlening</t>
  </si>
  <si>
    <t>Gemeente St-Truiden</t>
  </si>
  <si>
    <t>Toelage werking - Outreachend werken</t>
  </si>
  <si>
    <t>Stad St-Truiden</t>
  </si>
  <si>
    <t>Stad Genk</t>
  </si>
  <si>
    <t>Toelage werking - Winterdagopvang</t>
  </si>
  <si>
    <t>OCMW Heusden-Zolder</t>
  </si>
  <si>
    <t>Toelage werking - GRW</t>
  </si>
  <si>
    <t>OCMW Hasselt</t>
  </si>
  <si>
    <t>Toelage werking - LOI asielzoekers</t>
  </si>
  <si>
    <t>OCMW Hasselt LOI</t>
  </si>
  <si>
    <t>Toelage werking - Winternachtopvang</t>
  </si>
  <si>
    <t>OCMW Hasselt Winternacht</t>
  </si>
  <si>
    <t>OCMW Bilzen</t>
  </si>
  <si>
    <t>Gelijke Kansen - Rosettabaan</t>
  </si>
  <si>
    <t>Subsidie startbaan in kader van partnergeweld</t>
  </si>
  <si>
    <t>Rosettabaan</t>
  </si>
  <si>
    <t>Toelage werking - Ontmoetingshuis Tongeren</t>
  </si>
  <si>
    <t>Ontmoetingshuis Tongeren</t>
  </si>
  <si>
    <t>AUHL Hasselt</t>
  </si>
  <si>
    <t>Studentenassociatie Stuvox</t>
  </si>
  <si>
    <t>Europees project</t>
  </si>
  <si>
    <t>Project "Form a Chain"</t>
  </si>
  <si>
    <t>Form a chain</t>
  </si>
  <si>
    <t>Project Leader "Duurzaamheid in Bilzerse dorpen"</t>
  </si>
  <si>
    <t>Leader</t>
  </si>
  <si>
    <t>vzw De Sfeer</t>
  </si>
  <si>
    <t xml:space="preserve">Toelage werking - Ontmoetingshuis Genk </t>
  </si>
  <si>
    <t>Ontmoetingshuis Genk</t>
  </si>
  <si>
    <t>CKG Molenberg</t>
  </si>
  <si>
    <t>Toelage werking crisis</t>
  </si>
  <si>
    <t>CKG Hummelyjes</t>
  </si>
  <si>
    <t>OPZC Rekem</t>
  </si>
  <si>
    <t>Toelage OPZC Rekem woonbegeleiding</t>
  </si>
  <si>
    <t>Bijlage 1: Resultatenrekening per activiteitencentrum 2015</t>
  </si>
  <si>
    <t>Activiteitencentrum Provincie       Leader</t>
  </si>
  <si>
    <t>Activiteitencentrum     Housing First Vlaamse Overheid</t>
  </si>
  <si>
    <t>Activiteitencentrum Provincie     Housing First</t>
  </si>
  <si>
    <t>Activiteitencentrum
OCMW Genk Integrale Woonbegeleiding</t>
  </si>
  <si>
    <t>Activiteitencentrum
Winterdagopvang</t>
  </si>
  <si>
    <t xml:space="preserve">Activiteitencentrum OCMW+Politie      St Truiden
</t>
  </si>
  <si>
    <t>Activiteitencentrum "Form a Chain"</t>
  </si>
  <si>
    <t xml:space="preserve">Activiteitencentrum  "Kinderen uit de knel"
</t>
  </si>
  <si>
    <t>Gemeente Houthalen-Helchteren</t>
  </si>
  <si>
    <t>Stad Hasselt</t>
  </si>
  <si>
    <t>Project "Housing First"</t>
  </si>
  <si>
    <t>OCMW Beringen</t>
  </si>
  <si>
    <t>OCMW Bilzen crisis</t>
  </si>
  <si>
    <t xml:space="preserve">Toelage Werking -begeleiding asielzoekers </t>
  </si>
  <si>
    <t>OCMW Riemst Crisis</t>
  </si>
  <si>
    <t>OCMW St Truiden</t>
  </si>
  <si>
    <t>Welzijnszorg vzw</t>
  </si>
  <si>
    <t>Toelage Welzijnszorg</t>
  </si>
  <si>
    <t>Housing First</t>
  </si>
  <si>
    <t>Project bedrijfssluitingen</t>
  </si>
  <si>
    <t>Bedrijfssluiting</t>
  </si>
  <si>
    <t>Toelage werking - Woonbegeleiding</t>
  </si>
  <si>
    <t xml:space="preserve">Toelage werking - Integrale woonbegeleiding </t>
  </si>
  <si>
    <t>Integrale woonbegeleiding</t>
  </si>
  <si>
    <t>OCMW + Veiligheidshuis Genk</t>
  </si>
  <si>
    <t>OCMW Winterdagopvang</t>
  </si>
  <si>
    <t>OCMW + Politiezone St-Truiden</t>
  </si>
  <si>
    <t>Outreachend werken</t>
  </si>
  <si>
    <t>PALD</t>
  </si>
  <si>
    <t>Project "Kinderen uit de knel"</t>
  </si>
  <si>
    <t>Kinderen uit de knel</t>
  </si>
  <si>
    <t>Bijlage 1: Resultatenrekening per activiteitencentrum 2016</t>
  </si>
  <si>
    <t>ActiviteitencentrumVluchtelingen</t>
  </si>
  <si>
    <t>Activiteitencentrum Preventieve Uithuiszetting</t>
  </si>
  <si>
    <t>Activiteitencentrum     Housing First voor vluchtelingen WK 01/01-31/12</t>
  </si>
  <si>
    <t>Activiteitencentrum     Housing First  Vlaamse overheid WK 01/08-31/12</t>
  </si>
  <si>
    <t>Activiteitencentrum Housing First OCMW Hasselt 01/01 - 30/04</t>
  </si>
  <si>
    <t>Activiteitencentrum
OCMW Tongeren Integrale Woonbegeleiding</t>
  </si>
  <si>
    <t>Activiteitencentrum
Winterdagopvang Genk</t>
  </si>
  <si>
    <t xml:space="preserve">Activiteitencentrum Outreachend werken St Truiden
</t>
  </si>
  <si>
    <t>Project "Coneo"</t>
  </si>
  <si>
    <t>Toelage werking - noodopvang</t>
  </si>
  <si>
    <t>Toelage werking - garantieregeling</t>
  </si>
  <si>
    <t>Subsidie VDAB (VOP)</t>
  </si>
  <si>
    <t>Koning Boudewijnstichting</t>
  </si>
  <si>
    <t>Toelage werking - Opvang</t>
  </si>
  <si>
    <t>Cera</t>
  </si>
  <si>
    <t>Project "Cera"</t>
  </si>
  <si>
    <t>Project "Jongerenbonus-prive sector"</t>
  </si>
  <si>
    <t>OCMW Tongeren</t>
  </si>
  <si>
    <t>Toelage werking - Integrale begeleiding</t>
  </si>
  <si>
    <t>Project "Vluchtelingen"</t>
  </si>
  <si>
    <t>Vluchtelingen</t>
  </si>
  <si>
    <t>Toelage werking - Schuldhulpverleningsmethodiek</t>
  </si>
  <si>
    <t>Project "Preventieve uithuiszetting"</t>
  </si>
  <si>
    <t>Preventieve uithuiszetting</t>
  </si>
  <si>
    <t>Project "Housing First voor Vluchtelingen"</t>
  </si>
  <si>
    <t>Housing First Vlucht. Provincie</t>
  </si>
  <si>
    <t>Limburgs Platvorm</t>
  </si>
  <si>
    <t>Toelage werking - Housing First voor Vluchtelingen</t>
  </si>
  <si>
    <t xml:space="preserve">Housing First </t>
  </si>
  <si>
    <t>Housing First OCWM Hasselt</t>
  </si>
  <si>
    <t>OCMW Winterdagopvang Genk</t>
  </si>
  <si>
    <t xml:space="preserve">Outreachend werken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</si>
</sst>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color theme="6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1">
    <xf numFmtId="0" fontId="0" fillId="0" borderId="0" xfId="0"/>
    <xf numFmtId="0" fontId="0" fillId="0" borderId="0" xfId="0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3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164" fontId="0" fillId="3" borderId="9" xfId="0" applyNumberFormat="1" applyFill="1" applyBorder="1" applyAlignment="1" applyProtection="1">
      <alignment horizontal="center" vertical="top"/>
      <protection locked="0"/>
    </xf>
    <xf numFmtId="164" fontId="6" fillId="3" borderId="10" xfId="0" applyNumberFormat="1" applyFont="1" applyFill="1" applyBorder="1" applyAlignment="1" applyProtection="1">
      <alignment horizontal="center" vertical="top"/>
      <protection locked="0"/>
    </xf>
    <xf numFmtId="0" fontId="6" fillId="3" borderId="11" xfId="0" applyFont="1" applyFill="1" applyBorder="1" applyAlignment="1" applyProtection="1">
      <alignment horizontal="center" vertical="top"/>
      <protection locked="0"/>
    </xf>
    <xf numFmtId="164" fontId="6" fillId="3" borderId="11" xfId="0" applyNumberFormat="1" applyFon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" fontId="0" fillId="0" borderId="14" xfId="0" applyNumberFormat="1" applyBorder="1" applyAlignment="1" applyProtection="1">
      <protection locked="0"/>
    </xf>
    <xf numFmtId="3" fontId="0" fillId="0" borderId="15" xfId="0" applyNumberFormat="1" applyBorder="1" applyAlignment="1" applyProtection="1">
      <protection locked="0"/>
    </xf>
    <xf numFmtId="3" fontId="0" fillId="2" borderId="14" xfId="0" applyNumberFormat="1" applyFill="1" applyBorder="1" applyAlignment="1" applyProtection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6" xfId="0" applyNumberFormat="1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3" fontId="0" fillId="2" borderId="16" xfId="0" applyNumberFormat="1" applyFill="1" applyBorder="1" applyAlignment="1" applyProtection="1"/>
    <xf numFmtId="0" fontId="0" fillId="0" borderId="13" xfId="0" applyBorder="1" applyAlignment="1" applyProtection="1"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3" fontId="6" fillId="0" borderId="16" xfId="0" applyNumberFormat="1" applyFont="1" applyBorder="1" applyAlignment="1" applyProtection="1">
      <protection locked="0"/>
    </xf>
    <xf numFmtId="4" fontId="6" fillId="0" borderId="1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 applyProtection="1">
      <protection locked="0"/>
    </xf>
    <xf numFmtId="4" fontId="0" fillId="2" borderId="16" xfId="0" applyNumberFormat="1" applyFill="1" applyBorder="1" applyAlignment="1" applyProtection="1"/>
    <xf numFmtId="0" fontId="0" fillId="0" borderId="0" xfId="0" applyBorder="1" applyAlignment="1" applyProtection="1">
      <protection locked="0"/>
    </xf>
    <xf numFmtId="3" fontId="6" fillId="0" borderId="17" xfId="0" applyNumberFormat="1" applyFont="1" applyBorder="1" applyAlignment="1" applyProtection="1">
      <protection locked="0"/>
    </xf>
    <xf numFmtId="4" fontId="6" fillId="0" borderId="18" xfId="0" applyNumberFormat="1" applyFont="1" applyBorder="1" applyAlignment="1" applyProtection="1">
      <protection locked="0"/>
    </xf>
    <xf numFmtId="4" fontId="6" fillId="0" borderId="17" xfId="0" applyNumberFormat="1" applyFont="1" applyBorder="1" applyAlignment="1" applyProtection="1">
      <protection locked="0"/>
    </xf>
    <xf numFmtId="3" fontId="6" fillId="0" borderId="18" xfId="0" applyNumberFormat="1" applyFont="1" applyBorder="1" applyAlignment="1" applyProtection="1">
      <protection locked="0"/>
    </xf>
    <xf numFmtId="4" fontId="6" fillId="0" borderId="19" xfId="0" applyNumberFormat="1" applyFont="1" applyBorder="1" applyAlignment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3" fontId="6" fillId="0" borderId="20" xfId="0" applyNumberFormat="1" applyFont="1" applyBorder="1" applyAlignment="1" applyProtection="1">
      <protection locked="0"/>
    </xf>
    <xf numFmtId="4" fontId="6" fillId="0" borderId="21" xfId="0" applyNumberFormat="1" applyFont="1" applyBorder="1" applyAlignment="1" applyProtection="1">
      <protection locked="0"/>
    </xf>
    <xf numFmtId="4" fontId="6" fillId="0" borderId="20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4" fontId="6" fillId="0" borderId="22" xfId="0" applyNumberFormat="1" applyFont="1" applyBorder="1" applyAlignment="1" applyProtection="1">
      <protection locked="0"/>
    </xf>
    <xf numFmtId="4" fontId="6" fillId="4" borderId="20" xfId="0" applyNumberFormat="1" applyFont="1" applyFill="1" applyBorder="1" applyAlignment="1" applyProtection="1">
      <protection locked="0"/>
    </xf>
    <xf numFmtId="4" fontId="6" fillId="0" borderId="23" xfId="0" applyNumberFormat="1" applyFont="1" applyBorder="1" applyAlignment="1" applyProtection="1">
      <protection locked="0"/>
    </xf>
    <xf numFmtId="4" fontId="6" fillId="4" borderId="18" xfId="0" applyNumberFormat="1" applyFont="1" applyFill="1" applyBorder="1" applyAlignment="1" applyProtection="1">
      <protection locked="0"/>
    </xf>
    <xf numFmtId="3" fontId="8" fillId="0" borderId="20" xfId="0" applyNumberFormat="1" applyFont="1" applyBorder="1" applyAlignment="1" applyProtection="1">
      <protection locked="0"/>
    </xf>
    <xf numFmtId="4" fontId="8" fillId="0" borderId="18" xfId="0" applyNumberFormat="1" applyFont="1" applyBorder="1" applyAlignment="1" applyProtection="1">
      <protection locked="0"/>
    </xf>
    <xf numFmtId="4" fontId="8" fillId="0" borderId="21" xfId="0" applyNumberFormat="1" applyFont="1" applyBorder="1" applyAlignment="1" applyProtection="1">
      <protection locked="0"/>
    </xf>
    <xf numFmtId="4" fontId="8" fillId="0" borderId="2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right" vertical="top"/>
      <protection locked="0"/>
    </xf>
    <xf numFmtId="3" fontId="6" fillId="0" borderId="16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4" fontId="6" fillId="0" borderId="16" xfId="0" applyNumberFormat="1" applyFont="1" applyBorder="1" applyProtection="1">
      <protection locked="0"/>
    </xf>
    <xf numFmtId="4" fontId="0" fillId="2" borderId="16" xfId="0" applyNumberFormat="1" applyFill="1" applyBorder="1" applyProtection="1"/>
    <xf numFmtId="0" fontId="7" fillId="0" borderId="13" xfId="0" applyFont="1" applyBorder="1" applyAlignment="1" applyProtection="1"/>
    <xf numFmtId="0" fontId="0" fillId="0" borderId="0" xfId="0" applyBorder="1" applyAlignment="1" applyProtection="1">
      <alignment horizontal="left"/>
    </xf>
    <xf numFmtId="3" fontId="6" fillId="0" borderId="24" xfId="0" applyNumberFormat="1" applyFont="1" applyBorder="1" applyAlignment="1" applyProtection="1">
      <protection locked="0"/>
    </xf>
    <xf numFmtId="4" fontId="6" fillId="0" borderId="25" xfId="0" applyNumberFormat="1" applyFont="1" applyBorder="1" applyAlignment="1" applyProtection="1">
      <protection locked="0"/>
    </xf>
    <xf numFmtId="4" fontId="6" fillId="0" borderId="24" xfId="0" applyNumberFormat="1" applyFont="1" applyBorder="1" applyAlignment="1" applyProtection="1">
      <protection locked="0"/>
    </xf>
    <xf numFmtId="4" fontId="0" fillId="2" borderId="24" xfId="0" applyNumberFormat="1" applyFill="1" applyBorder="1" applyAlignment="1" applyProtection="1"/>
    <xf numFmtId="0" fontId="0" fillId="0" borderId="0" xfId="0" applyProtection="1"/>
    <xf numFmtId="0" fontId="0" fillId="0" borderId="12" xfId="0" applyBorder="1" applyProtection="1"/>
    <xf numFmtId="3" fontId="6" fillId="0" borderId="26" xfId="0" applyNumberFormat="1" applyFont="1" applyBorder="1" applyAlignment="1" applyProtection="1">
      <protection locked="0"/>
    </xf>
    <xf numFmtId="4" fontId="6" fillId="0" borderId="2" xfId="0" applyNumberFormat="1" applyFont="1" applyBorder="1" applyAlignment="1" applyProtection="1">
      <protection locked="0"/>
    </xf>
    <xf numFmtId="4" fontId="6" fillId="0" borderId="26" xfId="0" applyNumberFormat="1" applyFont="1" applyBorder="1" applyAlignment="1" applyProtection="1">
      <protection locked="0"/>
    </xf>
    <xf numFmtId="4" fontId="0" fillId="2" borderId="26" xfId="0" applyNumberFormat="1" applyFill="1" applyBorder="1" applyAlignment="1" applyProtection="1"/>
    <xf numFmtId="0" fontId="4" fillId="0" borderId="1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4" fontId="0" fillId="2" borderId="17" xfId="0" applyNumberFormat="1" applyFill="1" applyBorder="1" applyAlignment="1" applyProtection="1"/>
    <xf numFmtId="3" fontId="6" fillId="0" borderId="17" xfId="0" applyNumberFormat="1" applyFont="1" applyBorder="1" applyProtection="1">
      <protection locked="0"/>
    </xf>
    <xf numFmtId="4" fontId="6" fillId="0" borderId="17" xfId="0" applyNumberFormat="1" applyFont="1" applyBorder="1" applyProtection="1">
      <protection locked="0"/>
    </xf>
    <xf numFmtId="3" fontId="6" fillId="0" borderId="24" xfId="0" applyNumberFormat="1" applyFont="1" applyBorder="1" applyProtection="1">
      <protection locked="0"/>
    </xf>
    <xf numFmtId="4" fontId="6" fillId="0" borderId="25" xfId="0" applyNumberFormat="1" applyFont="1" applyBorder="1" applyProtection="1">
      <protection locked="0"/>
    </xf>
    <xf numFmtId="4" fontId="6" fillId="0" borderId="24" xfId="0" applyNumberFormat="1" applyFont="1" applyBorder="1" applyProtection="1">
      <protection locked="0"/>
    </xf>
    <xf numFmtId="4" fontId="0" fillId="2" borderId="24" xfId="0" applyNumberFormat="1" applyFill="1" applyBorder="1" applyProtection="1"/>
    <xf numFmtId="0" fontId="7" fillId="0" borderId="13" xfId="0" applyFont="1" applyBorder="1" applyProtection="1">
      <protection locked="0"/>
    </xf>
    <xf numFmtId="0" fontId="7" fillId="0" borderId="13" xfId="0" applyFont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" xfId="0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0" fillId="2" borderId="17" xfId="0" applyNumberFormat="1" applyFill="1" applyBorder="1" applyProtection="1"/>
    <xf numFmtId="0" fontId="0" fillId="0" borderId="3" xfId="0" applyBorder="1" applyProtection="1">
      <protection locked="0"/>
    </xf>
    <xf numFmtId="0" fontId="6" fillId="0" borderId="26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0" fillId="2" borderId="26" xfId="0" applyFill="1" applyBorder="1" applyProtection="1">
      <protection locked="0"/>
    </xf>
    <xf numFmtId="3" fontId="10" fillId="0" borderId="16" xfId="0" applyNumberFormat="1" applyFont="1" applyBorder="1" applyProtection="1">
      <protection locked="0"/>
    </xf>
    <xf numFmtId="3" fontId="6" fillId="5" borderId="24" xfId="0" applyNumberFormat="1" applyFont="1" applyFill="1" applyBorder="1" applyAlignment="1" applyProtection="1">
      <protection locked="0"/>
    </xf>
    <xf numFmtId="3" fontId="10" fillId="0" borderId="17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11" fillId="0" borderId="0" xfId="0" applyFont="1"/>
    <xf numFmtId="0" fontId="4" fillId="6" borderId="30" xfId="0" applyFont="1" applyFill="1" applyBorder="1" applyAlignment="1">
      <alignment horizontal="center" vertical="top" wrapText="1"/>
    </xf>
    <xf numFmtId="4" fontId="4" fillId="6" borderId="32" xfId="0" applyNumberFormat="1" applyFont="1" applyFill="1" applyBorder="1" applyAlignment="1" applyProtection="1">
      <alignment vertical="top"/>
    </xf>
    <xf numFmtId="0" fontId="0" fillId="0" borderId="33" xfId="0" applyNumberFormat="1" applyFill="1" applyBorder="1" applyAlignment="1">
      <alignment horizontal="center" vertical="top" wrapText="1"/>
    </xf>
    <xf numFmtId="4" fontId="6" fillId="0" borderId="35" xfId="0" applyNumberFormat="1" applyFont="1" applyFill="1" applyBorder="1" applyAlignment="1">
      <alignment vertical="top" wrapText="1"/>
    </xf>
    <xf numFmtId="0" fontId="0" fillId="0" borderId="37" xfId="0" applyNumberFormat="1" applyFill="1" applyBorder="1" applyAlignment="1">
      <alignment horizontal="center" vertical="top" wrapText="1"/>
    </xf>
    <xf numFmtId="4" fontId="6" fillId="0" borderId="39" xfId="0" applyNumberFormat="1" applyFont="1" applyFill="1" applyBorder="1" applyAlignment="1">
      <alignment vertical="top" wrapText="1"/>
    </xf>
    <xf numFmtId="0" fontId="0" fillId="0" borderId="8" xfId="0" applyNumberForma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32" xfId="0" applyNumberFormat="1" applyFont="1" applyFill="1" applyBorder="1" applyAlignment="1">
      <alignment horizontal="center" vertical="top" wrapText="1"/>
    </xf>
    <xf numFmtId="0" fontId="6" fillId="0" borderId="33" xfId="0" applyNumberFormat="1" applyFont="1" applyFill="1" applyBorder="1" applyAlignment="1">
      <alignment horizontal="left" vertical="top" wrapText="1"/>
    </xf>
    <xf numFmtId="4" fontId="6" fillId="0" borderId="17" xfId="0" applyNumberFormat="1" applyFont="1" applyFill="1" applyBorder="1" applyAlignment="1">
      <alignment vertical="top"/>
    </xf>
    <xf numFmtId="0" fontId="6" fillId="0" borderId="40" xfId="0" applyNumberFormat="1" applyFont="1" applyFill="1" applyBorder="1" applyAlignment="1">
      <alignment vertical="top" wrapText="1"/>
    </xf>
    <xf numFmtId="4" fontId="0" fillId="0" borderId="0" xfId="0" applyNumberFormat="1"/>
    <xf numFmtId="0" fontId="6" fillId="0" borderId="40" xfId="0" applyNumberFormat="1" applyFont="1" applyFill="1" applyBorder="1" applyAlignment="1">
      <alignment vertical="center" wrapText="1"/>
    </xf>
    <xf numFmtId="4" fontId="6" fillId="0" borderId="0" xfId="0" applyNumberFormat="1" applyFont="1"/>
    <xf numFmtId="0" fontId="8" fillId="0" borderId="33" xfId="0" applyNumberFormat="1" applyFont="1" applyFill="1" applyBorder="1" applyAlignment="1">
      <alignment horizontal="left" vertical="top" wrapText="1"/>
    </xf>
    <xf numFmtId="4" fontId="8" fillId="0" borderId="17" xfId="0" applyNumberFormat="1" applyFont="1" applyFill="1" applyBorder="1" applyAlignment="1">
      <alignment vertical="top"/>
    </xf>
    <xf numFmtId="0" fontId="8" fillId="0" borderId="40" xfId="0" applyNumberFormat="1" applyFont="1" applyFill="1" applyBorder="1" applyAlignment="1">
      <alignment vertical="top" wrapText="1"/>
    </xf>
    <xf numFmtId="4" fontId="8" fillId="0" borderId="35" xfId="0" applyNumberFormat="1" applyFont="1" applyFill="1" applyBorder="1" applyAlignment="1">
      <alignment vertical="top" wrapText="1"/>
    </xf>
    <xf numFmtId="4" fontId="12" fillId="0" borderId="17" xfId="0" applyNumberFormat="1" applyFont="1" applyFill="1" applyBorder="1" applyAlignment="1">
      <alignment vertical="top"/>
    </xf>
    <xf numFmtId="0" fontId="6" fillId="0" borderId="36" xfId="0" applyNumberFormat="1" applyFont="1" applyBorder="1"/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left"/>
    </xf>
    <xf numFmtId="0" fontId="6" fillId="0" borderId="24" xfId="0" applyFont="1" applyBorder="1"/>
    <xf numFmtId="4" fontId="6" fillId="0" borderId="42" xfId="0" applyNumberFormat="1" applyFont="1" applyBorder="1"/>
    <xf numFmtId="0" fontId="6" fillId="0" borderId="43" xfId="0" applyNumberFormat="1" applyFont="1" applyBorder="1" applyAlignment="1">
      <alignment horizontal="left" wrapText="1"/>
    </xf>
    <xf numFmtId="0" fontId="6" fillId="0" borderId="26" xfId="0" applyFont="1" applyBorder="1"/>
    <xf numFmtId="0" fontId="6" fillId="0" borderId="44" xfId="0" applyNumberFormat="1" applyFont="1" applyBorder="1"/>
    <xf numFmtId="4" fontId="6" fillId="0" borderId="45" xfId="0" applyNumberFormat="1" applyFont="1" applyBorder="1"/>
    <xf numFmtId="0" fontId="6" fillId="0" borderId="43" xfId="0" applyNumberFormat="1" applyFont="1" applyBorder="1" applyAlignment="1">
      <alignment horizontal="left"/>
    </xf>
    <xf numFmtId="4" fontId="6" fillId="0" borderId="24" xfId="0" applyNumberFormat="1" applyFont="1" applyFill="1" applyBorder="1" applyAlignment="1">
      <alignment vertical="top"/>
    </xf>
    <xf numFmtId="4" fontId="6" fillId="0" borderId="40" xfId="0" applyNumberFormat="1" applyFont="1" applyFill="1" applyBorder="1" applyAlignment="1">
      <alignment vertical="top"/>
    </xf>
    <xf numFmtId="0" fontId="6" fillId="0" borderId="36" xfId="0" applyFont="1" applyBorder="1"/>
    <xf numFmtId="0" fontId="6" fillId="0" borderId="46" xfId="0" applyNumberFormat="1" applyFont="1" applyFill="1" applyBorder="1" applyAlignment="1">
      <alignment horizontal="left"/>
    </xf>
    <xf numFmtId="0" fontId="6" fillId="0" borderId="44" xfId="0" applyFont="1" applyBorder="1"/>
    <xf numFmtId="0" fontId="6" fillId="0" borderId="47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Fill="1" applyProtection="1">
      <protection locked="0"/>
    </xf>
    <xf numFmtId="0" fontId="0" fillId="4" borderId="0" xfId="0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 applyProtection="1">
      <alignment horizontal="center" vertical="top" wrapText="1"/>
      <protection locked="0"/>
    </xf>
    <xf numFmtId="164" fontId="4" fillId="3" borderId="9" xfId="0" applyNumberFormat="1" applyFont="1" applyFill="1" applyBorder="1" applyAlignment="1" applyProtection="1">
      <alignment horizontal="center" vertical="top"/>
      <protection locked="0"/>
    </xf>
    <xf numFmtId="164" fontId="4" fillId="3" borderId="11" xfId="0" applyNumberFormat="1" applyFon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</xf>
    <xf numFmtId="3" fontId="4" fillId="0" borderId="14" xfId="0" applyNumberFormat="1" applyFont="1" applyBorder="1" applyAlignment="1" applyProtection="1">
      <protection locked="0"/>
    </xf>
    <xf numFmtId="3" fontId="4" fillId="0" borderId="15" xfId="0" applyNumberFormat="1" applyFont="1" applyBorder="1" applyAlignment="1" applyProtection="1">
      <protection locked="0"/>
    </xf>
    <xf numFmtId="3" fontId="0" fillId="0" borderId="14" xfId="0" applyNumberFormat="1" applyFill="1" applyBorder="1" applyAlignment="1" applyProtection="1">
      <protection locked="0"/>
    </xf>
    <xf numFmtId="3" fontId="0" fillId="4" borderId="14" xfId="0" applyNumberFormat="1" applyFill="1" applyBorder="1" applyAlignment="1" applyProtection="1">
      <protection locked="0"/>
    </xf>
    <xf numFmtId="3" fontId="4" fillId="0" borderId="16" xfId="0" applyNumberFormat="1" applyFont="1" applyBorder="1" applyAlignment="1" applyProtection="1">
      <protection locked="0"/>
    </xf>
    <xf numFmtId="3" fontId="4" fillId="0" borderId="0" xfId="0" applyNumberFormat="1" applyFont="1" applyBorder="1" applyAlignment="1" applyProtection="1">
      <protection locked="0"/>
    </xf>
    <xf numFmtId="3" fontId="0" fillId="0" borderId="16" xfId="0" applyNumberFormat="1" applyFill="1" applyBorder="1" applyAlignment="1" applyProtection="1">
      <protection locked="0"/>
    </xf>
    <xf numFmtId="3" fontId="0" fillId="4" borderId="16" xfId="0" applyNumberFormat="1" applyFill="1" applyBorder="1" applyAlignment="1" applyProtection="1">
      <protection locked="0"/>
    </xf>
    <xf numFmtId="4" fontId="4" fillId="0" borderId="16" xfId="0" applyNumberFormat="1" applyFont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" fontId="6" fillId="0" borderId="16" xfId="0" applyNumberFormat="1" applyFont="1" applyFill="1" applyBorder="1" applyAlignment="1" applyProtection="1">
      <protection locked="0"/>
    </xf>
    <xf numFmtId="4" fontId="6" fillId="4" borderId="16" xfId="0" applyNumberFormat="1" applyFont="1" applyFill="1" applyBorder="1" applyAlignment="1" applyProtection="1">
      <protection locked="0"/>
    </xf>
    <xf numFmtId="4" fontId="4" fillId="0" borderId="17" xfId="0" applyNumberFormat="1" applyFont="1" applyBorder="1" applyAlignment="1" applyProtection="1">
      <protection locked="0"/>
    </xf>
    <xf numFmtId="4" fontId="4" fillId="0" borderId="18" xfId="0" applyNumberFormat="1" applyFont="1" applyBorder="1" applyAlignment="1" applyProtection="1">
      <protection locked="0"/>
    </xf>
    <xf numFmtId="4" fontId="6" fillId="0" borderId="17" xfId="0" applyNumberFormat="1" applyFont="1" applyFill="1" applyBorder="1" applyAlignment="1" applyProtection="1">
      <protection locked="0"/>
    </xf>
    <xf numFmtId="4" fontId="6" fillId="4" borderId="17" xfId="0" applyNumberFormat="1" applyFont="1" applyFill="1" applyBorder="1" applyAlignment="1" applyProtection="1">
      <protection locked="0"/>
    </xf>
    <xf numFmtId="4" fontId="4" fillId="0" borderId="19" xfId="0" applyNumberFormat="1" applyFont="1" applyFill="1" applyBorder="1" applyAlignment="1" applyProtection="1">
      <protection locked="0"/>
    </xf>
    <xf numFmtId="4" fontId="6" fillId="0" borderId="19" xfId="0" applyNumberFormat="1" applyFont="1" applyFill="1" applyBorder="1" applyAlignment="1" applyProtection="1">
      <protection locked="0"/>
    </xf>
    <xf numFmtId="4" fontId="6" fillId="0" borderId="18" xfId="0" applyNumberFormat="1" applyFont="1" applyFill="1" applyBorder="1" applyAlignment="1" applyProtection="1">
      <protection locked="0"/>
    </xf>
    <xf numFmtId="4" fontId="4" fillId="0" borderId="20" xfId="0" applyNumberFormat="1" applyFont="1" applyBorder="1" applyAlignment="1" applyProtection="1">
      <protection locked="0"/>
    </xf>
    <xf numFmtId="4" fontId="6" fillId="0" borderId="21" xfId="0" applyNumberFormat="1" applyFont="1" applyFill="1" applyBorder="1" applyAlignment="1" applyProtection="1">
      <protection locked="0"/>
    </xf>
    <xf numFmtId="4" fontId="6" fillId="0" borderId="20" xfId="0" applyNumberFormat="1" applyFont="1" applyFill="1" applyBorder="1" applyAlignment="1" applyProtection="1">
      <protection locked="0"/>
    </xf>
    <xf numFmtId="4" fontId="6" fillId="0" borderId="22" xfId="0" applyNumberFormat="1" applyFont="1" applyFill="1" applyBorder="1" applyAlignment="1" applyProtection="1">
      <protection locked="0"/>
    </xf>
    <xf numFmtId="4" fontId="8" fillId="4" borderId="20" xfId="0" applyNumberFormat="1" applyFont="1" applyFill="1" applyBorder="1" applyAlignment="1" applyProtection="1">
      <protection locked="0"/>
    </xf>
    <xf numFmtId="4" fontId="6" fillId="0" borderId="23" xfId="0" applyNumberFormat="1" applyFont="1" applyFill="1" applyBorder="1" applyAlignment="1" applyProtection="1">
      <protection locked="0"/>
    </xf>
    <xf numFmtId="4" fontId="13" fillId="0" borderId="20" xfId="0" applyNumberFormat="1" applyFont="1" applyBorder="1" applyAlignment="1" applyProtection="1">
      <protection locked="0"/>
    </xf>
    <xf numFmtId="4" fontId="13" fillId="0" borderId="18" xfId="0" applyNumberFormat="1" applyFont="1" applyBorder="1" applyAlignment="1" applyProtection="1">
      <protection locked="0"/>
    </xf>
    <xf numFmtId="4" fontId="8" fillId="0" borderId="21" xfId="0" applyNumberFormat="1" applyFont="1" applyFill="1" applyBorder="1" applyAlignment="1" applyProtection="1">
      <protection locked="0"/>
    </xf>
    <xf numFmtId="4" fontId="1" fillId="0" borderId="0" xfId="1" applyNumberFormat="1"/>
    <xf numFmtId="4" fontId="8" fillId="0" borderId="20" xfId="0" applyNumberFormat="1" applyFont="1" applyFill="1" applyBorder="1" applyAlignment="1" applyProtection="1">
      <protection locked="0"/>
    </xf>
    <xf numFmtId="4" fontId="4" fillId="0" borderId="23" xfId="0" applyNumberFormat="1" applyFont="1" applyBorder="1" applyAlignment="1" applyProtection="1">
      <protection locked="0"/>
    </xf>
    <xf numFmtId="3" fontId="4" fillId="0" borderId="16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6" fillId="0" borderId="16" xfId="0" applyNumberFormat="1" applyFont="1" applyFill="1" applyBorder="1" applyProtection="1">
      <protection locked="0"/>
    </xf>
    <xf numFmtId="4" fontId="6" fillId="4" borderId="16" xfId="0" applyNumberFormat="1" applyFont="1" applyFill="1" applyBorder="1" applyProtection="1">
      <protection locked="0"/>
    </xf>
    <xf numFmtId="4" fontId="4" fillId="0" borderId="24" xfId="0" applyNumberFormat="1" applyFont="1" applyBorder="1" applyAlignment="1" applyProtection="1">
      <protection locked="0"/>
    </xf>
    <xf numFmtId="4" fontId="4" fillId="0" borderId="25" xfId="0" applyNumberFormat="1" applyFont="1" applyBorder="1" applyAlignment="1" applyProtection="1">
      <protection locked="0"/>
    </xf>
    <xf numFmtId="4" fontId="6" fillId="0" borderId="24" xfId="0" applyNumberFormat="1" applyFont="1" applyFill="1" applyBorder="1" applyAlignment="1" applyProtection="1">
      <protection locked="0"/>
    </xf>
    <xf numFmtId="4" fontId="6" fillId="4" borderId="24" xfId="0" applyNumberFormat="1" applyFont="1" applyFill="1" applyBorder="1" applyAlignment="1" applyProtection="1">
      <protection locked="0"/>
    </xf>
    <xf numFmtId="4" fontId="4" fillId="0" borderId="26" xfId="0" applyNumberFormat="1" applyFont="1" applyBorder="1" applyAlignment="1" applyProtection="1">
      <protection locked="0"/>
    </xf>
    <xf numFmtId="4" fontId="4" fillId="0" borderId="2" xfId="0" applyNumberFormat="1" applyFont="1" applyBorder="1" applyAlignment="1" applyProtection="1">
      <protection locked="0"/>
    </xf>
    <xf numFmtId="4" fontId="6" fillId="0" borderId="26" xfId="0" applyNumberFormat="1" applyFont="1" applyFill="1" applyBorder="1" applyAlignment="1" applyProtection="1">
      <protection locked="0"/>
    </xf>
    <xf numFmtId="4" fontId="6" fillId="4" borderId="26" xfId="0" applyNumberFormat="1" applyFont="1" applyFill="1" applyBorder="1" applyAlignment="1" applyProtection="1">
      <protection locked="0"/>
    </xf>
    <xf numFmtId="4" fontId="4" fillId="0" borderId="17" xfId="0" applyNumberFormat="1" applyFont="1" applyBorder="1" applyProtection="1">
      <protection locked="0"/>
    </xf>
    <xf numFmtId="4" fontId="6" fillId="0" borderId="17" xfId="0" applyNumberFormat="1" applyFont="1" applyFill="1" applyBorder="1" applyProtection="1">
      <protection locked="0"/>
    </xf>
    <xf numFmtId="4" fontId="6" fillId="4" borderId="17" xfId="0" applyNumberFormat="1" applyFont="1" applyFill="1" applyBorder="1" applyProtection="1">
      <protection locked="0"/>
    </xf>
    <xf numFmtId="4" fontId="4" fillId="0" borderId="24" xfId="0" applyNumberFormat="1" applyFont="1" applyBorder="1" applyProtection="1">
      <protection locked="0"/>
    </xf>
    <xf numFmtId="4" fontId="4" fillId="0" borderId="25" xfId="0" applyNumberFormat="1" applyFont="1" applyBorder="1" applyProtection="1">
      <protection locked="0"/>
    </xf>
    <xf numFmtId="4" fontId="6" fillId="0" borderId="24" xfId="0" applyNumberFormat="1" applyFont="1" applyFill="1" applyBorder="1" applyProtection="1">
      <protection locked="0"/>
    </xf>
    <xf numFmtId="4" fontId="6" fillId="4" borderId="24" xfId="0" applyNumberFormat="1" applyFont="1" applyFill="1" applyBorder="1" applyProtection="1">
      <protection locked="0"/>
    </xf>
    <xf numFmtId="4" fontId="4" fillId="0" borderId="16" xfId="0" applyNumberFormat="1" applyFont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6" fillId="0" borderId="17" xfId="0" applyNumberFormat="1" applyFont="1" applyFill="1" applyBorder="1" applyProtection="1">
      <protection locked="0"/>
    </xf>
    <xf numFmtId="3" fontId="6" fillId="4" borderId="17" xfId="0" applyNumberFormat="1" applyFont="1" applyFill="1" applyBorder="1" applyProtection="1">
      <protection locked="0"/>
    </xf>
    <xf numFmtId="0" fontId="4" fillId="0" borderId="26" xfId="0" applyFont="1" applyBorder="1" applyProtection="1">
      <protection locked="0"/>
    </xf>
    <xf numFmtId="0" fontId="6" fillId="0" borderId="26" xfId="0" applyFont="1" applyFill="1" applyBorder="1" applyProtection="1">
      <protection locked="0"/>
    </xf>
    <xf numFmtId="0" fontId="6" fillId="4" borderId="26" xfId="0" applyFont="1" applyFill="1" applyBorder="1" applyProtection="1">
      <protection locked="0"/>
    </xf>
    <xf numFmtId="4" fontId="4" fillId="0" borderId="44" xfId="0" applyNumberFormat="1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3" fontId="14" fillId="0" borderId="16" xfId="0" applyNumberFormat="1" applyFont="1" applyBorder="1" applyProtection="1">
      <protection locked="0"/>
    </xf>
    <xf numFmtId="4" fontId="4" fillId="5" borderId="24" xfId="0" applyNumberFormat="1" applyFont="1" applyFill="1" applyBorder="1" applyAlignment="1" applyProtection="1">
      <protection locked="0"/>
    </xf>
    <xf numFmtId="3" fontId="4" fillId="0" borderId="24" xfId="0" applyNumberFormat="1" applyFont="1" applyBorder="1" applyAlignment="1" applyProtection="1">
      <protection locked="0"/>
    </xf>
    <xf numFmtId="0" fontId="10" fillId="0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4" fontId="0" fillId="0" borderId="0" xfId="0" applyNumberFormat="1" applyFill="1" applyProtection="1">
      <protection locked="0"/>
    </xf>
    <xf numFmtId="0" fontId="0" fillId="7" borderId="0" xfId="0" applyFill="1" applyProtection="1">
      <protection locked="0"/>
    </xf>
    <xf numFmtId="0" fontId="0" fillId="0" borderId="8" xfId="0" applyNumberFormat="1" applyFill="1" applyBorder="1" applyAlignment="1">
      <alignment horizontal="center" wrapText="1"/>
    </xf>
    <xf numFmtId="4" fontId="4" fillId="6" borderId="32" xfId="0" applyNumberFormat="1" applyFont="1" applyFill="1" applyBorder="1" applyAlignment="1" applyProtection="1">
      <alignment horizontal="right" vertical="center"/>
    </xf>
    <xf numFmtId="0" fontId="6" fillId="0" borderId="36" xfId="0" applyNumberFormat="1" applyFont="1" applyFill="1" applyBorder="1"/>
    <xf numFmtId="0" fontId="6" fillId="0" borderId="43" xfId="0" applyNumberFormat="1" applyFont="1" applyFill="1" applyBorder="1" applyAlignment="1">
      <alignment horizontal="left"/>
    </xf>
    <xf numFmtId="0" fontId="6" fillId="0" borderId="24" xfId="0" applyFont="1" applyFill="1" applyBorder="1"/>
    <xf numFmtId="0" fontId="6" fillId="0" borderId="44" xfId="0" applyFont="1" applyFill="1" applyBorder="1"/>
    <xf numFmtId="0" fontId="6" fillId="0" borderId="26" xfId="0" applyFont="1" applyFill="1" applyBorder="1"/>
    <xf numFmtId="0" fontId="6" fillId="0" borderId="44" xfId="0" applyNumberFormat="1" applyFont="1" applyFill="1" applyBorder="1"/>
    <xf numFmtId="0" fontId="6" fillId="0" borderId="41" xfId="0" applyNumberFormat="1" applyFont="1" applyFill="1" applyBorder="1" applyAlignment="1">
      <alignment horizontal="left"/>
    </xf>
    <xf numFmtId="0" fontId="6" fillId="0" borderId="1" xfId="0" applyFont="1" applyFill="1" applyBorder="1"/>
    <xf numFmtId="4" fontId="6" fillId="0" borderId="48" xfId="0" applyNumberFormat="1" applyFont="1" applyFill="1" applyBorder="1" applyAlignment="1">
      <alignment vertical="top"/>
    </xf>
    <xf numFmtId="4" fontId="6" fillId="0" borderId="49" xfId="0" applyNumberFormat="1" applyFont="1" applyFill="1" applyBorder="1" applyAlignment="1">
      <alignment vertical="top" wrapText="1"/>
    </xf>
    <xf numFmtId="0" fontId="6" fillId="0" borderId="36" xfId="0" applyFont="1" applyFill="1" applyBorder="1"/>
    <xf numFmtId="0" fontId="6" fillId="0" borderId="48" xfId="0" applyFont="1" applyFill="1" applyBorder="1"/>
    <xf numFmtId="0" fontId="6" fillId="0" borderId="49" xfId="0" applyFont="1" applyFill="1" applyBorder="1"/>
    <xf numFmtId="0" fontId="6" fillId="0" borderId="49" xfId="0" applyNumberFormat="1" applyFont="1" applyFill="1" applyBorder="1" applyAlignment="1">
      <alignment vertical="top" wrapText="1"/>
    </xf>
    <xf numFmtId="0" fontId="6" fillId="0" borderId="49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/>
    </xf>
    <xf numFmtId="0" fontId="6" fillId="0" borderId="26" xfId="0" applyNumberFormat="1" applyFont="1" applyFill="1" applyBorder="1" applyAlignment="1">
      <alignment horizontal="left"/>
    </xf>
    <xf numFmtId="0" fontId="6" fillId="0" borderId="50" xfId="0" applyNumberFormat="1" applyFont="1" applyFill="1" applyBorder="1" applyAlignment="1">
      <alignment horizontal="left"/>
    </xf>
    <xf numFmtId="0" fontId="6" fillId="0" borderId="25" xfId="0" applyFont="1" applyFill="1" applyBorder="1"/>
    <xf numFmtId="0" fontId="6" fillId="0" borderId="51" xfId="0" applyNumberFormat="1" applyFont="1" applyFill="1" applyBorder="1" applyAlignment="1">
      <alignment horizontal="left" vertical="top" wrapText="1"/>
    </xf>
    <xf numFmtId="4" fontId="6" fillId="0" borderId="52" xfId="0" applyNumberFormat="1" applyFont="1" applyFill="1" applyBorder="1" applyAlignment="1">
      <alignment vertical="top"/>
    </xf>
    <xf numFmtId="0" fontId="6" fillId="0" borderId="53" xfId="0" applyNumberFormat="1" applyFont="1" applyFill="1" applyBorder="1" applyAlignment="1">
      <alignment horizontal="left" vertical="top" wrapText="1"/>
    </xf>
    <xf numFmtId="0" fontId="8" fillId="0" borderId="6" xfId="0" applyFont="1" applyBorder="1" applyAlignment="1" applyProtection="1">
      <alignment horizontal="center" vertical="top" wrapText="1"/>
      <protection locked="0"/>
    </xf>
    <xf numFmtId="2" fontId="13" fillId="3" borderId="9" xfId="0" applyNumberFormat="1" applyFont="1" applyFill="1" applyBorder="1" applyAlignment="1" applyProtection="1">
      <alignment horizontal="center" vertical="top"/>
      <protection locked="0"/>
    </xf>
    <xf numFmtId="2" fontId="4" fillId="3" borderId="9" xfId="0" applyNumberFormat="1" applyFont="1" applyFill="1" applyBorder="1" applyAlignment="1" applyProtection="1">
      <alignment horizontal="center" vertical="top"/>
      <protection locked="0"/>
    </xf>
    <xf numFmtId="2" fontId="4" fillId="3" borderId="11" xfId="0" applyNumberFormat="1" applyFont="1" applyFill="1" applyBorder="1" applyAlignment="1" applyProtection="1">
      <alignment horizontal="center" vertical="top"/>
      <protection locked="0"/>
    </xf>
    <xf numFmtId="2" fontId="13" fillId="3" borderId="11" xfId="0" applyNumberFormat="1" applyFon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</xf>
    <xf numFmtId="2" fontId="0" fillId="0" borderId="0" xfId="0" applyNumberFormat="1" applyAlignment="1" applyProtection="1">
      <alignment vertical="top"/>
      <protection locked="0"/>
    </xf>
    <xf numFmtId="3" fontId="8" fillId="0" borderId="14" xfId="0" applyNumberFormat="1" applyFont="1" applyFill="1" applyBorder="1" applyAlignment="1" applyProtection="1">
      <protection locked="0"/>
    </xf>
    <xf numFmtId="3" fontId="8" fillId="0" borderId="16" xfId="0" applyNumberFormat="1" applyFont="1" applyFill="1" applyBorder="1" applyAlignment="1" applyProtection="1">
      <protection locked="0"/>
    </xf>
    <xf numFmtId="4" fontId="13" fillId="0" borderId="16" xfId="0" applyNumberFormat="1" applyFont="1" applyBorder="1" applyAlignment="1" applyProtection="1">
      <protection locked="0"/>
    </xf>
    <xf numFmtId="4" fontId="8" fillId="0" borderId="16" xfId="0" applyNumberFormat="1" applyFont="1" applyFill="1" applyBorder="1" applyAlignment="1" applyProtection="1">
      <protection locked="0"/>
    </xf>
    <xf numFmtId="4" fontId="8" fillId="0" borderId="16" xfId="0" applyNumberFormat="1" applyFont="1" applyBorder="1" applyAlignment="1" applyProtection="1">
      <protection locked="0"/>
    </xf>
    <xf numFmtId="4" fontId="13" fillId="0" borderId="17" xfId="0" applyNumberFormat="1" applyFont="1" applyBorder="1" applyAlignment="1" applyProtection="1">
      <protection locked="0"/>
    </xf>
    <xf numFmtId="4" fontId="8" fillId="0" borderId="17" xfId="0" applyNumberFormat="1" applyFont="1" applyFill="1" applyBorder="1" applyAlignment="1" applyProtection="1">
      <protection locked="0"/>
    </xf>
    <xf numFmtId="4" fontId="8" fillId="0" borderId="17" xfId="0" applyNumberFormat="1" applyFont="1" applyBorder="1" applyAlignment="1" applyProtection="1">
      <protection locked="0"/>
    </xf>
    <xf numFmtId="4" fontId="13" fillId="0" borderId="19" xfId="0" applyNumberFormat="1" applyFont="1" applyFill="1" applyBorder="1" applyAlignment="1" applyProtection="1">
      <protection locked="0"/>
    </xf>
    <xf numFmtId="4" fontId="8" fillId="0" borderId="18" xfId="0" applyNumberFormat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4" fontId="8" fillId="4" borderId="18" xfId="0" applyNumberFormat="1" applyFont="1" applyFill="1" applyBorder="1" applyAlignment="1" applyProtection="1">
      <protection locked="0"/>
    </xf>
    <xf numFmtId="4" fontId="15" fillId="0" borderId="18" xfId="0" applyNumberFormat="1" applyFont="1" applyBorder="1" applyAlignment="1" applyProtection="1">
      <protection locked="0"/>
    </xf>
    <xf numFmtId="4" fontId="13" fillId="0" borderId="23" xfId="0" applyNumberFormat="1" applyFont="1" applyBorder="1" applyAlignment="1" applyProtection="1">
      <protection locked="0"/>
    </xf>
    <xf numFmtId="3" fontId="13" fillId="0" borderId="16" xfId="0" applyNumberFormat="1" applyFont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4" fontId="8" fillId="0" borderId="16" xfId="0" applyNumberFormat="1" applyFont="1" applyFill="1" applyBorder="1" applyProtection="1">
      <protection locked="0"/>
    </xf>
    <xf numFmtId="4" fontId="8" fillId="0" borderId="16" xfId="0" applyNumberFormat="1" applyFont="1" applyBorder="1" applyProtection="1">
      <protection locked="0"/>
    </xf>
    <xf numFmtId="4" fontId="13" fillId="0" borderId="24" xfId="0" applyNumberFormat="1" applyFont="1" applyBorder="1" applyAlignment="1" applyProtection="1">
      <protection locked="0"/>
    </xf>
    <xf numFmtId="4" fontId="13" fillId="0" borderId="25" xfId="0" applyNumberFormat="1" applyFont="1" applyBorder="1" applyAlignment="1" applyProtection="1">
      <protection locked="0"/>
    </xf>
    <xf numFmtId="4" fontId="8" fillId="0" borderId="24" xfId="0" applyNumberFormat="1" applyFont="1" applyFill="1" applyBorder="1" applyAlignment="1" applyProtection="1">
      <protection locked="0"/>
    </xf>
    <xf numFmtId="4" fontId="8" fillId="0" borderId="24" xfId="0" applyNumberFormat="1" applyFont="1" applyBorder="1" applyAlignment="1" applyProtection="1">
      <protection locked="0"/>
    </xf>
    <xf numFmtId="4" fontId="13" fillId="0" borderId="26" xfId="0" applyNumberFormat="1" applyFont="1" applyBorder="1" applyAlignment="1" applyProtection="1">
      <protection locked="0"/>
    </xf>
    <xf numFmtId="4" fontId="13" fillId="0" borderId="2" xfId="0" applyNumberFormat="1" applyFont="1" applyBorder="1" applyAlignment="1" applyProtection="1">
      <protection locked="0"/>
    </xf>
    <xf numFmtId="4" fontId="8" fillId="0" borderId="26" xfId="0" applyNumberFormat="1" applyFont="1" applyFill="1" applyBorder="1" applyAlignment="1" applyProtection="1">
      <protection locked="0"/>
    </xf>
    <xf numFmtId="4" fontId="8" fillId="0" borderId="26" xfId="0" applyNumberFormat="1" applyFont="1" applyBorder="1" applyAlignment="1" applyProtection="1">
      <protection locked="0"/>
    </xf>
    <xf numFmtId="4" fontId="13" fillId="0" borderId="17" xfId="0" applyNumberFormat="1" applyFont="1" applyBorder="1" applyProtection="1">
      <protection locked="0"/>
    </xf>
    <xf numFmtId="4" fontId="8" fillId="0" borderId="17" xfId="0" applyNumberFormat="1" applyFont="1" applyFill="1" applyBorder="1" applyProtection="1">
      <protection locked="0"/>
    </xf>
    <xf numFmtId="4" fontId="8" fillId="0" borderId="17" xfId="0" applyNumberFormat="1" applyFont="1" applyBorder="1" applyProtection="1">
      <protection locked="0"/>
    </xf>
    <xf numFmtId="4" fontId="13" fillId="0" borderId="24" xfId="0" applyNumberFormat="1" applyFont="1" applyBorder="1" applyProtection="1">
      <protection locked="0"/>
    </xf>
    <xf numFmtId="4" fontId="13" fillId="0" borderId="25" xfId="0" applyNumberFormat="1" applyFont="1" applyBorder="1" applyProtection="1">
      <protection locked="0"/>
    </xf>
    <xf numFmtId="4" fontId="8" fillId="0" borderId="24" xfId="0" applyNumberFormat="1" applyFont="1" applyFill="1" applyBorder="1" applyProtection="1">
      <protection locked="0"/>
    </xf>
    <xf numFmtId="4" fontId="8" fillId="0" borderId="24" xfId="0" applyNumberFormat="1" applyFont="1" applyBorder="1" applyProtection="1">
      <protection locked="0"/>
    </xf>
    <xf numFmtId="4" fontId="13" fillId="0" borderId="16" xfId="0" applyNumberFormat="1" applyFont="1" applyBorder="1" applyProtection="1">
      <protection locked="0"/>
    </xf>
    <xf numFmtId="3" fontId="13" fillId="0" borderId="17" xfId="0" applyNumberFormat="1" applyFont="1" applyBorder="1" applyProtection="1">
      <protection locked="0"/>
    </xf>
    <xf numFmtId="3" fontId="13" fillId="0" borderId="1" xfId="0" applyNumberFormat="1" applyFont="1" applyBorder="1" applyProtection="1">
      <protection locked="0"/>
    </xf>
    <xf numFmtId="3" fontId="8" fillId="0" borderId="17" xfId="0" applyNumberFormat="1" applyFont="1" applyFill="1" applyBorder="1" applyProtection="1">
      <protection locked="0"/>
    </xf>
    <xf numFmtId="3" fontId="8" fillId="0" borderId="17" xfId="0" applyNumberFormat="1" applyFont="1" applyBorder="1" applyProtection="1">
      <protection locked="0"/>
    </xf>
    <xf numFmtId="0" fontId="13" fillId="0" borderId="26" xfId="0" applyFont="1" applyBorder="1" applyProtection="1">
      <protection locked="0"/>
    </xf>
    <xf numFmtId="0" fontId="8" fillId="0" borderId="26" xfId="0" applyFont="1" applyFill="1" applyBorder="1" applyProtection="1">
      <protection locked="0"/>
    </xf>
    <xf numFmtId="0" fontId="8" fillId="0" borderId="26" xfId="0" applyFont="1" applyBorder="1" applyProtection="1">
      <protection locked="0"/>
    </xf>
    <xf numFmtId="4" fontId="13" fillId="4" borderId="17" xfId="0" applyNumberFormat="1" applyFont="1" applyFill="1" applyBorder="1" applyProtection="1">
      <protection locked="0"/>
    </xf>
    <xf numFmtId="4" fontId="13" fillId="4" borderId="44" xfId="0" applyNumberFormat="1" applyFont="1" applyFill="1" applyBorder="1" applyAlignment="1" applyProtection="1">
      <protection locked="0"/>
    </xf>
    <xf numFmtId="4" fontId="13" fillId="0" borderId="0" xfId="0" applyNumberFormat="1" applyFont="1" applyBorder="1" applyAlignment="1" applyProtection="1">
      <protection locked="0"/>
    </xf>
    <xf numFmtId="4" fontId="13" fillId="5" borderId="24" xfId="0" applyNumberFormat="1" applyFont="1" applyFill="1" applyBorder="1" applyAlignment="1" applyProtection="1">
      <protection locked="0"/>
    </xf>
    <xf numFmtId="3" fontId="13" fillId="0" borderId="24" xfId="0" applyNumberFormat="1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36" xfId="0" applyNumberFormat="1" applyFont="1" applyFill="1" applyBorder="1" applyAlignment="1">
      <alignment vertical="top" wrapText="1"/>
    </xf>
    <xf numFmtId="0" fontId="6" fillId="0" borderId="41" xfId="0" applyNumberFormat="1" applyFont="1" applyFill="1" applyBorder="1" applyAlignment="1">
      <alignment horizontal="left" vertical="top" wrapText="1"/>
    </xf>
    <xf numFmtId="4" fontId="6" fillId="0" borderId="42" xfId="0" applyNumberFormat="1" applyFont="1" applyFill="1" applyBorder="1" applyAlignment="1">
      <alignment vertical="top" wrapText="1"/>
    </xf>
    <xf numFmtId="0" fontId="6" fillId="0" borderId="33" xfId="0" applyNumberFormat="1" applyFont="1" applyFill="1" applyBorder="1" applyAlignment="1">
      <alignment horizontal="left"/>
    </xf>
    <xf numFmtId="0" fontId="6" fillId="0" borderId="17" xfId="0" applyFont="1" applyFill="1" applyBorder="1"/>
    <xf numFmtId="0" fontId="6" fillId="0" borderId="40" xfId="0" applyNumberFormat="1" applyFont="1" applyFill="1" applyBorder="1"/>
    <xf numFmtId="4" fontId="6" fillId="0" borderId="35" xfId="0" applyNumberFormat="1" applyFont="1" applyFill="1" applyBorder="1"/>
    <xf numFmtId="0" fontId="0" fillId="0" borderId="0" xfId="0" applyFill="1"/>
    <xf numFmtId="0" fontId="6" fillId="0" borderId="36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48" xfId="0" applyNumberFormat="1" applyFont="1" applyFill="1" applyBorder="1" applyAlignment="1">
      <alignment vertical="top" wrapText="1"/>
    </xf>
    <xf numFmtId="0" fontId="6" fillId="0" borderId="40" xfId="0" applyFont="1" applyFill="1" applyBorder="1"/>
    <xf numFmtId="0" fontId="6" fillId="0" borderId="49" xfId="0" applyNumberFormat="1" applyFont="1" applyFill="1" applyBorder="1"/>
    <xf numFmtId="0" fontId="8" fillId="0" borderId="41" xfId="0" applyNumberFormat="1" applyFont="1" applyFill="1" applyBorder="1" applyAlignment="1">
      <alignment horizontal="left" vertical="top" wrapText="1"/>
    </xf>
    <xf numFmtId="4" fontId="8" fillId="0" borderId="36" xfId="0" applyNumberFormat="1" applyFont="1" applyFill="1" applyBorder="1" applyAlignment="1">
      <alignment vertical="top"/>
    </xf>
    <xf numFmtId="0" fontId="8" fillId="0" borderId="48" xfId="0" applyNumberFormat="1" applyFont="1" applyFill="1" applyBorder="1" applyAlignment="1">
      <alignment vertical="top" wrapText="1"/>
    </xf>
    <xf numFmtId="4" fontId="8" fillId="0" borderId="42" xfId="0" applyNumberFormat="1" applyFont="1" applyFill="1" applyBorder="1" applyAlignment="1">
      <alignment vertical="top" wrapText="1"/>
    </xf>
    <xf numFmtId="0" fontId="6" fillId="0" borderId="41" xfId="0" applyFont="1" applyFill="1" applyBorder="1"/>
    <xf numFmtId="4" fontId="6" fillId="0" borderId="42" xfId="0" applyNumberFormat="1" applyFont="1" applyFill="1" applyBorder="1"/>
    <xf numFmtId="4" fontId="6" fillId="0" borderId="25" xfId="0" applyNumberFormat="1" applyFont="1" applyFill="1" applyBorder="1" applyAlignment="1">
      <alignment vertical="top"/>
    </xf>
    <xf numFmtId="4" fontId="6" fillId="0" borderId="48" xfId="0" applyNumberFormat="1" applyFont="1" applyFill="1" applyBorder="1" applyAlignment="1">
      <alignment vertical="top" wrapText="1"/>
    </xf>
    <xf numFmtId="0" fontId="6" fillId="0" borderId="3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/>
    <xf numFmtId="0" fontId="6" fillId="0" borderId="40" xfId="0" applyNumberFormat="1" applyFont="1" applyFill="1" applyBorder="1" applyAlignment="1">
      <alignment horizontal="left"/>
    </xf>
    <xf numFmtId="0" fontId="6" fillId="0" borderId="49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top"/>
    </xf>
    <xf numFmtId="0" fontId="6" fillId="0" borderId="54" xfId="0" applyNumberFormat="1" applyFont="1" applyFill="1" applyBorder="1" applyAlignment="1">
      <alignment horizontal="left"/>
    </xf>
    <xf numFmtId="0" fontId="6" fillId="0" borderId="55" xfId="0" applyFont="1" applyFill="1" applyBorder="1"/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7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/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/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/>
    <xf numFmtId="4" fontId="4" fillId="6" borderId="31" xfId="0" applyNumberFormat="1" applyFont="1" applyFill="1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36" xfId="0" applyNumberFormat="1" applyFill="1" applyBorder="1" applyAlignment="1">
      <alignment vertical="top"/>
    </xf>
    <xf numFmtId="0" fontId="0" fillId="0" borderId="25" xfId="0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Standaard" xfId="0" builtinId="0"/>
    <cellStyle name="Standaard 3 2" xfId="1"/>
  </cellStyles>
  <dxfs count="19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workbookViewId="0">
      <selection activeCell="A3" sqref="A3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/>
    <col min="6" max="6" width="22.5703125" style="1" customWidth="1"/>
    <col min="7" max="7" width="4.42578125" style="1" customWidth="1"/>
    <col min="8" max="8" width="6.28515625" style="1" customWidth="1"/>
    <col min="9" max="9" width="14.7109375" style="1" customWidth="1"/>
    <col min="10" max="10" width="17.5703125" style="1" customWidth="1"/>
    <col min="11" max="30" width="16.85546875" style="1" customWidth="1"/>
    <col min="31" max="31" width="14" style="1" customWidth="1"/>
    <col min="32" max="16384" width="9.140625" style="1"/>
  </cols>
  <sheetData>
    <row r="1" spans="1:31" ht="18" x14ac:dyDescent="0.25">
      <c r="A1" s="342" t="s">
        <v>0</v>
      </c>
      <c r="B1" s="342"/>
      <c r="C1" s="342"/>
      <c r="D1" s="342"/>
      <c r="E1" s="342"/>
      <c r="F1" s="342"/>
      <c r="G1" s="342"/>
      <c r="H1" s="343"/>
      <c r="I1" s="343"/>
      <c r="J1" s="343"/>
    </row>
    <row r="2" spans="1:31" ht="15.75" x14ac:dyDescent="0.25">
      <c r="A2" s="344" t="s">
        <v>1</v>
      </c>
      <c r="B2" s="344"/>
      <c r="C2" s="344"/>
      <c r="D2" s="345"/>
      <c r="E2" s="345"/>
      <c r="F2" s="345"/>
      <c r="G2" s="345"/>
      <c r="H2" s="345"/>
      <c r="I2" s="345"/>
    </row>
    <row r="3" spans="1:31" ht="15.75" x14ac:dyDescent="0.25">
      <c r="A3" s="2"/>
      <c r="B3" s="2"/>
      <c r="C3" s="2"/>
      <c r="D3" s="3"/>
      <c r="E3" s="4"/>
      <c r="F3" s="4"/>
      <c r="G3" s="4"/>
      <c r="H3" s="4"/>
      <c r="I3" s="4"/>
    </row>
    <row r="4" spans="1:31" s="13" customFormat="1" ht="56.25" customHeight="1" thickBot="1" x14ac:dyDescent="0.3">
      <c r="A4" s="5"/>
      <c r="B4" s="6"/>
      <c r="C4" s="6"/>
      <c r="D4" s="6"/>
      <c r="E4" s="6"/>
      <c r="F4" s="6"/>
      <c r="G4" s="7"/>
      <c r="H4" s="8" t="s">
        <v>2</v>
      </c>
      <c r="I4" s="9" t="s">
        <v>3</v>
      </c>
      <c r="J4" s="9" t="s">
        <v>4</v>
      </c>
      <c r="K4" s="10" t="s">
        <v>5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11" t="s">
        <v>11</v>
      </c>
      <c r="R4" s="10" t="s">
        <v>12</v>
      </c>
      <c r="S4" s="10" t="s">
        <v>13</v>
      </c>
      <c r="T4" s="10" t="s">
        <v>14</v>
      </c>
      <c r="U4" s="10" t="s">
        <v>15</v>
      </c>
      <c r="V4" s="10" t="s">
        <v>16</v>
      </c>
      <c r="W4" s="10" t="s">
        <v>17</v>
      </c>
      <c r="X4" s="10" t="s">
        <v>18</v>
      </c>
      <c r="Y4" s="10" t="s">
        <v>19</v>
      </c>
      <c r="Z4" s="10" t="s">
        <v>20</v>
      </c>
      <c r="AA4" s="10" t="s">
        <v>21</v>
      </c>
      <c r="AB4" s="10" t="s">
        <v>22</v>
      </c>
      <c r="AC4" s="10" t="s">
        <v>23</v>
      </c>
      <c r="AD4" s="10" t="s">
        <v>24</v>
      </c>
      <c r="AE4" s="12" t="s">
        <v>25</v>
      </c>
    </row>
    <row r="5" spans="1:31" s="13" customFormat="1" ht="15" customHeight="1" thickBot="1" x14ac:dyDescent="0.3">
      <c r="A5" s="346" t="s">
        <v>26</v>
      </c>
      <c r="B5" s="347"/>
      <c r="C5" s="347"/>
      <c r="D5" s="347"/>
      <c r="E5" s="347"/>
      <c r="F5" s="347"/>
      <c r="G5" s="347"/>
      <c r="H5" s="347"/>
      <c r="I5" s="14">
        <v>192.36</v>
      </c>
      <c r="J5" s="14">
        <f>I5-SUM(K5:AD5)</f>
        <v>172.28800000000001</v>
      </c>
      <c r="K5" s="15">
        <v>3.5419999999999998</v>
      </c>
      <c r="L5" s="15">
        <v>0.16300000000000001</v>
      </c>
      <c r="M5" s="16">
        <v>0.5</v>
      </c>
      <c r="N5" s="16">
        <v>4.1500000000000004</v>
      </c>
      <c r="O5" s="17">
        <v>2.2999999999999998</v>
      </c>
      <c r="P5" s="17">
        <v>1.0529999999999999</v>
      </c>
      <c r="Q5" s="17">
        <v>0.19700000000000001</v>
      </c>
      <c r="R5" s="17">
        <v>0.5</v>
      </c>
      <c r="S5" s="17">
        <v>1</v>
      </c>
      <c r="T5" s="17">
        <v>0.63500000000000001</v>
      </c>
      <c r="U5" s="17">
        <v>0.5</v>
      </c>
      <c r="V5" s="17">
        <v>1</v>
      </c>
      <c r="W5" s="17">
        <v>0.2</v>
      </c>
      <c r="X5" s="17">
        <v>1.099</v>
      </c>
      <c r="Y5" s="17">
        <v>0.5</v>
      </c>
      <c r="Z5" s="17">
        <v>0.71299999999999997</v>
      </c>
      <c r="AA5" s="17">
        <v>1</v>
      </c>
      <c r="AB5" s="17">
        <v>0.5</v>
      </c>
      <c r="AC5" s="17">
        <v>0.5</v>
      </c>
      <c r="AD5" s="17">
        <v>0.02</v>
      </c>
      <c r="AE5" s="18">
        <f>I5-SUM(J5:AD5)</f>
        <v>0</v>
      </c>
    </row>
    <row r="6" spans="1:31" x14ac:dyDescent="0.25">
      <c r="A6" s="348" t="s">
        <v>27</v>
      </c>
      <c r="B6" s="349"/>
      <c r="C6" s="349"/>
      <c r="D6" s="349"/>
      <c r="E6" s="349"/>
      <c r="F6" s="349"/>
      <c r="G6" s="19"/>
      <c r="H6" s="20"/>
      <c r="I6" s="21"/>
      <c r="J6" s="2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3"/>
    </row>
    <row r="7" spans="1:31" ht="8.25" customHeight="1" x14ac:dyDescent="0.25">
      <c r="A7" s="24"/>
      <c r="B7" s="20"/>
      <c r="C7" s="20"/>
      <c r="D7" s="20"/>
      <c r="E7" s="20"/>
      <c r="F7" s="20"/>
      <c r="G7" s="25"/>
      <c r="H7" s="20"/>
      <c r="I7" s="26"/>
      <c r="J7" s="2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8"/>
    </row>
    <row r="8" spans="1:31" x14ac:dyDescent="0.25">
      <c r="A8" s="324" t="s">
        <v>28</v>
      </c>
      <c r="B8" s="325"/>
      <c r="C8" s="325"/>
      <c r="D8" s="325"/>
      <c r="E8" s="325"/>
      <c r="F8" s="325"/>
      <c r="G8" s="29"/>
      <c r="H8" s="20"/>
      <c r="I8" s="26"/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8"/>
    </row>
    <row r="9" spans="1:31" x14ac:dyDescent="0.25">
      <c r="A9" s="30"/>
      <c r="B9" s="31" t="s">
        <v>29</v>
      </c>
      <c r="C9" s="32"/>
      <c r="D9" s="32"/>
      <c r="E9" s="32"/>
      <c r="F9" s="32"/>
      <c r="G9" s="33" t="s">
        <v>30</v>
      </c>
      <c r="H9" s="34">
        <v>9900</v>
      </c>
      <c r="I9" s="35">
        <f>I10-I13</f>
        <v>11253149</v>
      </c>
      <c r="J9" s="36">
        <f t="shared" ref="J9:M9" si="0">J10-J13</f>
        <v>10117120.299999999</v>
      </c>
      <c r="K9" s="37">
        <f t="shared" si="0"/>
        <v>159917.79999999999</v>
      </c>
      <c r="L9" s="36">
        <f t="shared" si="0"/>
        <v>21569.49</v>
      </c>
      <c r="M9" s="36">
        <f t="shared" si="0"/>
        <v>68879.790000000008</v>
      </c>
      <c r="N9" s="36">
        <f>N10-N13</f>
        <v>264261.40999999997</v>
      </c>
      <c r="O9" s="36">
        <f>O10-O13</f>
        <v>133725.35</v>
      </c>
      <c r="P9" s="36">
        <f>P10-P13</f>
        <v>43774.75</v>
      </c>
      <c r="Q9" s="36">
        <f t="shared" ref="Q9:AD9" si="1">Q10-Q13</f>
        <v>8184.73</v>
      </c>
      <c r="R9" s="36">
        <f t="shared" si="1"/>
        <v>32538.719999999998</v>
      </c>
      <c r="S9" s="36">
        <f t="shared" si="1"/>
        <v>44494.39</v>
      </c>
      <c r="T9" s="36">
        <f t="shared" si="1"/>
        <v>33901.79</v>
      </c>
      <c r="U9" s="36">
        <f t="shared" si="1"/>
        <v>24855.510000000002</v>
      </c>
      <c r="V9" s="36">
        <f t="shared" si="1"/>
        <v>36876.39</v>
      </c>
      <c r="W9" s="36">
        <f t="shared" si="1"/>
        <v>6005.2500000000009</v>
      </c>
      <c r="X9" s="36">
        <f t="shared" si="1"/>
        <v>85249.51</v>
      </c>
      <c r="Y9" s="36">
        <f t="shared" si="1"/>
        <v>33762.46</v>
      </c>
      <c r="Z9" s="36">
        <f t="shared" si="1"/>
        <v>36687.040000000001</v>
      </c>
      <c r="AA9" s="36">
        <f t="shared" si="1"/>
        <v>55407.280000000006</v>
      </c>
      <c r="AB9" s="36">
        <f t="shared" si="1"/>
        <v>26021.71</v>
      </c>
      <c r="AC9" s="36">
        <f t="shared" si="1"/>
        <v>18361.059999999998</v>
      </c>
      <c r="AD9" s="36">
        <f t="shared" si="1"/>
        <v>1554.27</v>
      </c>
      <c r="AE9" s="38">
        <f t="shared" ref="AE9:AE19" si="2">I9-SUM(J9:AD9)</f>
        <v>0</v>
      </c>
    </row>
    <row r="10" spans="1:31" x14ac:dyDescent="0.25">
      <c r="A10" s="24"/>
      <c r="B10" s="39"/>
      <c r="C10" s="337" t="s">
        <v>31</v>
      </c>
      <c r="D10" s="337"/>
      <c r="E10" s="337"/>
      <c r="F10" s="337"/>
      <c r="G10" s="29"/>
      <c r="H10" s="34" t="s">
        <v>32</v>
      </c>
      <c r="I10" s="40">
        <v>14258818</v>
      </c>
      <c r="J10" s="41">
        <f t="shared" ref="J10:J18" si="3">I10-SUM(K10:AD10)</f>
        <v>12947901.529999999</v>
      </c>
      <c r="K10" s="42">
        <f t="shared" ref="K10:L10" si="4">K11+K12</f>
        <v>202596.41</v>
      </c>
      <c r="L10" s="42">
        <f t="shared" si="4"/>
        <v>22895</v>
      </c>
      <c r="M10" s="42">
        <f>M11+M12</f>
        <v>86104</v>
      </c>
      <c r="N10" s="42">
        <f t="shared" ref="N10:AD10" si="5">N11+N12</f>
        <v>298779.43</v>
      </c>
      <c r="O10" s="42">
        <f t="shared" si="5"/>
        <v>159628.37</v>
      </c>
      <c r="P10" s="42">
        <f t="shared" si="5"/>
        <v>55000</v>
      </c>
      <c r="Q10" s="42">
        <f t="shared" si="5"/>
        <v>8825.56</v>
      </c>
      <c r="R10" s="42">
        <f t="shared" si="5"/>
        <v>33174.199999999997</v>
      </c>
      <c r="S10" s="42">
        <f t="shared" si="5"/>
        <v>50000</v>
      </c>
      <c r="T10" s="42">
        <f t="shared" si="5"/>
        <v>36000</v>
      </c>
      <c r="U10" s="42">
        <f t="shared" si="5"/>
        <v>29246.04</v>
      </c>
      <c r="V10" s="42">
        <f t="shared" si="5"/>
        <v>41526.019999999997</v>
      </c>
      <c r="W10" s="42">
        <f t="shared" si="5"/>
        <v>10876.12</v>
      </c>
      <c r="X10" s="42">
        <f t="shared" si="5"/>
        <v>90094.28</v>
      </c>
      <c r="Y10" s="42">
        <f t="shared" si="5"/>
        <v>36000</v>
      </c>
      <c r="Z10" s="42">
        <f t="shared" si="5"/>
        <v>42752.21</v>
      </c>
      <c r="AA10" s="42">
        <f t="shared" si="5"/>
        <v>56160.480000000003</v>
      </c>
      <c r="AB10" s="42">
        <f t="shared" si="5"/>
        <v>28397.53</v>
      </c>
      <c r="AC10" s="42">
        <f t="shared" si="5"/>
        <v>20972.07</v>
      </c>
      <c r="AD10" s="42">
        <f t="shared" si="5"/>
        <v>1888.75</v>
      </c>
      <c r="AE10" s="38">
        <f t="shared" si="2"/>
        <v>0</v>
      </c>
    </row>
    <row r="11" spans="1:31" x14ac:dyDescent="0.25">
      <c r="A11" s="24"/>
      <c r="B11" s="336"/>
      <c r="C11" s="337"/>
      <c r="D11" s="338" t="s">
        <v>33</v>
      </c>
      <c r="E11" s="337"/>
      <c r="F11" s="337"/>
      <c r="G11" s="29"/>
      <c r="H11" s="34">
        <v>70</v>
      </c>
      <c r="I11" s="43">
        <v>1911777</v>
      </c>
      <c r="J11" s="41">
        <f t="shared" si="3"/>
        <v>1911777</v>
      </c>
      <c r="K11" s="44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38">
        <f t="shared" si="2"/>
        <v>0</v>
      </c>
    </row>
    <row r="12" spans="1:31" x14ac:dyDescent="0.25">
      <c r="A12" s="24"/>
      <c r="B12" s="20"/>
      <c r="C12" s="20"/>
      <c r="D12" s="339" t="s">
        <v>34</v>
      </c>
      <c r="E12" s="340"/>
      <c r="F12" s="340"/>
      <c r="G12" s="45"/>
      <c r="H12" s="34">
        <v>73</v>
      </c>
      <c r="I12" s="46">
        <v>11695951</v>
      </c>
      <c r="J12" s="41">
        <f t="shared" si="3"/>
        <v>10385034.529999999</v>
      </c>
      <c r="K12" s="47">
        <v>202596.41</v>
      </c>
      <c r="L12" s="48">
        <v>22895</v>
      </c>
      <c r="M12" s="48">
        <f>107873-21769</f>
        <v>86104</v>
      </c>
      <c r="N12" s="48">
        <f>308647.75-9868.32</f>
        <v>298779.43</v>
      </c>
      <c r="O12" s="48">
        <v>159628.37</v>
      </c>
      <c r="P12" s="48">
        <v>55000</v>
      </c>
      <c r="Q12" s="48">
        <v>8825.56</v>
      </c>
      <c r="R12" s="48">
        <v>33174.199999999997</v>
      </c>
      <c r="S12" s="48">
        <v>50000</v>
      </c>
      <c r="T12" s="48">
        <v>36000</v>
      </c>
      <c r="U12" s="48">
        <v>29246.04</v>
      </c>
      <c r="V12" s="48">
        <v>41526.019999999997</v>
      </c>
      <c r="W12" s="48">
        <v>10876.12</v>
      </c>
      <c r="X12" s="48">
        <v>90094.28</v>
      </c>
      <c r="Y12" s="48">
        <v>36000</v>
      </c>
      <c r="Z12" s="48">
        <v>42752.21</v>
      </c>
      <c r="AA12" s="48">
        <v>56160.480000000003</v>
      </c>
      <c r="AB12" s="48">
        <v>28397.53</v>
      </c>
      <c r="AC12" s="48">
        <v>20972.07</v>
      </c>
      <c r="AD12" s="48">
        <v>1888.75</v>
      </c>
      <c r="AE12" s="38">
        <f t="shared" si="2"/>
        <v>0</v>
      </c>
    </row>
    <row r="13" spans="1:31" ht="25.5" customHeight="1" x14ac:dyDescent="0.25">
      <c r="A13" s="24"/>
      <c r="B13" s="49"/>
      <c r="C13" s="330" t="s">
        <v>35</v>
      </c>
      <c r="D13" s="341"/>
      <c r="E13" s="341"/>
      <c r="F13" s="341"/>
      <c r="G13" s="29"/>
      <c r="H13" s="34" t="s">
        <v>36</v>
      </c>
      <c r="I13" s="46">
        <f>803726+2201943</f>
        <v>3005669</v>
      </c>
      <c r="J13" s="41">
        <f t="shared" si="3"/>
        <v>2830781.23</v>
      </c>
      <c r="K13" s="50">
        <f>3185.72+4727.82+33491.54+1273.53</f>
        <v>42678.61</v>
      </c>
      <c r="L13" s="48">
        <f>974.17+99.31+252.03</f>
        <v>1325.51</v>
      </c>
      <c r="M13" s="48">
        <f>15474.22+1749.99</f>
        <v>17224.21</v>
      </c>
      <c r="N13" s="48">
        <f>24191.65+6781.62+3544.75</f>
        <v>34518.020000000004</v>
      </c>
      <c r="O13" s="48">
        <f>12591.13+4801.98+5924.73+2585.18</f>
        <v>25903.02</v>
      </c>
      <c r="P13" s="48">
        <v>11225.25</v>
      </c>
      <c r="Q13" s="51">
        <f>508.07+101.16+31.6</f>
        <v>640.83000000000004</v>
      </c>
      <c r="R13" s="48">
        <f>376.6+258.88</f>
        <v>635.48</v>
      </c>
      <c r="S13" s="48">
        <f>3037.81+1380.26+1087.54</f>
        <v>5505.61</v>
      </c>
      <c r="T13" s="48">
        <v>2098.21</v>
      </c>
      <c r="U13" s="48">
        <f>3801.71+432.5+156.32</f>
        <v>4390.53</v>
      </c>
      <c r="V13" s="48">
        <f>2276.24+1068.77+1304.62</f>
        <v>4649.6299999999992</v>
      </c>
      <c r="W13" s="48">
        <f>4586.84+173+111.03</f>
        <v>4870.87</v>
      </c>
      <c r="X13" s="48">
        <f>3894.13+950.64</f>
        <v>4844.7700000000004</v>
      </c>
      <c r="Y13" s="51">
        <f>1651.99+503.9+81.65</f>
        <v>2237.54</v>
      </c>
      <c r="Z13" s="51">
        <f>4555.81+1509.36</f>
        <v>6065.17</v>
      </c>
      <c r="AA13" s="51">
        <v>753.2</v>
      </c>
      <c r="AB13" s="48">
        <v>2375.8200000000002</v>
      </c>
      <c r="AC13" s="51">
        <v>2611.0100000000002</v>
      </c>
      <c r="AD13" s="51">
        <v>334.48</v>
      </c>
      <c r="AE13" s="38">
        <f t="shared" si="2"/>
        <v>0</v>
      </c>
    </row>
    <row r="14" spans="1:31" ht="26.25" customHeight="1" x14ac:dyDescent="0.25">
      <c r="A14" s="24"/>
      <c r="B14" s="330" t="s">
        <v>37</v>
      </c>
      <c r="C14" s="330"/>
      <c r="D14" s="330"/>
      <c r="E14" s="330"/>
      <c r="F14" s="330"/>
      <c r="G14" s="29" t="s">
        <v>30</v>
      </c>
      <c r="H14" s="34">
        <v>62</v>
      </c>
      <c r="I14" s="43">
        <v>10252455</v>
      </c>
      <c r="J14" s="41">
        <f t="shared" si="3"/>
        <v>9133620.1639999989</v>
      </c>
      <c r="K14" s="52">
        <f>12.65+168434.456</f>
        <v>168447.106</v>
      </c>
      <c r="L14" s="41">
        <f>16333.55+300+750.84</f>
        <v>17384.39</v>
      </c>
      <c r="M14" s="41">
        <f>23493.71+43000+4217+3000+5100+400+5100</f>
        <v>84310.709999999992</v>
      </c>
      <c r="N14" s="51">
        <f>265996.15+800</f>
        <v>266796.15000000002</v>
      </c>
      <c r="O14" s="41">
        <f>126250.05+500</f>
        <v>126750.05</v>
      </c>
      <c r="P14" s="41">
        <f>44495.23+100</f>
        <v>44595.23</v>
      </c>
      <c r="Q14" s="41">
        <f>9049.04+300</f>
        <v>9349.0400000000009</v>
      </c>
      <c r="R14" s="53">
        <f>25729.28+100</f>
        <v>25829.279999999999</v>
      </c>
      <c r="S14" s="53">
        <f>57776.24+225</f>
        <v>58001.24</v>
      </c>
      <c r="T14" s="41">
        <v>35687.97</v>
      </c>
      <c r="U14" s="53">
        <f>23304.78+100</f>
        <v>23404.78</v>
      </c>
      <c r="V14" s="41">
        <f>41526.02+100</f>
        <v>41626.019999999997</v>
      </c>
      <c r="W14" s="41">
        <f>100+11183.51</f>
        <v>11283.51</v>
      </c>
      <c r="X14" s="53">
        <f>67114.43+300</f>
        <v>67414.429999999993</v>
      </c>
      <c r="Y14" s="41">
        <f>18996.52+100</f>
        <v>19096.52</v>
      </c>
      <c r="Z14" s="41">
        <f>29474.57+758.32</f>
        <v>30232.89</v>
      </c>
      <c r="AA14" s="53">
        <f>47474.82+200</f>
        <v>47674.82</v>
      </c>
      <c r="AB14" s="41">
        <f>18124.36+200</f>
        <v>18324.36</v>
      </c>
      <c r="AC14" s="41">
        <f>20972.07+100</f>
        <v>21072.07</v>
      </c>
      <c r="AD14" s="41">
        <v>1554.27</v>
      </c>
      <c r="AE14" s="38">
        <f t="shared" si="2"/>
        <v>0</v>
      </c>
    </row>
    <row r="15" spans="1:31" ht="38.25" customHeight="1" x14ac:dyDescent="0.25">
      <c r="A15" s="24"/>
      <c r="B15" s="330" t="s">
        <v>38</v>
      </c>
      <c r="C15" s="330"/>
      <c r="D15" s="330"/>
      <c r="E15" s="330"/>
      <c r="F15" s="330"/>
      <c r="G15" s="29" t="s">
        <v>30</v>
      </c>
      <c r="H15" s="34">
        <v>630</v>
      </c>
      <c r="I15" s="54">
        <v>585680.22</v>
      </c>
      <c r="J15" s="55">
        <f t="shared" si="3"/>
        <v>579569.23342066957</v>
      </c>
      <c r="K15" s="56">
        <f>39401.95*K5/I5</f>
        <v>725.52353347889368</v>
      </c>
      <c r="L15" s="57">
        <f>39401.95*L5/I5</f>
        <v>33.388011280931586</v>
      </c>
      <c r="M15" s="57">
        <f>39401.95*M5/I5+749.72</f>
        <v>852.13721251819504</v>
      </c>
      <c r="N15" s="57">
        <f>39401.95*N5/I5</f>
        <v>850.06286390101889</v>
      </c>
      <c r="O15" s="57">
        <f>(191.18+301.25)+39401.95*O5/I5</f>
        <v>963.5491775836972</v>
      </c>
      <c r="P15" s="57">
        <f>39401.95*P5/I5</f>
        <v>215.69064956331871</v>
      </c>
      <c r="Q15" s="57">
        <f>39401.95*Q5/$I$5</f>
        <v>40.352381732168844</v>
      </c>
      <c r="R15" s="57">
        <f t="shared" ref="R15:Z15" si="6">39401.95*R5/$I$5</f>
        <v>102.41721251819503</v>
      </c>
      <c r="S15" s="57">
        <f t="shared" si="6"/>
        <v>204.83442503639006</v>
      </c>
      <c r="T15" s="57">
        <f t="shared" si="6"/>
        <v>130.06985989810769</v>
      </c>
      <c r="U15" s="57">
        <f t="shared" si="6"/>
        <v>102.41721251819503</v>
      </c>
      <c r="V15" s="57">
        <f t="shared" si="6"/>
        <v>204.83442503639006</v>
      </c>
      <c r="W15" s="57">
        <f t="shared" si="6"/>
        <v>40.966885007278016</v>
      </c>
      <c r="X15" s="57">
        <f t="shared" si="6"/>
        <v>225.1130331149927</v>
      </c>
      <c r="Y15" s="57">
        <f>39401.95*Y5/$I$5+124.25</f>
        <v>226.66721251819502</v>
      </c>
      <c r="Z15" s="57">
        <f t="shared" si="6"/>
        <v>146.04694505094611</v>
      </c>
      <c r="AA15" s="57">
        <f>633.15+39401.95*AA5/I5</f>
        <v>837.98442503639001</v>
      </c>
      <c r="AB15" s="57">
        <f>39401.95*AB5/I5</f>
        <v>102.41721251819503</v>
      </c>
      <c r="AC15" s="57">
        <f t="shared" ref="AC15:AD15" si="7">39401.95*AC5/$I$5</f>
        <v>102.41721251819503</v>
      </c>
      <c r="AD15" s="57">
        <f t="shared" si="7"/>
        <v>4.0966885007278018</v>
      </c>
      <c r="AE15" s="38">
        <f t="shared" si="2"/>
        <v>0</v>
      </c>
    </row>
    <row r="16" spans="1:31" ht="39" customHeight="1" x14ac:dyDescent="0.25">
      <c r="A16" s="24"/>
      <c r="B16" s="330" t="s">
        <v>39</v>
      </c>
      <c r="C16" s="330"/>
      <c r="D16" s="330"/>
      <c r="E16" s="330"/>
      <c r="F16" s="330"/>
      <c r="G16" s="29" t="s">
        <v>30</v>
      </c>
      <c r="H16" s="34" t="s">
        <v>40</v>
      </c>
      <c r="I16" s="46">
        <v>0</v>
      </c>
      <c r="J16" s="41">
        <f t="shared" si="3"/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38">
        <f t="shared" si="2"/>
        <v>0</v>
      </c>
    </row>
    <row r="17" spans="1:31" ht="24.75" customHeight="1" x14ac:dyDescent="0.25">
      <c r="A17" s="24"/>
      <c r="B17" s="330" t="s">
        <v>41</v>
      </c>
      <c r="C17" s="330"/>
      <c r="D17" s="330"/>
      <c r="E17" s="330"/>
      <c r="F17" s="330"/>
      <c r="G17" s="29" t="s">
        <v>30</v>
      </c>
      <c r="H17" s="34" t="s">
        <v>42</v>
      </c>
      <c r="I17" s="46">
        <v>23348</v>
      </c>
      <c r="J17" s="41">
        <f t="shared" si="3"/>
        <v>23348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38">
        <f t="shared" si="2"/>
        <v>0</v>
      </c>
    </row>
    <row r="18" spans="1:31" ht="12.75" customHeight="1" x14ac:dyDescent="0.25">
      <c r="A18" s="24"/>
      <c r="B18" s="331" t="s">
        <v>43</v>
      </c>
      <c r="C18" s="331"/>
      <c r="D18" s="331"/>
      <c r="E18" s="331"/>
      <c r="F18" s="331"/>
      <c r="G18" s="29"/>
      <c r="H18" s="34" t="s">
        <v>44</v>
      </c>
      <c r="I18" s="46">
        <v>280903</v>
      </c>
      <c r="J18" s="41">
        <f t="shared" si="3"/>
        <v>269517.09999999998</v>
      </c>
      <c r="K18" s="48">
        <v>2391.2399999999998</v>
      </c>
      <c r="L18" s="48">
        <v>150</v>
      </c>
      <c r="M18" s="48">
        <v>0</v>
      </c>
      <c r="N18" s="48">
        <v>1740</v>
      </c>
      <c r="O18" s="48">
        <v>6631.66</v>
      </c>
      <c r="P18" s="48">
        <v>0</v>
      </c>
      <c r="Q18" s="48">
        <v>0</v>
      </c>
      <c r="R18" s="48">
        <v>0</v>
      </c>
      <c r="S18" s="48">
        <v>30</v>
      </c>
      <c r="T18" s="48">
        <v>0</v>
      </c>
      <c r="U18" s="48">
        <v>0</v>
      </c>
      <c r="V18" s="48">
        <v>50</v>
      </c>
      <c r="W18" s="48">
        <v>0</v>
      </c>
      <c r="X18" s="48">
        <v>0</v>
      </c>
      <c r="Y18" s="48">
        <v>393</v>
      </c>
      <c r="Z18" s="48">
        <v>0</v>
      </c>
      <c r="AA18" s="51">
        <v>0</v>
      </c>
      <c r="AB18" s="48">
        <v>0</v>
      </c>
      <c r="AC18" s="48">
        <v>0</v>
      </c>
      <c r="AD18" s="48">
        <v>0</v>
      </c>
      <c r="AE18" s="38">
        <f t="shared" si="2"/>
        <v>0</v>
      </c>
    </row>
    <row r="19" spans="1:31" ht="24.75" customHeight="1" x14ac:dyDescent="0.25">
      <c r="A19" s="24"/>
      <c r="B19" s="330" t="s">
        <v>45</v>
      </c>
      <c r="C19" s="330"/>
      <c r="D19" s="330"/>
      <c r="E19" s="330"/>
      <c r="F19" s="330"/>
      <c r="G19" s="29" t="s">
        <v>46</v>
      </c>
      <c r="H19" s="34">
        <v>649</v>
      </c>
      <c r="I19" s="46">
        <v>0</v>
      </c>
      <c r="J19" s="52">
        <f>I19-K19-L19-M19-N19-O19-P19-Q19-R19-S19-T19-U19-AD19</f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38">
        <f t="shared" si="2"/>
        <v>0</v>
      </c>
    </row>
    <row r="20" spans="1:31" x14ac:dyDescent="0.25">
      <c r="A20" s="24"/>
      <c r="B20" s="58"/>
      <c r="C20" s="3"/>
      <c r="D20" s="39"/>
      <c r="E20" s="39"/>
      <c r="F20" s="39"/>
      <c r="G20" s="29"/>
      <c r="H20" s="34"/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</row>
    <row r="21" spans="1:31" s="69" customFormat="1" x14ac:dyDescent="0.25">
      <c r="A21" s="332" t="s">
        <v>47</v>
      </c>
      <c r="B21" s="333"/>
      <c r="C21" s="333"/>
      <c r="D21" s="333"/>
      <c r="E21" s="333"/>
      <c r="F21" s="333"/>
      <c r="G21" s="63" t="s">
        <v>30</v>
      </c>
      <c r="H21" s="64">
        <v>9901</v>
      </c>
      <c r="I21" s="65">
        <f>I9-I14-I15-I16-I17-I18-I19</f>
        <v>110762.78000000003</v>
      </c>
      <c r="J21" s="66">
        <f t="shared" ref="J21:AD21" si="8">J9-J14-J15-J16-J17-J18-J19</f>
        <v>111065.8025793304</v>
      </c>
      <c r="K21" s="67">
        <f t="shared" si="8"/>
        <v>-11646.069533478905</v>
      </c>
      <c r="L21" s="67">
        <f t="shared" si="8"/>
        <v>4001.7119887190702</v>
      </c>
      <c r="M21" s="67">
        <f t="shared" si="8"/>
        <v>-16283.057212518179</v>
      </c>
      <c r="N21" s="67">
        <f t="shared" si="8"/>
        <v>-5124.8028639010681</v>
      </c>
      <c r="O21" s="67">
        <f>O9-O14-O15-O16-O17-O18-O19</f>
        <v>-619.90917758369415</v>
      </c>
      <c r="P21" s="67">
        <f t="shared" si="8"/>
        <v>-1036.1706495633218</v>
      </c>
      <c r="Q21" s="67">
        <f t="shared" si="8"/>
        <v>-1204.6623817321702</v>
      </c>
      <c r="R21" s="67">
        <f t="shared" si="8"/>
        <v>6607.0227874818038</v>
      </c>
      <c r="S21" s="67">
        <f t="shared" si="8"/>
        <v>-13741.684425036388</v>
      </c>
      <c r="T21" s="67">
        <f t="shared" si="8"/>
        <v>-1916.2498598981081</v>
      </c>
      <c r="U21" s="67">
        <f t="shared" si="8"/>
        <v>1348.3127874818081</v>
      </c>
      <c r="V21" s="67">
        <f t="shared" si="8"/>
        <v>-5004.4644250363872</v>
      </c>
      <c r="W21" s="67">
        <f t="shared" si="8"/>
        <v>-5319.2268850072769</v>
      </c>
      <c r="X21" s="67">
        <f t="shared" si="8"/>
        <v>17609.966966885007</v>
      </c>
      <c r="Y21" s="67">
        <f t="shared" si="8"/>
        <v>14046.272787481803</v>
      </c>
      <c r="Z21" s="67">
        <f t="shared" si="8"/>
        <v>6308.1030549490551</v>
      </c>
      <c r="AA21" s="67">
        <f t="shared" si="8"/>
        <v>6894.4755749636161</v>
      </c>
      <c r="AB21" s="67">
        <f t="shared" si="8"/>
        <v>7594.9327874818036</v>
      </c>
      <c r="AC21" s="67">
        <f t="shared" si="8"/>
        <v>-2813.4272125181969</v>
      </c>
      <c r="AD21" s="67">
        <f t="shared" si="8"/>
        <v>-4.0966885007278018</v>
      </c>
      <c r="AE21" s="68">
        <f>AE9-AE14-AE15-AE16-AE17-AE18-AE19</f>
        <v>0</v>
      </c>
    </row>
    <row r="22" spans="1:31" s="69" customFormat="1" x14ac:dyDescent="0.25">
      <c r="A22" s="70"/>
      <c r="B22" s="334"/>
      <c r="C22" s="335"/>
      <c r="D22" s="335"/>
      <c r="E22" s="335"/>
      <c r="F22" s="335"/>
      <c r="G22" s="63"/>
      <c r="H22" s="64"/>
      <c r="I22" s="71"/>
      <c r="J22" s="72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4"/>
    </row>
    <row r="23" spans="1:31" x14ac:dyDescent="0.25">
      <c r="A23" s="75" t="s">
        <v>48</v>
      </c>
      <c r="B23" s="76"/>
      <c r="C23" s="76"/>
      <c r="D23" s="76"/>
      <c r="E23" s="76"/>
      <c r="F23" s="76"/>
      <c r="G23" s="25"/>
      <c r="H23" s="34">
        <v>75</v>
      </c>
      <c r="I23" s="40">
        <v>20978</v>
      </c>
      <c r="J23" s="41">
        <f>I23-SUM(K23:AD23)</f>
        <v>20978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77">
        <f>I23-SUM(J23:AD23)</f>
        <v>0</v>
      </c>
    </row>
    <row r="24" spans="1:31" x14ac:dyDescent="0.25">
      <c r="A24" s="75"/>
      <c r="B24" s="76"/>
      <c r="C24" s="76"/>
      <c r="D24" s="76"/>
      <c r="E24" s="76"/>
      <c r="F24" s="76"/>
      <c r="G24" s="25"/>
      <c r="H24" s="34"/>
      <c r="I24" s="71"/>
      <c r="J24" s="7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7"/>
    </row>
    <row r="25" spans="1:31" x14ac:dyDescent="0.25">
      <c r="A25" s="324" t="s">
        <v>49</v>
      </c>
      <c r="B25" s="325"/>
      <c r="C25" s="325"/>
      <c r="D25" s="325"/>
      <c r="E25" s="325"/>
      <c r="F25" s="325"/>
      <c r="G25" s="25"/>
      <c r="H25" s="34">
        <v>65</v>
      </c>
      <c r="I25" s="78">
        <v>85003</v>
      </c>
      <c r="J25" s="41">
        <f>I25-SUM(K25:AD25)</f>
        <v>85003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7">
        <f>I25-SUM(J25:AD25)</f>
        <v>0</v>
      </c>
    </row>
    <row r="26" spans="1:31" x14ac:dyDescent="0.25">
      <c r="A26" s="30"/>
      <c r="B26" s="32"/>
      <c r="C26" s="32"/>
      <c r="D26" s="32"/>
      <c r="E26" s="32"/>
      <c r="F26" s="32"/>
      <c r="G26" s="25"/>
      <c r="H26" s="34"/>
      <c r="I26" s="80"/>
      <c r="J26" s="81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3"/>
    </row>
    <row r="27" spans="1:31" x14ac:dyDescent="0.25">
      <c r="A27" s="328" t="s">
        <v>50</v>
      </c>
      <c r="B27" s="329"/>
      <c r="C27" s="329"/>
      <c r="D27" s="329"/>
      <c r="E27" s="329"/>
      <c r="F27" s="329"/>
      <c r="G27" s="84" t="s">
        <v>30</v>
      </c>
      <c r="H27" s="34">
        <v>9902</v>
      </c>
      <c r="I27" s="65">
        <f t="shared" ref="I27:AD27" si="9">I21+I23-I25</f>
        <v>46737.780000000028</v>
      </c>
      <c r="J27" s="66">
        <f t="shared" si="9"/>
        <v>47040.802579330397</v>
      </c>
      <c r="K27" s="67">
        <f t="shared" si="9"/>
        <v>-11646.069533478905</v>
      </c>
      <c r="L27" s="67">
        <f t="shared" si="9"/>
        <v>4001.7119887190702</v>
      </c>
      <c r="M27" s="67">
        <f t="shared" si="9"/>
        <v>-16283.057212518179</v>
      </c>
      <c r="N27" s="67">
        <f t="shared" si="9"/>
        <v>-5124.8028639010681</v>
      </c>
      <c r="O27" s="67">
        <f>O21+O23-O25</f>
        <v>-619.90917758369415</v>
      </c>
      <c r="P27" s="67">
        <f t="shared" si="9"/>
        <v>-1036.1706495633218</v>
      </c>
      <c r="Q27" s="67">
        <f t="shared" si="9"/>
        <v>-1204.6623817321702</v>
      </c>
      <c r="R27" s="67">
        <f t="shared" si="9"/>
        <v>6607.0227874818038</v>
      </c>
      <c r="S27" s="67">
        <f t="shared" si="9"/>
        <v>-13741.684425036388</v>
      </c>
      <c r="T27" s="67">
        <f t="shared" si="9"/>
        <v>-1916.2498598981081</v>
      </c>
      <c r="U27" s="67">
        <f t="shared" si="9"/>
        <v>1348.3127874818081</v>
      </c>
      <c r="V27" s="67">
        <f t="shared" si="9"/>
        <v>-5004.4644250363872</v>
      </c>
      <c r="W27" s="67">
        <f t="shared" si="9"/>
        <v>-5319.2268850072769</v>
      </c>
      <c r="X27" s="67">
        <f t="shared" si="9"/>
        <v>17609.966966885007</v>
      </c>
      <c r="Y27" s="67">
        <f t="shared" si="9"/>
        <v>14046.272787481803</v>
      </c>
      <c r="Z27" s="67">
        <f t="shared" si="9"/>
        <v>6308.1030549490551</v>
      </c>
      <c r="AA27" s="67">
        <f t="shared" si="9"/>
        <v>6894.4755749636161</v>
      </c>
      <c r="AB27" s="67">
        <f t="shared" si="9"/>
        <v>7594.9327874818036</v>
      </c>
      <c r="AC27" s="67">
        <f t="shared" si="9"/>
        <v>-2813.4272125181969</v>
      </c>
      <c r="AD27" s="67">
        <f t="shared" si="9"/>
        <v>-4.0966885007278018</v>
      </c>
      <c r="AE27" s="68">
        <f>AE21+AE23-AE25</f>
        <v>0</v>
      </c>
    </row>
    <row r="28" spans="1:31" x14ac:dyDescent="0.25">
      <c r="A28" s="24"/>
      <c r="B28" s="20"/>
      <c r="C28" s="20"/>
      <c r="D28" s="20"/>
      <c r="E28" s="20"/>
      <c r="F28" s="20"/>
      <c r="G28" s="25"/>
      <c r="H28" s="34"/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</row>
    <row r="29" spans="1:31" x14ac:dyDescent="0.25">
      <c r="A29" s="324" t="s">
        <v>51</v>
      </c>
      <c r="B29" s="325"/>
      <c r="C29" s="325"/>
      <c r="D29" s="325"/>
      <c r="E29" s="325"/>
      <c r="F29" s="325"/>
      <c r="G29" s="25"/>
      <c r="H29" s="34">
        <v>76</v>
      </c>
      <c r="I29" s="40">
        <v>1783</v>
      </c>
      <c r="J29" s="52">
        <f>I29-K29-L29-M29-N29-O29-P29-Q29-R29-S29-T29-U29-AD29</f>
        <v>1783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77">
        <f>I29-SUM(J29:AD29)</f>
        <v>0</v>
      </c>
    </row>
    <row r="30" spans="1:31" x14ac:dyDescent="0.25">
      <c r="A30" s="30"/>
      <c r="B30" s="32"/>
      <c r="C30" s="32"/>
      <c r="D30" s="32"/>
      <c r="E30" s="32"/>
      <c r="F30" s="32"/>
      <c r="G30" s="25"/>
      <c r="H30" s="34"/>
      <c r="I30" s="71"/>
      <c r="J30" s="72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7"/>
    </row>
    <row r="31" spans="1:31" x14ac:dyDescent="0.25">
      <c r="A31" s="324" t="s">
        <v>52</v>
      </c>
      <c r="B31" s="325"/>
      <c r="C31" s="325"/>
      <c r="D31" s="325"/>
      <c r="E31" s="325"/>
      <c r="F31" s="325"/>
      <c r="G31" s="25"/>
      <c r="H31" s="34">
        <v>66</v>
      </c>
      <c r="I31" s="78">
        <v>28478</v>
      </c>
      <c r="J31" s="41">
        <f>I31-SUM(K31:AD31)</f>
        <v>28478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7">
        <f>I31-SUM(J31:AD31)</f>
        <v>0</v>
      </c>
    </row>
    <row r="32" spans="1:31" x14ac:dyDescent="0.25">
      <c r="A32" s="30"/>
      <c r="B32" s="32"/>
      <c r="C32" s="32"/>
      <c r="D32" s="32"/>
      <c r="E32" s="32"/>
      <c r="F32" s="32"/>
      <c r="G32" s="25"/>
      <c r="H32" s="34"/>
      <c r="I32" s="59"/>
      <c r="J32" s="37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38"/>
    </row>
    <row r="33" spans="1:31" x14ac:dyDescent="0.25">
      <c r="A33" s="324" t="s">
        <v>53</v>
      </c>
      <c r="B33" s="325"/>
      <c r="C33" s="325"/>
      <c r="D33" s="325"/>
      <c r="E33" s="325"/>
      <c r="F33" s="325"/>
      <c r="G33" s="25"/>
      <c r="H33" s="34">
        <v>67</v>
      </c>
      <c r="I33" s="78">
        <v>0</v>
      </c>
      <c r="J33" s="42">
        <f>I33-K33-L33-M33-N33-O33-P33-Q33-R33-S33-T33-U33-AD33</f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7">
        <f>I33-SUM(J33:AD33)</f>
        <v>0</v>
      </c>
    </row>
    <row r="34" spans="1:31" x14ac:dyDescent="0.25">
      <c r="A34" s="24"/>
      <c r="B34" s="20"/>
      <c r="C34" s="20"/>
      <c r="D34" s="20"/>
      <c r="E34" s="20"/>
      <c r="F34" s="20"/>
      <c r="G34" s="25"/>
      <c r="H34" s="34"/>
      <c r="I34" s="59"/>
      <c r="J34" s="60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</row>
    <row r="35" spans="1:31" s="69" customFormat="1" x14ac:dyDescent="0.25">
      <c r="A35" s="326" t="s">
        <v>54</v>
      </c>
      <c r="B35" s="327"/>
      <c r="C35" s="327"/>
      <c r="D35" s="327"/>
      <c r="E35" s="327"/>
      <c r="F35" s="327"/>
      <c r="G35" s="85" t="s">
        <v>30</v>
      </c>
      <c r="H35" s="64">
        <v>9904</v>
      </c>
      <c r="I35" s="65">
        <f>I27+I29-I31-I33</f>
        <v>20042.780000000028</v>
      </c>
      <c r="J35" s="66">
        <f>J27+J29-J31-J33</f>
        <v>20345.802579330397</v>
      </c>
      <c r="K35" s="67">
        <f t="shared" ref="K35:AD35" si="10">K27+K29-K31</f>
        <v>-11646.069533478905</v>
      </c>
      <c r="L35" s="67">
        <f>L27+L29-L31</f>
        <v>4001.7119887190702</v>
      </c>
      <c r="M35" s="67">
        <f t="shared" ref="M35" si="11">M27+M29-M31</f>
        <v>-16283.057212518179</v>
      </c>
      <c r="N35" s="67">
        <f t="shared" si="10"/>
        <v>-5124.8028639010681</v>
      </c>
      <c r="O35" s="67">
        <f>O27+O29-O31</f>
        <v>-619.90917758369415</v>
      </c>
      <c r="P35" s="67">
        <f t="shared" si="10"/>
        <v>-1036.1706495633218</v>
      </c>
      <c r="Q35" s="67">
        <f t="shared" si="10"/>
        <v>-1204.6623817321702</v>
      </c>
      <c r="R35" s="67">
        <f t="shared" si="10"/>
        <v>6607.0227874818038</v>
      </c>
      <c r="S35" s="67">
        <f t="shared" si="10"/>
        <v>-13741.684425036388</v>
      </c>
      <c r="T35" s="67">
        <f t="shared" si="10"/>
        <v>-1916.2498598981081</v>
      </c>
      <c r="U35" s="67">
        <f t="shared" si="10"/>
        <v>1348.3127874818081</v>
      </c>
      <c r="V35" s="67">
        <f t="shared" si="10"/>
        <v>-5004.4644250363872</v>
      </c>
      <c r="W35" s="67">
        <f t="shared" si="10"/>
        <v>-5319.2268850072769</v>
      </c>
      <c r="X35" s="67">
        <f t="shared" si="10"/>
        <v>17609.966966885007</v>
      </c>
      <c r="Y35" s="67">
        <f t="shared" si="10"/>
        <v>14046.272787481803</v>
      </c>
      <c r="Z35" s="67">
        <f t="shared" si="10"/>
        <v>6308.1030549490551</v>
      </c>
      <c r="AA35" s="67">
        <f t="shared" si="10"/>
        <v>6894.4755749636161</v>
      </c>
      <c r="AB35" s="67">
        <f t="shared" si="10"/>
        <v>7594.9327874818036</v>
      </c>
      <c r="AC35" s="67">
        <f t="shared" si="10"/>
        <v>-2813.4272125181969</v>
      </c>
      <c r="AD35" s="67">
        <f t="shared" si="10"/>
        <v>-4.0966885007278018</v>
      </c>
      <c r="AE35" s="68">
        <f>AE27+AE29-AE31</f>
        <v>0</v>
      </c>
    </row>
    <row r="36" spans="1:31" ht="8.25" customHeight="1" thickBot="1" x14ac:dyDescent="0.3">
      <c r="A36" s="86"/>
      <c r="B36" s="87"/>
      <c r="C36" s="87"/>
      <c r="D36" s="87"/>
      <c r="E36" s="87"/>
      <c r="F36" s="87"/>
      <c r="G36" s="88"/>
      <c r="H36" s="89"/>
      <c r="I36" s="78"/>
      <c r="J36" s="90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91"/>
    </row>
    <row r="37" spans="1:31" x14ac:dyDescent="0.25">
      <c r="G37" s="25"/>
      <c r="H37" s="92"/>
      <c r="I37" s="93"/>
      <c r="J37" s="93"/>
      <c r="K37" s="93"/>
      <c r="L37" s="94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5"/>
    </row>
    <row r="38" spans="1:31" x14ac:dyDescent="0.25">
      <c r="A38" s="324" t="s">
        <v>55</v>
      </c>
      <c r="B38" s="325"/>
      <c r="C38" s="325"/>
      <c r="D38" s="325"/>
      <c r="E38" s="325"/>
      <c r="F38" s="325"/>
      <c r="G38" s="25"/>
      <c r="H38" s="34">
        <v>69</v>
      </c>
      <c r="I38" s="41">
        <v>1140614</v>
      </c>
      <c r="J38" s="41">
        <f>I38-SUM(K38:AD38)</f>
        <v>1140614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7">
        <f>I38-SUM(J38:AD38)</f>
        <v>0</v>
      </c>
    </row>
    <row r="39" spans="1:31" x14ac:dyDescent="0.25">
      <c r="A39" s="30"/>
      <c r="B39" s="32"/>
      <c r="C39" s="32"/>
      <c r="D39" s="32"/>
      <c r="E39" s="32"/>
      <c r="F39" s="32"/>
      <c r="G39" s="25"/>
      <c r="H39" s="34"/>
      <c r="I39" s="37" t="s">
        <v>56</v>
      </c>
      <c r="J39" s="37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38"/>
    </row>
    <row r="40" spans="1:31" x14ac:dyDescent="0.25">
      <c r="A40" s="324" t="s">
        <v>57</v>
      </c>
      <c r="B40" s="325"/>
      <c r="C40" s="325"/>
      <c r="D40" s="325"/>
      <c r="E40" s="325"/>
      <c r="F40" s="325"/>
      <c r="G40" s="25"/>
      <c r="H40" s="34">
        <v>79</v>
      </c>
      <c r="I40" s="41">
        <v>1120571</v>
      </c>
      <c r="J40" s="41">
        <f>I40-SUM(K40:AD40)</f>
        <v>1120571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7">
        <f>I40-SUM(J40:AD40)</f>
        <v>0</v>
      </c>
    </row>
    <row r="41" spans="1:31" x14ac:dyDescent="0.25">
      <c r="A41" s="24"/>
      <c r="B41" s="20"/>
      <c r="C41" s="20"/>
      <c r="D41" s="20"/>
      <c r="E41" s="20"/>
      <c r="F41" s="20"/>
      <c r="G41" s="25"/>
      <c r="H41" s="34"/>
      <c r="I41" s="96"/>
      <c r="J41" s="60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2"/>
    </row>
    <row r="42" spans="1:31" x14ac:dyDescent="0.25">
      <c r="A42" s="326" t="s">
        <v>58</v>
      </c>
      <c r="B42" s="327"/>
      <c r="C42" s="327"/>
      <c r="D42" s="327"/>
      <c r="E42" s="327"/>
      <c r="F42" s="327"/>
      <c r="G42" s="85"/>
      <c r="H42" s="64"/>
      <c r="I42" s="97">
        <f>I35-I38+I40</f>
        <v>-0.21999999997206032</v>
      </c>
      <c r="J42" s="65">
        <f>J35-J38+J40</f>
        <v>302.80257933028042</v>
      </c>
      <c r="K42" s="67">
        <f t="shared" ref="K42:AE42" si="12">K35</f>
        <v>-11646.069533478905</v>
      </c>
      <c r="L42" s="67">
        <f t="shared" si="12"/>
        <v>4001.7119887190702</v>
      </c>
      <c r="M42" s="67">
        <f t="shared" si="12"/>
        <v>-16283.057212518179</v>
      </c>
      <c r="N42" s="67">
        <f t="shared" si="12"/>
        <v>-5124.8028639010681</v>
      </c>
      <c r="O42" s="67">
        <f t="shared" si="12"/>
        <v>-619.90917758369415</v>
      </c>
      <c r="P42" s="67">
        <f t="shared" si="12"/>
        <v>-1036.1706495633218</v>
      </c>
      <c r="Q42" s="67">
        <f t="shared" si="12"/>
        <v>-1204.6623817321702</v>
      </c>
      <c r="R42" s="67">
        <f t="shared" si="12"/>
        <v>6607.0227874818038</v>
      </c>
      <c r="S42" s="67">
        <f t="shared" si="12"/>
        <v>-13741.684425036388</v>
      </c>
      <c r="T42" s="67">
        <f t="shared" si="12"/>
        <v>-1916.2498598981081</v>
      </c>
      <c r="U42" s="67">
        <f t="shared" si="12"/>
        <v>1348.3127874818081</v>
      </c>
      <c r="V42" s="67">
        <f t="shared" si="12"/>
        <v>-5004.4644250363872</v>
      </c>
      <c r="W42" s="67">
        <f t="shared" si="12"/>
        <v>-5319.2268850072769</v>
      </c>
      <c r="X42" s="67">
        <f t="shared" si="12"/>
        <v>17609.966966885007</v>
      </c>
      <c r="Y42" s="67">
        <f t="shared" si="12"/>
        <v>14046.272787481803</v>
      </c>
      <c r="Z42" s="67">
        <f t="shared" si="12"/>
        <v>6308.1030549490551</v>
      </c>
      <c r="AA42" s="67">
        <f t="shared" si="12"/>
        <v>6894.4755749636161</v>
      </c>
      <c r="AB42" s="67">
        <f t="shared" si="12"/>
        <v>7594.9327874818036</v>
      </c>
      <c r="AC42" s="67">
        <f t="shared" si="12"/>
        <v>-2813.4272125181969</v>
      </c>
      <c r="AD42" s="67">
        <f t="shared" si="12"/>
        <v>-4.0966885007278018</v>
      </c>
      <c r="AE42" s="68">
        <f t="shared" si="12"/>
        <v>0</v>
      </c>
    </row>
    <row r="43" spans="1:31" ht="15.75" thickBot="1" x14ac:dyDescent="0.3">
      <c r="A43" s="86"/>
      <c r="B43" s="87"/>
      <c r="C43" s="87"/>
      <c r="D43" s="87"/>
      <c r="E43" s="87"/>
      <c r="F43" s="87"/>
      <c r="G43" s="88"/>
      <c r="H43" s="89"/>
      <c r="I43" s="9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91"/>
    </row>
    <row r="44" spans="1:31" x14ac:dyDescent="0.25"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</row>
    <row r="45" spans="1:31" x14ac:dyDescent="0.25">
      <c r="O45" s="100" t="s">
        <v>56</v>
      </c>
    </row>
  </sheetData>
  <mergeCells count="27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38:F38"/>
    <mergeCell ref="A40:F40"/>
    <mergeCell ref="A42:F42"/>
    <mergeCell ref="A25:F25"/>
    <mergeCell ref="A27:F27"/>
    <mergeCell ref="A29:F29"/>
    <mergeCell ref="A31:F31"/>
    <mergeCell ref="A33:F33"/>
    <mergeCell ref="A35:F35"/>
  </mergeCells>
  <conditionalFormatting sqref="I21:K21 I27:K27 I35:K35 N35:P35 N27:P27 N21:P21 AE35 AE27 AE21">
    <cfRule type="cellIs" dxfId="191" priority="73" stopIfTrue="1" operator="greaterThanOrEqual">
      <formula>0</formula>
    </cfRule>
    <cfRule type="cellIs" dxfId="190" priority="74" stopIfTrue="1" operator="lessThan">
      <formula>0</formula>
    </cfRule>
  </conditionalFormatting>
  <conditionalFormatting sqref="R21 R27 R35">
    <cfRule type="cellIs" dxfId="189" priority="71" stopIfTrue="1" operator="greaterThanOrEqual">
      <formula>0</formula>
    </cfRule>
    <cfRule type="cellIs" dxfId="188" priority="72" stopIfTrue="1" operator="lessThan">
      <formula>0</formula>
    </cfRule>
  </conditionalFormatting>
  <conditionalFormatting sqref="S21 S27 S35">
    <cfRule type="cellIs" dxfId="187" priority="69" stopIfTrue="1" operator="greaterThanOrEqual">
      <formula>0</formula>
    </cfRule>
    <cfRule type="cellIs" dxfId="186" priority="70" stopIfTrue="1" operator="lessThan">
      <formula>0</formula>
    </cfRule>
  </conditionalFormatting>
  <conditionalFormatting sqref="T21 T27 T35">
    <cfRule type="cellIs" dxfId="185" priority="67" stopIfTrue="1" operator="greaterThanOrEqual">
      <formula>0</formula>
    </cfRule>
    <cfRule type="cellIs" dxfId="184" priority="68" stopIfTrue="1" operator="lessThan">
      <formula>0</formula>
    </cfRule>
  </conditionalFormatting>
  <conditionalFormatting sqref="U21 U27 U35">
    <cfRule type="cellIs" dxfId="183" priority="65" stopIfTrue="1" operator="greaterThanOrEqual">
      <formula>0</formula>
    </cfRule>
    <cfRule type="cellIs" dxfId="182" priority="66" stopIfTrue="1" operator="lessThan">
      <formula>0</formula>
    </cfRule>
  </conditionalFormatting>
  <conditionalFormatting sqref="AD21 AD27 AD35">
    <cfRule type="cellIs" dxfId="181" priority="63" stopIfTrue="1" operator="greaterThanOrEqual">
      <formula>0</formula>
    </cfRule>
    <cfRule type="cellIs" dxfId="180" priority="64" stopIfTrue="1" operator="lessThan">
      <formula>0</formula>
    </cfRule>
  </conditionalFormatting>
  <conditionalFormatting sqref="Q21 Q27 Q35">
    <cfRule type="cellIs" dxfId="179" priority="57" stopIfTrue="1" operator="greaterThanOrEqual">
      <formula>0</formula>
    </cfRule>
    <cfRule type="cellIs" dxfId="178" priority="58" stopIfTrue="1" operator="lessThan">
      <formula>0</formula>
    </cfRule>
  </conditionalFormatting>
  <conditionalFormatting sqref="L21 L27 L35">
    <cfRule type="cellIs" dxfId="177" priority="61" stopIfTrue="1" operator="greaterThanOrEqual">
      <formula>0</formula>
    </cfRule>
    <cfRule type="cellIs" dxfId="176" priority="62" stopIfTrue="1" operator="lessThan">
      <formula>0</formula>
    </cfRule>
  </conditionalFormatting>
  <conditionalFormatting sqref="M21 M27 M35">
    <cfRule type="cellIs" dxfId="175" priority="59" stopIfTrue="1" operator="greaterThanOrEqual">
      <formula>0</formula>
    </cfRule>
    <cfRule type="cellIs" dxfId="174" priority="60" stopIfTrue="1" operator="lessThan">
      <formula>0</formula>
    </cfRule>
  </conditionalFormatting>
  <conditionalFormatting sqref="J42:K42">
    <cfRule type="cellIs" dxfId="173" priority="55" stopIfTrue="1" operator="greaterThanOrEqual">
      <formula>0</formula>
    </cfRule>
    <cfRule type="cellIs" dxfId="172" priority="56" stopIfTrue="1" operator="lessThan">
      <formula>0</formula>
    </cfRule>
  </conditionalFormatting>
  <conditionalFormatting sqref="L42">
    <cfRule type="cellIs" dxfId="171" priority="53" stopIfTrue="1" operator="greaterThanOrEqual">
      <formula>0</formula>
    </cfRule>
    <cfRule type="cellIs" dxfId="170" priority="54" stopIfTrue="1" operator="lessThan">
      <formula>0</formula>
    </cfRule>
  </conditionalFormatting>
  <conditionalFormatting sqref="M42">
    <cfRule type="cellIs" dxfId="169" priority="51" stopIfTrue="1" operator="greaterThanOrEqual">
      <formula>0</formula>
    </cfRule>
    <cfRule type="cellIs" dxfId="168" priority="52" stopIfTrue="1" operator="lessThan">
      <formula>0</formula>
    </cfRule>
  </conditionalFormatting>
  <conditionalFormatting sqref="N42:P42">
    <cfRule type="cellIs" dxfId="167" priority="49" stopIfTrue="1" operator="greaterThanOrEqual">
      <formula>0</formula>
    </cfRule>
    <cfRule type="cellIs" dxfId="166" priority="50" stopIfTrue="1" operator="lessThan">
      <formula>0</formula>
    </cfRule>
  </conditionalFormatting>
  <conditionalFormatting sqref="R42">
    <cfRule type="cellIs" dxfId="165" priority="47" stopIfTrue="1" operator="greaterThanOrEqual">
      <formula>0</formula>
    </cfRule>
    <cfRule type="cellIs" dxfId="164" priority="48" stopIfTrue="1" operator="lessThan">
      <formula>0</formula>
    </cfRule>
  </conditionalFormatting>
  <conditionalFormatting sqref="S42">
    <cfRule type="cellIs" dxfId="163" priority="45" stopIfTrue="1" operator="greaterThanOrEqual">
      <formula>0</formula>
    </cfRule>
    <cfRule type="cellIs" dxfId="162" priority="46" stopIfTrue="1" operator="lessThan">
      <formula>0</formula>
    </cfRule>
  </conditionalFormatting>
  <conditionalFormatting sqref="Q42">
    <cfRule type="cellIs" dxfId="161" priority="43" stopIfTrue="1" operator="greaterThanOrEqual">
      <formula>0</formula>
    </cfRule>
    <cfRule type="cellIs" dxfId="160" priority="44" stopIfTrue="1" operator="lessThan">
      <formula>0</formula>
    </cfRule>
  </conditionalFormatting>
  <conditionalFormatting sqref="AE42">
    <cfRule type="cellIs" dxfId="159" priority="41" stopIfTrue="1" operator="greaterThanOrEqual">
      <formula>0</formula>
    </cfRule>
    <cfRule type="cellIs" dxfId="158" priority="42" stopIfTrue="1" operator="lessThan">
      <formula>0</formula>
    </cfRule>
  </conditionalFormatting>
  <conditionalFormatting sqref="T42">
    <cfRule type="cellIs" dxfId="157" priority="39" stopIfTrue="1" operator="greaterThanOrEqual">
      <formula>0</formula>
    </cfRule>
    <cfRule type="cellIs" dxfId="156" priority="40" stopIfTrue="1" operator="lessThan">
      <formula>0</formula>
    </cfRule>
  </conditionalFormatting>
  <conditionalFormatting sqref="U42">
    <cfRule type="cellIs" dxfId="155" priority="37" stopIfTrue="1" operator="greaterThanOrEqual">
      <formula>0</formula>
    </cfRule>
    <cfRule type="cellIs" dxfId="154" priority="38" stopIfTrue="1" operator="lessThan">
      <formula>0</formula>
    </cfRule>
  </conditionalFormatting>
  <conditionalFormatting sqref="AD42">
    <cfRule type="cellIs" dxfId="153" priority="35" stopIfTrue="1" operator="greaterThanOrEqual">
      <formula>0</formula>
    </cfRule>
    <cfRule type="cellIs" dxfId="152" priority="36" stopIfTrue="1" operator="lessThan">
      <formula>0</formula>
    </cfRule>
  </conditionalFormatting>
  <conditionalFormatting sqref="V21 V27 V35">
    <cfRule type="cellIs" dxfId="151" priority="33" stopIfTrue="1" operator="greaterThanOrEqual">
      <formula>0</formula>
    </cfRule>
    <cfRule type="cellIs" dxfId="150" priority="34" stopIfTrue="1" operator="lessThan">
      <formula>0</formula>
    </cfRule>
  </conditionalFormatting>
  <conditionalFormatting sqref="V42">
    <cfRule type="cellIs" dxfId="149" priority="31" stopIfTrue="1" operator="greaterThanOrEqual">
      <formula>0</formula>
    </cfRule>
    <cfRule type="cellIs" dxfId="148" priority="32" stopIfTrue="1" operator="lessThan">
      <formula>0</formula>
    </cfRule>
  </conditionalFormatting>
  <conditionalFormatting sqref="W21 W27 W35">
    <cfRule type="cellIs" dxfId="147" priority="29" stopIfTrue="1" operator="greaterThanOrEqual">
      <formula>0</formula>
    </cfRule>
    <cfRule type="cellIs" dxfId="146" priority="30" stopIfTrue="1" operator="lessThan">
      <formula>0</formula>
    </cfRule>
  </conditionalFormatting>
  <conditionalFormatting sqref="W42">
    <cfRule type="cellIs" dxfId="145" priority="27" stopIfTrue="1" operator="greaterThanOrEqual">
      <formula>0</formula>
    </cfRule>
    <cfRule type="cellIs" dxfId="144" priority="28" stopIfTrue="1" operator="lessThan">
      <formula>0</formula>
    </cfRule>
  </conditionalFormatting>
  <conditionalFormatting sqref="X21 X27 X35">
    <cfRule type="cellIs" dxfId="143" priority="25" stopIfTrue="1" operator="greaterThanOrEqual">
      <formula>0</formula>
    </cfRule>
    <cfRule type="cellIs" dxfId="142" priority="26" stopIfTrue="1" operator="lessThan">
      <formula>0</formula>
    </cfRule>
  </conditionalFormatting>
  <conditionalFormatting sqref="X42">
    <cfRule type="cellIs" dxfId="141" priority="23" stopIfTrue="1" operator="greaterThanOrEqual">
      <formula>0</formula>
    </cfRule>
    <cfRule type="cellIs" dxfId="140" priority="24" stopIfTrue="1" operator="lessThan">
      <formula>0</formula>
    </cfRule>
  </conditionalFormatting>
  <conditionalFormatting sqref="Y21 Y27 Y35">
    <cfRule type="cellIs" dxfId="139" priority="21" stopIfTrue="1" operator="greaterThanOrEqual">
      <formula>0</formula>
    </cfRule>
    <cfRule type="cellIs" dxfId="138" priority="22" stopIfTrue="1" operator="lessThan">
      <formula>0</formula>
    </cfRule>
  </conditionalFormatting>
  <conditionalFormatting sqref="Y42">
    <cfRule type="cellIs" dxfId="137" priority="19" stopIfTrue="1" operator="greaterThanOrEqual">
      <formula>0</formula>
    </cfRule>
    <cfRule type="cellIs" dxfId="136" priority="20" stopIfTrue="1" operator="lessThan">
      <formula>0</formula>
    </cfRule>
  </conditionalFormatting>
  <conditionalFormatting sqref="Z21 Z27 Z35">
    <cfRule type="cellIs" dxfId="135" priority="17" stopIfTrue="1" operator="greaterThanOrEqual">
      <formula>0</formula>
    </cfRule>
    <cfRule type="cellIs" dxfId="134" priority="18" stopIfTrue="1" operator="lessThan">
      <formula>0</formula>
    </cfRule>
  </conditionalFormatting>
  <conditionalFormatting sqref="Z42">
    <cfRule type="cellIs" dxfId="133" priority="15" stopIfTrue="1" operator="greaterThanOrEqual">
      <formula>0</formula>
    </cfRule>
    <cfRule type="cellIs" dxfId="132" priority="16" stopIfTrue="1" operator="lessThan">
      <formula>0</formula>
    </cfRule>
  </conditionalFormatting>
  <conditionalFormatting sqref="AA21 AA27 AA35">
    <cfRule type="cellIs" dxfId="131" priority="13" stopIfTrue="1" operator="greaterThanOrEqual">
      <formula>0</formula>
    </cfRule>
    <cfRule type="cellIs" dxfId="130" priority="14" stopIfTrue="1" operator="lessThan">
      <formula>0</formula>
    </cfRule>
  </conditionalFormatting>
  <conditionalFormatting sqref="AA42">
    <cfRule type="cellIs" dxfId="129" priority="11" stopIfTrue="1" operator="greaterThanOrEqual">
      <formula>0</formula>
    </cfRule>
    <cfRule type="cellIs" dxfId="128" priority="12" stopIfTrue="1" operator="lessThan">
      <formula>0</formula>
    </cfRule>
  </conditionalFormatting>
  <conditionalFormatting sqref="AB21 AB27 AB35">
    <cfRule type="cellIs" dxfId="127" priority="9" stopIfTrue="1" operator="greaterThanOrEqual">
      <formula>0</formula>
    </cfRule>
    <cfRule type="cellIs" dxfId="126" priority="10" stopIfTrue="1" operator="lessThan">
      <formula>0</formula>
    </cfRule>
  </conditionalFormatting>
  <conditionalFormatting sqref="AB42">
    <cfRule type="cellIs" dxfId="125" priority="7" stopIfTrue="1" operator="greaterThanOrEqual">
      <formula>0</formula>
    </cfRule>
    <cfRule type="cellIs" dxfId="124" priority="8" stopIfTrue="1" operator="lessThan">
      <formula>0</formula>
    </cfRule>
  </conditionalFormatting>
  <conditionalFormatting sqref="AC21 AC27 AC35">
    <cfRule type="cellIs" dxfId="123" priority="5" stopIfTrue="1" operator="greaterThanOrEqual">
      <formula>0</formula>
    </cfRule>
    <cfRule type="cellIs" dxfId="122" priority="6" stopIfTrue="1" operator="lessThan">
      <formula>0</formula>
    </cfRule>
  </conditionalFormatting>
  <conditionalFormatting sqref="AC42">
    <cfRule type="cellIs" dxfId="121" priority="3" stopIfTrue="1" operator="greaterThanOrEqual">
      <formula>0</formula>
    </cfRule>
    <cfRule type="cellIs" dxfId="120" priority="4" stopIfTrue="1" operator="lessThan">
      <formula>0</formula>
    </cfRule>
  </conditionalFormatting>
  <conditionalFormatting sqref="I42">
    <cfRule type="cellIs" dxfId="119" priority="1" stopIfTrue="1" operator="greaterThanOrEqual">
      <formula>0</formula>
    </cfRule>
    <cfRule type="cellIs" dxfId="118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sqref="A1:XFD1048576"/>
    </sheetView>
  </sheetViews>
  <sheetFormatPr defaultRowHeight="15" x14ac:dyDescent="0.25"/>
  <cols>
    <col min="1" max="1" width="29.140625" customWidth="1"/>
    <col min="2" max="2" width="56.28515625" customWidth="1"/>
    <col min="3" max="3" width="27" customWidth="1"/>
    <col min="4" max="4" width="22.7109375" customWidth="1"/>
    <col min="6" max="6" width="22.140625" customWidth="1"/>
  </cols>
  <sheetData>
    <row r="1" spans="1:6" ht="18" x14ac:dyDescent="0.25">
      <c r="A1" s="101" t="s">
        <v>59</v>
      </c>
    </row>
    <row r="2" spans="1:6" ht="18" x14ac:dyDescent="0.25">
      <c r="A2" s="101"/>
    </row>
    <row r="3" spans="1:6" ht="23.25" customHeight="1" x14ac:dyDescent="0.25">
      <c r="A3" s="350" t="s">
        <v>60</v>
      </c>
      <c r="B3" s="350"/>
    </row>
    <row r="4" spans="1:6" ht="15.75" thickBot="1" x14ac:dyDescent="0.3"/>
    <row r="5" spans="1:6" ht="15.75" thickBot="1" x14ac:dyDescent="0.3">
      <c r="A5" s="102">
        <v>73</v>
      </c>
      <c r="B5" s="351" t="s">
        <v>34</v>
      </c>
      <c r="C5" s="352"/>
      <c r="D5" s="103">
        <f>SUM(D6:D8)+D9</f>
        <v>11695950.789999999</v>
      </c>
    </row>
    <row r="6" spans="1:6" x14ac:dyDescent="0.25">
      <c r="A6" s="104" t="s">
        <v>61</v>
      </c>
      <c r="B6" s="353" t="s">
        <v>62</v>
      </c>
      <c r="C6" s="354"/>
      <c r="D6" s="105">
        <v>0</v>
      </c>
    </row>
    <row r="7" spans="1:6" x14ac:dyDescent="0.25">
      <c r="A7" s="104" t="s">
        <v>63</v>
      </c>
      <c r="B7" s="355" t="s">
        <v>64</v>
      </c>
      <c r="C7" s="356"/>
      <c r="D7" s="105">
        <f>580+5096.35</f>
        <v>5676.35</v>
      </c>
    </row>
    <row r="8" spans="1:6" ht="15.75" thickBot="1" x14ac:dyDescent="0.3">
      <c r="A8" s="106" t="s">
        <v>65</v>
      </c>
      <c r="B8" s="357" t="s">
        <v>66</v>
      </c>
      <c r="C8" s="358"/>
      <c r="D8" s="107">
        <v>0</v>
      </c>
    </row>
    <row r="9" spans="1:6" ht="39.75" customHeight="1" thickBot="1" x14ac:dyDescent="0.3">
      <c r="A9" s="108" t="s">
        <v>67</v>
      </c>
      <c r="B9" s="359" t="s">
        <v>68</v>
      </c>
      <c r="C9" s="360"/>
      <c r="D9" s="103">
        <f>SUM(D11:D73)</f>
        <v>11690274.439999999</v>
      </c>
    </row>
    <row r="10" spans="1:6" ht="15.75" thickBot="1" x14ac:dyDescent="0.3">
      <c r="A10" s="109" t="s">
        <v>69</v>
      </c>
      <c r="B10" s="110" t="s">
        <v>70</v>
      </c>
      <c r="C10" s="111" t="s">
        <v>71</v>
      </c>
      <c r="D10" s="112" t="s">
        <v>72</v>
      </c>
    </row>
    <row r="11" spans="1:6" ht="12.75" customHeight="1" x14ac:dyDescent="0.25">
      <c r="A11" s="113" t="s">
        <v>73</v>
      </c>
      <c r="B11" s="114" t="s">
        <v>74</v>
      </c>
      <c r="C11" s="115" t="s">
        <v>75</v>
      </c>
      <c r="D11" s="105">
        <f>11082.66+12402.54+7845.42+18039.53+5622.21+15814.55+35524.1+14661.85+31658.84+99227.31</f>
        <v>251879.01</v>
      </c>
      <c r="F11" s="116"/>
    </row>
    <row r="12" spans="1:6" ht="12.75" customHeight="1" x14ac:dyDescent="0.25">
      <c r="A12" s="113" t="s">
        <v>76</v>
      </c>
      <c r="B12" s="114" t="s">
        <v>77</v>
      </c>
      <c r="C12" s="117" t="s">
        <v>75</v>
      </c>
      <c r="D12" s="105">
        <f>7485.02+2710.44+11190.7+3000+750+3750+1332+867.1+667+2750+750+933.8+1248.74</f>
        <v>37434.800000000003</v>
      </c>
      <c r="F12" s="116"/>
    </row>
    <row r="13" spans="1:6" x14ac:dyDescent="0.25">
      <c r="A13" s="113" t="s">
        <v>78</v>
      </c>
      <c r="B13" s="114" t="s">
        <v>79</v>
      </c>
      <c r="C13" s="115" t="s">
        <v>75</v>
      </c>
      <c r="D13" s="105">
        <f>161.39+161.39+161.39+2803.01+1452.02+883.9+3750</f>
        <v>9373.1</v>
      </c>
    </row>
    <row r="14" spans="1:6" x14ac:dyDescent="0.25">
      <c r="A14" s="113" t="s">
        <v>80</v>
      </c>
      <c r="B14" s="114" t="s">
        <v>79</v>
      </c>
      <c r="C14" s="115" t="s">
        <v>75</v>
      </c>
      <c r="D14" s="105">
        <f>284</f>
        <v>284</v>
      </c>
    </row>
    <row r="15" spans="1:6" x14ac:dyDescent="0.25">
      <c r="A15" s="113" t="s">
        <v>81</v>
      </c>
      <c r="B15" s="114" t="s">
        <v>79</v>
      </c>
      <c r="C15" s="115" t="s">
        <v>75</v>
      </c>
      <c r="D15" s="105">
        <v>189.8</v>
      </c>
    </row>
    <row r="16" spans="1:6" x14ac:dyDescent="0.25">
      <c r="A16" s="113" t="s">
        <v>82</v>
      </c>
      <c r="B16" s="114" t="s">
        <v>79</v>
      </c>
      <c r="C16" s="115" t="s">
        <v>75</v>
      </c>
      <c r="D16" s="105">
        <v>2800.03</v>
      </c>
      <c r="F16" s="118" t="s">
        <v>56</v>
      </c>
    </row>
    <row r="17" spans="1:4" x14ac:dyDescent="0.25">
      <c r="A17" s="119" t="s">
        <v>75</v>
      </c>
      <c r="B17" s="120" t="s">
        <v>83</v>
      </c>
      <c r="C17" s="121" t="s">
        <v>75</v>
      </c>
      <c r="D17" s="122">
        <v>8869325.7699999996</v>
      </c>
    </row>
    <row r="18" spans="1:4" x14ac:dyDescent="0.25">
      <c r="A18" s="113" t="s">
        <v>75</v>
      </c>
      <c r="B18" s="123" t="s">
        <v>84</v>
      </c>
      <c r="C18" s="115" t="s">
        <v>75</v>
      </c>
      <c r="D18" s="105">
        <v>505.63</v>
      </c>
    </row>
    <row r="19" spans="1:4" x14ac:dyDescent="0.25">
      <c r="A19" s="119" t="s">
        <v>75</v>
      </c>
      <c r="B19" s="120" t="s">
        <v>85</v>
      </c>
      <c r="C19" s="121" t="s">
        <v>75</v>
      </c>
      <c r="D19" s="122">
        <v>3400</v>
      </c>
    </row>
    <row r="20" spans="1:4" x14ac:dyDescent="0.25">
      <c r="A20" s="113" t="s">
        <v>86</v>
      </c>
      <c r="B20" s="114" t="s">
        <v>87</v>
      </c>
      <c r="C20" s="115" t="s">
        <v>75</v>
      </c>
      <c r="D20" s="105">
        <v>388931.3</v>
      </c>
    </row>
    <row r="21" spans="1:4" x14ac:dyDescent="0.25">
      <c r="A21" s="113" t="s">
        <v>88</v>
      </c>
      <c r="B21" s="114" t="s">
        <v>87</v>
      </c>
      <c r="C21" s="115" t="s">
        <v>75</v>
      </c>
      <c r="D21" s="105">
        <v>17623.689999999999</v>
      </c>
    </row>
    <row r="22" spans="1:4" x14ac:dyDescent="0.25">
      <c r="A22" s="113" t="s">
        <v>89</v>
      </c>
      <c r="B22" s="114" t="s">
        <v>87</v>
      </c>
      <c r="C22" s="115" t="s">
        <v>75</v>
      </c>
      <c r="D22" s="105">
        <v>10075</v>
      </c>
    </row>
    <row r="23" spans="1:4" x14ac:dyDescent="0.25">
      <c r="A23" s="113" t="s">
        <v>90</v>
      </c>
      <c r="B23" s="114" t="s">
        <v>87</v>
      </c>
      <c r="C23" s="115" t="s">
        <v>75</v>
      </c>
      <c r="D23" s="105">
        <v>520619.01</v>
      </c>
    </row>
    <row r="24" spans="1:4" x14ac:dyDescent="0.25">
      <c r="A24" s="113" t="s">
        <v>91</v>
      </c>
      <c r="B24" s="114" t="s">
        <v>87</v>
      </c>
      <c r="C24" s="115" t="s">
        <v>75</v>
      </c>
      <c r="D24" s="105">
        <v>42746.84</v>
      </c>
    </row>
    <row r="25" spans="1:4" x14ac:dyDescent="0.25">
      <c r="A25" s="113" t="s">
        <v>92</v>
      </c>
      <c r="B25" s="114" t="s">
        <v>87</v>
      </c>
      <c r="C25" s="115" t="s">
        <v>75</v>
      </c>
      <c r="D25" s="105">
        <v>39677.42</v>
      </c>
    </row>
    <row r="26" spans="1:4" x14ac:dyDescent="0.25">
      <c r="A26" s="113" t="s">
        <v>93</v>
      </c>
      <c r="B26" s="114" t="s">
        <v>94</v>
      </c>
      <c r="C26" s="115" t="s">
        <v>75</v>
      </c>
      <c r="D26" s="105">
        <v>248</v>
      </c>
    </row>
    <row r="27" spans="1:4" x14ac:dyDescent="0.25">
      <c r="A27" s="113" t="s">
        <v>95</v>
      </c>
      <c r="B27" s="114" t="s">
        <v>94</v>
      </c>
      <c r="C27" s="115" t="s">
        <v>75</v>
      </c>
      <c r="D27" s="105">
        <v>6197</v>
      </c>
    </row>
    <row r="28" spans="1:4" x14ac:dyDescent="0.25">
      <c r="A28" s="113" t="s">
        <v>96</v>
      </c>
      <c r="B28" s="114" t="s">
        <v>94</v>
      </c>
      <c r="C28" s="115" t="s">
        <v>75</v>
      </c>
      <c r="D28" s="105">
        <v>372</v>
      </c>
    </row>
    <row r="29" spans="1:4" x14ac:dyDescent="0.25">
      <c r="A29" s="113" t="s">
        <v>97</v>
      </c>
      <c r="B29" s="114" t="s">
        <v>94</v>
      </c>
      <c r="C29" s="115" t="s">
        <v>75</v>
      </c>
      <c r="D29" s="105">
        <v>6000</v>
      </c>
    </row>
    <row r="30" spans="1:4" x14ac:dyDescent="0.25">
      <c r="A30" s="113" t="s">
        <v>98</v>
      </c>
      <c r="B30" s="114" t="s">
        <v>94</v>
      </c>
      <c r="C30" s="115" t="s">
        <v>75</v>
      </c>
      <c r="D30" s="105">
        <v>250</v>
      </c>
    </row>
    <row r="31" spans="1:4" x14ac:dyDescent="0.25">
      <c r="A31" s="113" t="s">
        <v>99</v>
      </c>
      <c r="B31" s="114" t="s">
        <v>94</v>
      </c>
      <c r="C31" s="115" t="s">
        <v>75</v>
      </c>
      <c r="D31" s="105">
        <v>124</v>
      </c>
    </row>
    <row r="32" spans="1:4" x14ac:dyDescent="0.25">
      <c r="A32" s="113" t="s">
        <v>100</v>
      </c>
      <c r="B32" s="114" t="s">
        <v>94</v>
      </c>
      <c r="C32" s="115" t="s">
        <v>75</v>
      </c>
      <c r="D32" s="105">
        <v>1000</v>
      </c>
    </row>
    <row r="33" spans="1:4" x14ac:dyDescent="0.25">
      <c r="A33" s="113" t="s">
        <v>101</v>
      </c>
      <c r="B33" s="114" t="s">
        <v>94</v>
      </c>
      <c r="C33" s="115" t="s">
        <v>75</v>
      </c>
      <c r="D33" s="105">
        <v>12395</v>
      </c>
    </row>
    <row r="34" spans="1:4" x14ac:dyDescent="0.25">
      <c r="A34" s="113" t="s">
        <v>102</v>
      </c>
      <c r="B34" s="114" t="s">
        <v>94</v>
      </c>
      <c r="C34" s="115" t="s">
        <v>75</v>
      </c>
      <c r="D34" s="105">
        <v>3718</v>
      </c>
    </row>
    <row r="35" spans="1:4" x14ac:dyDescent="0.25">
      <c r="A35" s="113" t="s">
        <v>103</v>
      </c>
      <c r="B35" s="114" t="s">
        <v>104</v>
      </c>
      <c r="C35" s="115" t="s">
        <v>75</v>
      </c>
      <c r="D35" s="105">
        <v>2799</v>
      </c>
    </row>
    <row r="36" spans="1:4" x14ac:dyDescent="0.25">
      <c r="A36" s="113" t="s">
        <v>105</v>
      </c>
      <c r="B36" s="114" t="s">
        <v>94</v>
      </c>
      <c r="C36" s="124" t="s">
        <v>75</v>
      </c>
      <c r="D36" s="105">
        <v>6981.96</v>
      </c>
    </row>
    <row r="37" spans="1:4" x14ac:dyDescent="0.25">
      <c r="A37" s="113" t="s">
        <v>106</v>
      </c>
      <c r="B37" s="114" t="s">
        <v>94</v>
      </c>
      <c r="C37" s="124" t="s">
        <v>75</v>
      </c>
      <c r="D37" s="105">
        <v>10000</v>
      </c>
    </row>
    <row r="38" spans="1:4" x14ac:dyDescent="0.25">
      <c r="A38" s="113" t="s">
        <v>107</v>
      </c>
      <c r="B38" s="114" t="s">
        <v>108</v>
      </c>
      <c r="C38" s="124" t="s">
        <v>75</v>
      </c>
      <c r="D38" s="105">
        <v>27356.799999999999</v>
      </c>
    </row>
    <row r="39" spans="1:4" x14ac:dyDescent="0.25">
      <c r="A39" s="113" t="s">
        <v>107</v>
      </c>
      <c r="B39" s="114" t="s">
        <v>109</v>
      </c>
      <c r="C39" s="124" t="s">
        <v>75</v>
      </c>
      <c r="D39" s="105">
        <v>18777.82</v>
      </c>
    </row>
    <row r="40" spans="1:4" x14ac:dyDescent="0.25">
      <c r="A40" s="113" t="s">
        <v>110</v>
      </c>
      <c r="B40" s="114" t="s">
        <v>111</v>
      </c>
      <c r="C40" s="125" t="s">
        <v>112</v>
      </c>
      <c r="D40" s="105">
        <v>7500</v>
      </c>
    </row>
    <row r="41" spans="1:4" x14ac:dyDescent="0.25">
      <c r="A41" s="113" t="s">
        <v>110</v>
      </c>
      <c r="B41" s="114" t="s">
        <v>113</v>
      </c>
      <c r="C41" s="125" t="s">
        <v>112</v>
      </c>
      <c r="D41" s="105">
        <v>-6609.03</v>
      </c>
    </row>
    <row r="42" spans="1:4" x14ac:dyDescent="0.25">
      <c r="A42" s="126" t="s">
        <v>114</v>
      </c>
      <c r="B42" s="127" t="s">
        <v>115</v>
      </c>
      <c r="C42" s="124" t="s">
        <v>75</v>
      </c>
      <c r="D42" s="128">
        <v>3691</v>
      </c>
    </row>
    <row r="43" spans="1:4" x14ac:dyDescent="0.25">
      <c r="A43" s="126" t="s">
        <v>114</v>
      </c>
      <c r="B43" s="127" t="s">
        <v>116</v>
      </c>
      <c r="C43" s="124" t="s">
        <v>75</v>
      </c>
      <c r="D43" s="128">
        <v>3195.39</v>
      </c>
    </row>
    <row r="44" spans="1:4" x14ac:dyDescent="0.25">
      <c r="A44" s="129" t="s">
        <v>117</v>
      </c>
      <c r="B44" s="130" t="s">
        <v>118</v>
      </c>
      <c r="C44" s="131" t="s">
        <v>75</v>
      </c>
      <c r="D44" s="132">
        <v>10000</v>
      </c>
    </row>
    <row r="45" spans="1:4" x14ac:dyDescent="0.25">
      <c r="A45" s="126" t="s">
        <v>119</v>
      </c>
      <c r="B45" s="127" t="s">
        <v>120</v>
      </c>
      <c r="C45" s="124" t="s">
        <v>112</v>
      </c>
      <c r="D45" s="128">
        <v>11469.49</v>
      </c>
    </row>
    <row r="46" spans="1:4" x14ac:dyDescent="0.25">
      <c r="A46" s="126" t="s">
        <v>119</v>
      </c>
      <c r="B46" s="127" t="s">
        <v>121</v>
      </c>
      <c r="C46" s="124" t="s">
        <v>112</v>
      </c>
      <c r="D46" s="128">
        <v>1000</v>
      </c>
    </row>
    <row r="47" spans="1:4" x14ac:dyDescent="0.25">
      <c r="A47" s="133" t="s">
        <v>122</v>
      </c>
      <c r="B47" s="134" t="s">
        <v>123</v>
      </c>
      <c r="C47" s="124" t="s">
        <v>112</v>
      </c>
      <c r="D47" s="132">
        <v>8850.18</v>
      </c>
    </row>
    <row r="48" spans="1:4" x14ac:dyDescent="0.25">
      <c r="A48" s="126" t="s">
        <v>124</v>
      </c>
      <c r="B48" s="127" t="s">
        <v>125</v>
      </c>
      <c r="C48" s="133" t="s">
        <v>112</v>
      </c>
      <c r="D48" s="132">
        <v>11000</v>
      </c>
    </row>
    <row r="49" spans="1:6" x14ac:dyDescent="0.25">
      <c r="A49" s="126" t="s">
        <v>126</v>
      </c>
      <c r="B49" s="127" t="s">
        <v>127</v>
      </c>
      <c r="C49" s="124" t="s">
        <v>112</v>
      </c>
      <c r="D49" s="128">
        <v>6600</v>
      </c>
    </row>
    <row r="50" spans="1:6" x14ac:dyDescent="0.25">
      <c r="A50" s="113" t="s">
        <v>75</v>
      </c>
      <c r="B50" s="114" t="s">
        <v>128</v>
      </c>
      <c r="C50" s="135" t="s">
        <v>112</v>
      </c>
      <c r="D50" s="105">
        <v>21769</v>
      </c>
    </row>
    <row r="51" spans="1:6" x14ac:dyDescent="0.25">
      <c r="A51" s="113" t="s">
        <v>75</v>
      </c>
      <c r="B51" s="114" t="s">
        <v>129</v>
      </c>
      <c r="C51" s="113" t="s">
        <v>75</v>
      </c>
      <c r="D51" s="105">
        <v>9868.32</v>
      </c>
    </row>
    <row r="52" spans="1:6" x14ac:dyDescent="0.25">
      <c r="A52" s="113" t="s">
        <v>75</v>
      </c>
      <c r="B52" s="114" t="s">
        <v>130</v>
      </c>
      <c r="C52" s="113" t="s">
        <v>75</v>
      </c>
      <c r="D52" s="105">
        <v>15981.45</v>
      </c>
      <c r="F52" s="118" t="s">
        <v>56</v>
      </c>
    </row>
    <row r="53" spans="1:6" x14ac:dyDescent="0.25">
      <c r="A53" s="126" t="s">
        <v>131</v>
      </c>
      <c r="B53" s="114" t="s">
        <v>132</v>
      </c>
      <c r="C53" s="113" t="s">
        <v>75</v>
      </c>
      <c r="D53" s="128">
        <v>-16042.81</v>
      </c>
      <c r="F53" s="118" t="s">
        <v>56</v>
      </c>
    </row>
    <row r="54" spans="1:6" x14ac:dyDescent="0.25">
      <c r="A54" s="113" t="s">
        <v>75</v>
      </c>
      <c r="B54" s="114" t="s">
        <v>133</v>
      </c>
      <c r="C54" s="135" t="s">
        <v>134</v>
      </c>
      <c r="D54" s="105">
        <v>202596.41</v>
      </c>
      <c r="F54" s="118" t="s">
        <v>56</v>
      </c>
    </row>
    <row r="55" spans="1:6" x14ac:dyDescent="0.25">
      <c r="A55" s="113" t="s">
        <v>75</v>
      </c>
      <c r="B55" s="114" t="s">
        <v>135</v>
      </c>
      <c r="C55" s="135" t="s">
        <v>136</v>
      </c>
      <c r="D55" s="105">
        <v>22895</v>
      </c>
    </row>
    <row r="56" spans="1:6" x14ac:dyDescent="0.25">
      <c r="A56" s="113" t="s">
        <v>75</v>
      </c>
      <c r="B56" s="114" t="s">
        <v>137</v>
      </c>
      <c r="C56" s="135" t="s">
        <v>138</v>
      </c>
      <c r="D56" s="105">
        <f>107873-21769</f>
        <v>86104</v>
      </c>
    </row>
    <row r="57" spans="1:6" x14ac:dyDescent="0.25">
      <c r="A57" s="113" t="s">
        <v>75</v>
      </c>
      <c r="B57" s="114" t="s">
        <v>139</v>
      </c>
      <c r="C57" s="135" t="s">
        <v>139</v>
      </c>
      <c r="D57" s="105">
        <v>298779.43</v>
      </c>
    </row>
    <row r="58" spans="1:6" x14ac:dyDescent="0.25">
      <c r="A58" s="113" t="s">
        <v>75</v>
      </c>
      <c r="B58" s="114" t="s">
        <v>140</v>
      </c>
      <c r="C58" s="135" t="s">
        <v>141</v>
      </c>
      <c r="D58" s="105">
        <v>159628.37</v>
      </c>
    </row>
    <row r="59" spans="1:6" x14ac:dyDescent="0.25">
      <c r="A59" s="113" t="s">
        <v>142</v>
      </c>
      <c r="B59" s="114" t="s">
        <v>143</v>
      </c>
      <c r="C59" s="115" t="s">
        <v>144</v>
      </c>
      <c r="D59" s="105">
        <v>55000</v>
      </c>
    </row>
    <row r="60" spans="1:6" x14ac:dyDescent="0.25">
      <c r="A60" s="113" t="s">
        <v>145</v>
      </c>
      <c r="B60" s="114" t="s">
        <v>146</v>
      </c>
      <c r="C60" s="115" t="s">
        <v>145</v>
      </c>
      <c r="D60" s="105">
        <v>8825.56</v>
      </c>
    </row>
    <row r="61" spans="1:6" x14ac:dyDescent="0.25">
      <c r="A61" s="113" t="s">
        <v>147</v>
      </c>
      <c r="B61" s="114" t="s">
        <v>148</v>
      </c>
      <c r="C61" s="125" t="s">
        <v>147</v>
      </c>
      <c r="D61" s="105">
        <v>33174.199999999997</v>
      </c>
    </row>
    <row r="62" spans="1:6" x14ac:dyDescent="0.25">
      <c r="A62" s="113" t="s">
        <v>149</v>
      </c>
      <c r="B62" s="114" t="s">
        <v>150</v>
      </c>
      <c r="C62" s="125" t="s">
        <v>151</v>
      </c>
      <c r="D62" s="105">
        <v>50000</v>
      </c>
    </row>
    <row r="63" spans="1:6" x14ac:dyDescent="0.25">
      <c r="A63" s="113" t="s">
        <v>149</v>
      </c>
      <c r="B63" s="114" t="s">
        <v>152</v>
      </c>
      <c r="C63" s="125" t="s">
        <v>153</v>
      </c>
      <c r="D63" s="105">
        <v>36000</v>
      </c>
    </row>
    <row r="64" spans="1:6" x14ac:dyDescent="0.25">
      <c r="A64" s="113" t="s">
        <v>154</v>
      </c>
      <c r="B64" s="114" t="s">
        <v>94</v>
      </c>
      <c r="C64" s="115" t="s">
        <v>154</v>
      </c>
      <c r="D64" s="105">
        <v>29246.04</v>
      </c>
    </row>
    <row r="65" spans="1:4" x14ac:dyDescent="0.25">
      <c r="A65" s="126" t="s">
        <v>155</v>
      </c>
      <c r="B65" s="127" t="s">
        <v>156</v>
      </c>
      <c r="C65" s="124" t="s">
        <v>157</v>
      </c>
      <c r="D65" s="128">
        <v>41526.019999999997</v>
      </c>
    </row>
    <row r="66" spans="1:4" x14ac:dyDescent="0.25">
      <c r="A66" s="126" t="s">
        <v>131</v>
      </c>
      <c r="B66" s="114" t="s">
        <v>158</v>
      </c>
      <c r="C66" s="136" t="s">
        <v>159</v>
      </c>
      <c r="D66" s="128">
        <v>10876.12</v>
      </c>
    </row>
    <row r="67" spans="1:4" x14ac:dyDescent="0.25">
      <c r="A67" s="126" t="s">
        <v>160</v>
      </c>
      <c r="B67" s="127" t="s">
        <v>161</v>
      </c>
      <c r="C67" s="124" t="s">
        <v>161</v>
      </c>
      <c r="D67" s="128">
        <v>90094.28</v>
      </c>
    </row>
    <row r="68" spans="1:4" x14ac:dyDescent="0.25">
      <c r="A68" s="137" t="s">
        <v>162</v>
      </c>
      <c r="B68" s="114" t="s">
        <v>163</v>
      </c>
      <c r="C68" s="124" t="s">
        <v>164</v>
      </c>
      <c r="D68" s="105">
        <v>36000</v>
      </c>
    </row>
    <row r="69" spans="1:4" x14ac:dyDescent="0.25">
      <c r="A69" s="126" t="s">
        <v>119</v>
      </c>
      <c r="B69" s="127" t="s">
        <v>165</v>
      </c>
      <c r="C69" s="136" t="s">
        <v>166</v>
      </c>
      <c r="D69" s="128">
        <v>42752.21</v>
      </c>
    </row>
    <row r="70" spans="1:4" x14ac:dyDescent="0.25">
      <c r="A70" s="113" t="s">
        <v>167</v>
      </c>
      <c r="B70" s="114" t="s">
        <v>168</v>
      </c>
      <c r="C70" s="125" t="s">
        <v>169</v>
      </c>
      <c r="D70" s="105">
        <v>56160.480000000003</v>
      </c>
    </row>
    <row r="71" spans="1:4" x14ac:dyDescent="0.25">
      <c r="A71" s="133" t="s">
        <v>170</v>
      </c>
      <c r="B71" s="127" t="s">
        <v>171</v>
      </c>
      <c r="C71" s="138" t="s">
        <v>172</v>
      </c>
      <c r="D71" s="132">
        <v>28397.53</v>
      </c>
    </row>
    <row r="72" spans="1:4" x14ac:dyDescent="0.25">
      <c r="A72" s="133" t="s">
        <v>170</v>
      </c>
      <c r="B72" s="127" t="s">
        <v>171</v>
      </c>
      <c r="C72" s="138" t="s">
        <v>170</v>
      </c>
      <c r="D72" s="132">
        <v>20972.07</v>
      </c>
    </row>
    <row r="73" spans="1:4" ht="15.75" thickBot="1" x14ac:dyDescent="0.3">
      <c r="A73" s="139" t="s">
        <v>173</v>
      </c>
      <c r="B73" s="127" t="s">
        <v>174</v>
      </c>
      <c r="C73" s="136" t="s">
        <v>173</v>
      </c>
      <c r="D73" s="128">
        <v>1888.75</v>
      </c>
    </row>
    <row r="79" spans="1:4" x14ac:dyDescent="0.25">
      <c r="A79" s="140"/>
      <c r="B79" s="140"/>
    </row>
    <row r="80" spans="1:4" x14ac:dyDescent="0.25">
      <c r="D80" s="116"/>
    </row>
    <row r="81" spans="4:4" x14ac:dyDescent="0.25">
      <c r="D81" s="116"/>
    </row>
    <row r="83" spans="4:4" x14ac:dyDescent="0.25">
      <c r="D83" s="116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90"/>
  <sheetViews>
    <sheetView workbookViewId="0">
      <selection sqref="A1:XFD1048576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/>
    <col min="6" max="6" width="22.5703125" style="1" customWidth="1"/>
    <col min="7" max="7" width="4.42578125" style="1" customWidth="1"/>
    <col min="8" max="8" width="6.28515625" style="1" customWidth="1"/>
    <col min="9" max="9" width="14.7109375" style="1" customWidth="1"/>
    <col min="10" max="10" width="17.5703125" style="1" customWidth="1"/>
    <col min="11" max="18" width="16.85546875" style="141" customWidth="1"/>
    <col min="19" max="21" width="16.85546875" style="1" customWidth="1"/>
    <col min="22" max="22" width="16.85546875" style="216" customWidth="1"/>
    <col min="23" max="30" width="16.85546875" style="1" customWidth="1"/>
    <col min="31" max="31" width="14" style="1" customWidth="1"/>
    <col min="32" max="16384" width="9.140625" style="1"/>
  </cols>
  <sheetData>
    <row r="1" spans="1:31" ht="18" x14ac:dyDescent="0.25">
      <c r="A1" s="342" t="s">
        <v>175</v>
      </c>
      <c r="B1" s="342"/>
      <c r="C1" s="342"/>
      <c r="D1" s="342"/>
      <c r="E1" s="342"/>
      <c r="F1" s="342"/>
      <c r="G1" s="342"/>
      <c r="H1" s="343"/>
      <c r="I1" s="343"/>
      <c r="J1" s="343"/>
      <c r="V1" s="142"/>
    </row>
    <row r="2" spans="1:31" ht="15.75" x14ac:dyDescent="0.25">
      <c r="A2" s="344" t="s">
        <v>1</v>
      </c>
      <c r="B2" s="344"/>
      <c r="C2" s="344"/>
      <c r="D2" s="345"/>
      <c r="E2" s="345"/>
      <c r="F2" s="345"/>
      <c r="G2" s="345"/>
      <c r="H2" s="345"/>
      <c r="I2" s="345"/>
      <c r="Q2" s="143"/>
      <c r="V2" s="142"/>
    </row>
    <row r="3" spans="1:31" ht="15.75" x14ac:dyDescent="0.25">
      <c r="A3" s="2"/>
      <c r="B3" s="2"/>
      <c r="C3" s="2"/>
      <c r="D3" s="3"/>
      <c r="E3" s="4"/>
      <c r="F3" s="4"/>
      <c r="G3" s="4"/>
      <c r="H3" s="4"/>
      <c r="I3" s="4"/>
      <c r="V3" s="142"/>
    </row>
    <row r="4" spans="1:31" s="13" customFormat="1" ht="56.25" customHeight="1" thickBot="1" x14ac:dyDescent="0.3">
      <c r="A4" s="5"/>
      <c r="B4" s="6"/>
      <c r="C4" s="6"/>
      <c r="D4" s="6"/>
      <c r="E4" s="6"/>
      <c r="F4" s="6"/>
      <c r="G4" s="7"/>
      <c r="H4" s="8" t="s">
        <v>2</v>
      </c>
      <c r="I4" s="9" t="s">
        <v>3</v>
      </c>
      <c r="J4" s="9" t="s">
        <v>4</v>
      </c>
      <c r="K4" s="144" t="s">
        <v>5</v>
      </c>
      <c r="L4" s="144" t="s">
        <v>7</v>
      </c>
      <c r="M4" s="144" t="s">
        <v>8</v>
      </c>
      <c r="N4" s="144" t="s">
        <v>9</v>
      </c>
      <c r="O4" s="144" t="s">
        <v>176</v>
      </c>
      <c r="P4" s="144" t="s">
        <v>177</v>
      </c>
      <c r="Q4" s="144" t="s">
        <v>178</v>
      </c>
      <c r="R4" s="144" t="s">
        <v>15</v>
      </c>
      <c r="S4" s="10" t="s">
        <v>14</v>
      </c>
      <c r="T4" s="144" t="s">
        <v>12</v>
      </c>
      <c r="U4" s="10" t="s">
        <v>179</v>
      </c>
      <c r="V4" s="145" t="s">
        <v>180</v>
      </c>
      <c r="W4" s="10" t="s">
        <v>181</v>
      </c>
      <c r="X4" s="144" t="s">
        <v>18</v>
      </c>
      <c r="Y4" s="10" t="s">
        <v>17</v>
      </c>
      <c r="Z4" s="144" t="s">
        <v>182</v>
      </c>
      <c r="AA4" s="10" t="s">
        <v>16</v>
      </c>
      <c r="AB4" s="10" t="s">
        <v>24</v>
      </c>
      <c r="AC4" s="10" t="s">
        <v>183</v>
      </c>
      <c r="AD4" s="144" t="s">
        <v>21</v>
      </c>
      <c r="AE4" s="12" t="s">
        <v>25</v>
      </c>
    </row>
    <row r="5" spans="1:31" s="13" customFormat="1" ht="15" customHeight="1" thickBot="1" x14ac:dyDescent="0.3">
      <c r="A5" s="346" t="s">
        <v>26</v>
      </c>
      <c r="B5" s="347"/>
      <c r="C5" s="347"/>
      <c r="D5" s="347"/>
      <c r="E5" s="347"/>
      <c r="F5" s="347"/>
      <c r="G5" s="347"/>
      <c r="H5" s="347"/>
      <c r="I5" s="146">
        <v>190.9</v>
      </c>
      <c r="J5" s="146">
        <f>I5-SUM(K5:AD5)</f>
        <v>170.09803604902669</v>
      </c>
      <c r="K5" s="146">
        <v>2.9013157894736841</v>
      </c>
      <c r="L5" s="146">
        <f>0.5</f>
        <v>0.5</v>
      </c>
      <c r="M5" s="146">
        <v>3.8980000000000001</v>
      </c>
      <c r="N5" s="146">
        <v>2.2999999999999998</v>
      </c>
      <c r="O5" s="146">
        <v>0</v>
      </c>
      <c r="P5" s="146">
        <v>1.0089999999999999</v>
      </c>
      <c r="Q5" s="146">
        <v>2.8889999999999998</v>
      </c>
      <c r="R5" s="147">
        <v>0.5</v>
      </c>
      <c r="S5" s="147">
        <v>0.83299999999999996</v>
      </c>
      <c r="T5" s="147">
        <v>0.5</v>
      </c>
      <c r="U5" s="147">
        <v>0.8</v>
      </c>
      <c r="V5" s="147">
        <v>0.44</v>
      </c>
      <c r="W5" s="146">
        <v>1.0529999999999999</v>
      </c>
      <c r="X5" s="147">
        <v>0.16666666666666666</v>
      </c>
      <c r="Y5" s="147">
        <v>0.2</v>
      </c>
      <c r="Z5" s="147">
        <v>0.20833333333333334</v>
      </c>
      <c r="AA5" s="147">
        <v>1</v>
      </c>
      <c r="AB5" s="147">
        <v>0.5</v>
      </c>
      <c r="AC5" s="147">
        <v>0.22364816149963951</v>
      </c>
      <c r="AD5" s="147">
        <v>0.88</v>
      </c>
      <c r="AE5" s="148">
        <f>I5-SUM(J5:AD5)</f>
        <v>0</v>
      </c>
    </row>
    <row r="6" spans="1:31" x14ac:dyDescent="0.25">
      <c r="A6" s="348" t="s">
        <v>27</v>
      </c>
      <c r="B6" s="349"/>
      <c r="C6" s="349"/>
      <c r="D6" s="349"/>
      <c r="E6" s="349"/>
      <c r="F6" s="349"/>
      <c r="G6" s="19"/>
      <c r="H6" s="20"/>
      <c r="I6" s="149"/>
      <c r="J6" s="150"/>
      <c r="K6" s="151"/>
      <c r="L6" s="151"/>
      <c r="M6" s="151"/>
      <c r="N6" s="151"/>
      <c r="O6" s="151"/>
      <c r="P6" s="151"/>
      <c r="Q6" s="151"/>
      <c r="R6" s="151"/>
      <c r="S6" s="21"/>
      <c r="T6" s="151"/>
      <c r="U6" s="21"/>
      <c r="V6" s="152"/>
      <c r="W6" s="151"/>
      <c r="X6" s="21"/>
      <c r="Y6" s="21"/>
      <c r="Z6" s="21"/>
      <c r="AA6" s="21"/>
      <c r="AB6" s="21"/>
      <c r="AC6" s="21"/>
      <c r="AD6" s="21"/>
      <c r="AE6" s="23"/>
    </row>
    <row r="7" spans="1:31" ht="8.25" customHeight="1" x14ac:dyDescent="0.25">
      <c r="A7" s="24"/>
      <c r="B7" s="20"/>
      <c r="C7" s="20"/>
      <c r="D7" s="20"/>
      <c r="E7" s="20"/>
      <c r="F7" s="20"/>
      <c r="G7" s="25"/>
      <c r="H7" s="20"/>
      <c r="I7" s="153"/>
      <c r="J7" s="154"/>
      <c r="K7" s="155"/>
      <c r="L7" s="155"/>
      <c r="M7" s="155"/>
      <c r="N7" s="155"/>
      <c r="O7" s="155"/>
      <c r="P7" s="155"/>
      <c r="Q7" s="155"/>
      <c r="R7" s="155"/>
      <c r="S7" s="26"/>
      <c r="T7" s="155"/>
      <c r="U7" s="26"/>
      <c r="V7" s="156"/>
      <c r="W7" s="155"/>
      <c r="X7" s="26"/>
      <c r="Y7" s="26"/>
      <c r="Z7" s="26"/>
      <c r="AA7" s="26"/>
      <c r="AB7" s="26"/>
      <c r="AC7" s="26"/>
      <c r="AD7" s="26"/>
      <c r="AE7" s="28"/>
    </row>
    <row r="8" spans="1:31" x14ac:dyDescent="0.25">
      <c r="A8" s="324" t="s">
        <v>28</v>
      </c>
      <c r="B8" s="325"/>
      <c r="C8" s="325"/>
      <c r="D8" s="325"/>
      <c r="E8" s="325"/>
      <c r="F8" s="325"/>
      <c r="G8" s="29"/>
      <c r="H8" s="20"/>
      <c r="I8" s="153"/>
      <c r="J8" s="154"/>
      <c r="K8" s="155"/>
      <c r="L8" s="155"/>
      <c r="M8" s="155"/>
      <c r="N8" s="155"/>
      <c r="O8" s="155"/>
      <c r="P8" s="155"/>
      <c r="Q8" s="155"/>
      <c r="R8" s="155"/>
      <c r="S8" s="26"/>
      <c r="T8" s="155"/>
      <c r="U8" s="26"/>
      <c r="V8" s="156"/>
      <c r="W8" s="155"/>
      <c r="X8" s="26"/>
      <c r="Y8" s="26"/>
      <c r="Z8" s="26"/>
      <c r="AA8" s="26"/>
      <c r="AB8" s="26"/>
      <c r="AC8" s="26"/>
      <c r="AD8" s="26"/>
      <c r="AE8" s="28"/>
    </row>
    <row r="9" spans="1:31" x14ac:dyDescent="0.25">
      <c r="A9" s="30"/>
      <c r="B9" s="31" t="s">
        <v>29</v>
      </c>
      <c r="C9" s="32"/>
      <c r="D9" s="32"/>
      <c r="E9" s="32"/>
      <c r="F9" s="32"/>
      <c r="G9" s="33" t="s">
        <v>30</v>
      </c>
      <c r="H9" s="34">
        <v>9900</v>
      </c>
      <c r="I9" s="157">
        <f>I10-I13</f>
        <v>11335286.43</v>
      </c>
      <c r="J9" s="157">
        <f>J10-J13</f>
        <v>10147714.18928628</v>
      </c>
      <c r="K9" s="158">
        <f>K10-K13</f>
        <v>175382.8</v>
      </c>
      <c r="L9" s="159">
        <f t="shared" ref="L9" si="0">L10-L13</f>
        <v>97371.32543929742</v>
      </c>
      <c r="M9" s="159">
        <f>M10-M13</f>
        <v>274446.26</v>
      </c>
      <c r="N9" s="159">
        <f>N10-N13</f>
        <v>133783.16539501905</v>
      </c>
      <c r="O9" s="159">
        <f t="shared" ref="O9" si="1">O10-O13</f>
        <v>-116.79</v>
      </c>
      <c r="P9" s="159">
        <f>P10-P13</f>
        <v>34352.965570079396</v>
      </c>
      <c r="Q9" s="159">
        <f>Q10-Q13</f>
        <v>98430.394429920605</v>
      </c>
      <c r="R9" s="159">
        <f>R10-R13</f>
        <v>26030.587767878376</v>
      </c>
      <c r="S9" s="36">
        <f t="shared" ref="S9:AC9" si="2">S10-S13</f>
        <v>39468.740383076401</v>
      </c>
      <c r="T9" s="159">
        <f>T10-T13</f>
        <v>33242.519993615664</v>
      </c>
      <c r="U9" s="36">
        <f>U10-U13</f>
        <v>54687.130585265375</v>
      </c>
      <c r="V9" s="160">
        <f>V10-V13</f>
        <v>30519.93</v>
      </c>
      <c r="W9" s="159">
        <f>W10-W13</f>
        <v>50531.944005256722</v>
      </c>
      <c r="X9" s="36">
        <f>X10-X13</f>
        <v>10468.489097922726</v>
      </c>
      <c r="Y9" s="36">
        <f t="shared" si="2"/>
        <v>6424.5931687593111</v>
      </c>
      <c r="Z9" s="36">
        <f t="shared" si="2"/>
        <v>9653.3799999999992</v>
      </c>
      <c r="AA9" s="36">
        <f>AA10-AA13</f>
        <v>38207.09659149158</v>
      </c>
      <c r="AB9" s="36">
        <f t="shared" si="2"/>
        <v>32104.229109006646</v>
      </c>
      <c r="AC9" s="36">
        <f t="shared" si="2"/>
        <v>11871.23</v>
      </c>
      <c r="AD9" s="36">
        <f>AD10-AD13</f>
        <v>30712.249177129881</v>
      </c>
      <c r="AE9" s="38">
        <f t="shared" ref="AE9:AE19" si="3">I9-SUM(J9:AD9)</f>
        <v>0</v>
      </c>
    </row>
    <row r="10" spans="1:31" x14ac:dyDescent="0.25">
      <c r="A10" s="24"/>
      <c r="B10" s="39"/>
      <c r="C10" s="337" t="s">
        <v>31</v>
      </c>
      <c r="D10" s="337"/>
      <c r="E10" s="337"/>
      <c r="F10" s="337"/>
      <c r="G10" s="29"/>
      <c r="H10" s="34" t="s">
        <v>32</v>
      </c>
      <c r="I10" s="161">
        <f>I11+I12+601683.99</f>
        <v>14131459.08</v>
      </c>
      <c r="J10" s="162">
        <f t="shared" ref="J10:J19" si="4">I10-SUM(K10:AD10)</f>
        <v>12790768.1</v>
      </c>
      <c r="K10" s="163">
        <f t="shared" ref="K10:AD10" si="5">K11+K12</f>
        <v>205401.59</v>
      </c>
      <c r="L10" s="163">
        <f t="shared" si="5"/>
        <v>102276.5</v>
      </c>
      <c r="M10" s="163">
        <f t="shared" si="5"/>
        <v>296179.21000000002</v>
      </c>
      <c r="N10" s="163">
        <f t="shared" si="5"/>
        <v>163615.73000000001</v>
      </c>
      <c r="O10" s="163">
        <f t="shared" si="5"/>
        <v>-116.79</v>
      </c>
      <c r="P10" s="163">
        <f>P11+P12</f>
        <v>34900.769999999997</v>
      </c>
      <c r="Q10" s="163">
        <f>Q11+Q12</f>
        <v>100000</v>
      </c>
      <c r="R10" s="163">
        <f t="shared" si="5"/>
        <v>29057.759999999998</v>
      </c>
      <c r="S10" s="42">
        <f t="shared" si="5"/>
        <v>45000</v>
      </c>
      <c r="T10" s="163">
        <f t="shared" si="5"/>
        <v>33671.800000000003</v>
      </c>
      <c r="U10" s="42">
        <f t="shared" si="5"/>
        <v>67000</v>
      </c>
      <c r="V10" s="164">
        <f t="shared" si="5"/>
        <v>32742.77</v>
      </c>
      <c r="W10" s="163">
        <f t="shared" si="5"/>
        <v>58000</v>
      </c>
      <c r="X10" s="42">
        <f t="shared" si="5"/>
        <v>11400</v>
      </c>
      <c r="Y10" s="42">
        <f t="shared" si="5"/>
        <v>10876.12</v>
      </c>
      <c r="Z10" s="42">
        <f t="shared" si="5"/>
        <v>9875.89</v>
      </c>
      <c r="AA10" s="42">
        <f t="shared" si="5"/>
        <v>42919.06</v>
      </c>
      <c r="AB10" s="42">
        <f t="shared" si="5"/>
        <v>40557.800000000003</v>
      </c>
      <c r="AC10" s="42">
        <f t="shared" si="5"/>
        <v>15283</v>
      </c>
      <c r="AD10" s="42">
        <f t="shared" si="5"/>
        <v>42049.77</v>
      </c>
      <c r="AE10" s="38">
        <f t="shared" si="3"/>
        <v>0</v>
      </c>
    </row>
    <row r="11" spans="1:31" x14ac:dyDescent="0.25">
      <c r="A11" s="24"/>
      <c r="B11" s="336"/>
      <c r="C11" s="337"/>
      <c r="D11" s="338" t="s">
        <v>33</v>
      </c>
      <c r="E11" s="337"/>
      <c r="F11" s="337"/>
      <c r="G11" s="29"/>
      <c r="H11" s="34">
        <v>70</v>
      </c>
      <c r="I11" s="162">
        <v>1685963.19</v>
      </c>
      <c r="J11" s="165">
        <f t="shared" si="4"/>
        <v>1685963.19</v>
      </c>
      <c r="K11" s="166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41">
        <v>0</v>
      </c>
      <c r="T11" s="167">
        <v>0</v>
      </c>
      <c r="U11" s="41">
        <v>0</v>
      </c>
      <c r="V11" s="53">
        <v>0</v>
      </c>
      <c r="W11" s="167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38">
        <f t="shared" si="3"/>
        <v>0</v>
      </c>
    </row>
    <row r="12" spans="1:31" x14ac:dyDescent="0.25">
      <c r="A12" s="24"/>
      <c r="B12" s="20"/>
      <c r="C12" s="20"/>
      <c r="D12" s="339" t="s">
        <v>34</v>
      </c>
      <c r="E12" s="340"/>
      <c r="F12" s="340"/>
      <c r="G12" s="45"/>
      <c r="H12" s="34">
        <v>73</v>
      </c>
      <c r="I12" s="168">
        <v>11843811.9</v>
      </c>
      <c r="J12" s="162">
        <f t="shared" si="4"/>
        <v>10503120.92</v>
      </c>
      <c r="K12" s="169">
        <v>205401.59</v>
      </c>
      <c r="L12" s="170">
        <v>102276.5</v>
      </c>
      <c r="M12" s="170">
        <v>296179.21000000002</v>
      </c>
      <c r="N12" s="170">
        <v>163615.73000000001</v>
      </c>
      <c r="O12" s="170">
        <v>-116.79</v>
      </c>
      <c r="P12" s="170">
        <v>34900.769999999997</v>
      </c>
      <c r="Q12" s="170">
        <v>100000</v>
      </c>
      <c r="R12" s="170">
        <v>29057.759999999998</v>
      </c>
      <c r="S12" s="48">
        <v>45000</v>
      </c>
      <c r="T12" s="170">
        <v>33671.800000000003</v>
      </c>
      <c r="U12" s="48">
        <v>67000</v>
      </c>
      <c r="V12" s="51">
        <f>12742.77+20000</f>
        <v>32742.77</v>
      </c>
      <c r="W12" s="170">
        <v>58000</v>
      </c>
      <c r="X12" s="48">
        <v>11400</v>
      </c>
      <c r="Y12" s="48">
        <v>10876.12</v>
      </c>
      <c r="Z12" s="48">
        <v>9875.89</v>
      </c>
      <c r="AA12" s="48">
        <v>42919.06</v>
      </c>
      <c r="AB12" s="48">
        <v>40557.800000000003</v>
      </c>
      <c r="AC12" s="48">
        <v>15283</v>
      </c>
      <c r="AD12" s="48">
        <v>42049.77</v>
      </c>
      <c r="AE12" s="38">
        <f t="shared" si="3"/>
        <v>0</v>
      </c>
    </row>
    <row r="13" spans="1:31" ht="25.5" customHeight="1" x14ac:dyDescent="0.25">
      <c r="A13" s="24"/>
      <c r="B13" s="49"/>
      <c r="C13" s="330" t="s">
        <v>35</v>
      </c>
      <c r="D13" s="341"/>
      <c r="E13" s="341"/>
      <c r="F13" s="341"/>
      <c r="G13" s="29"/>
      <c r="H13" s="34" t="s">
        <v>36</v>
      </c>
      <c r="I13" s="168">
        <v>2796172.65</v>
      </c>
      <c r="J13" s="162">
        <f t="shared" si="4"/>
        <v>2643053.9107137192</v>
      </c>
      <c r="K13" s="171">
        <v>30018.79</v>
      </c>
      <c r="L13" s="170">
        <v>4905.1745607025769</v>
      </c>
      <c r="M13" s="170">
        <v>21732.95</v>
      </c>
      <c r="N13" s="170">
        <v>29832.564604980962</v>
      </c>
      <c r="O13" s="170">
        <v>0</v>
      </c>
      <c r="P13" s="170">
        <v>547.80442992060011</v>
      </c>
      <c r="Q13" s="170">
        <v>1569.6055700794</v>
      </c>
      <c r="R13" s="170">
        <v>3027.172232121623</v>
      </c>
      <c r="S13" s="48">
        <v>5531.2596169235994</v>
      </c>
      <c r="T13" s="170">
        <v>429.28000638433707</v>
      </c>
      <c r="U13" s="51">
        <v>12312.869414734629</v>
      </c>
      <c r="V13" s="172">
        <v>2222.84</v>
      </c>
      <c r="W13" s="170">
        <v>7468.0559947432757</v>
      </c>
      <c r="X13" s="48">
        <v>931.51090207727407</v>
      </c>
      <c r="Y13" s="48">
        <v>4451.5268312406897</v>
      </c>
      <c r="Z13" s="51">
        <v>222.51</v>
      </c>
      <c r="AA13" s="48">
        <v>4711.963408508419</v>
      </c>
      <c r="AB13" s="51">
        <v>8453.5708909933564</v>
      </c>
      <c r="AC13" s="51">
        <v>3411.7700000000004</v>
      </c>
      <c r="AD13" s="53">
        <v>11337.520822870114</v>
      </c>
      <c r="AE13" s="38">
        <f t="shared" si="3"/>
        <v>0</v>
      </c>
    </row>
    <row r="14" spans="1:31" ht="26.25" customHeight="1" x14ac:dyDescent="0.25">
      <c r="A14" s="24"/>
      <c r="B14" s="330" t="s">
        <v>37</v>
      </c>
      <c r="C14" s="330"/>
      <c r="D14" s="330"/>
      <c r="E14" s="330"/>
      <c r="F14" s="330"/>
      <c r="G14" s="29" t="s">
        <v>30</v>
      </c>
      <c r="H14" s="34">
        <v>62</v>
      </c>
      <c r="I14" s="162">
        <v>10253235.51</v>
      </c>
      <c r="J14" s="162">
        <f t="shared" si="4"/>
        <v>9154451.0192992743</v>
      </c>
      <c r="K14" s="173">
        <v>150362.93</v>
      </c>
      <c r="L14" s="170">
        <v>80122.788263304144</v>
      </c>
      <c r="M14" s="170">
        <v>256337.04</v>
      </c>
      <c r="N14" s="167">
        <v>127124.36803562669</v>
      </c>
      <c r="O14" s="167">
        <v>0</v>
      </c>
      <c r="P14" s="167">
        <v>36252.636106463571</v>
      </c>
      <c r="Q14" s="167">
        <v>103873.4563921185</v>
      </c>
      <c r="R14" s="167">
        <v>23858.510137839075</v>
      </c>
      <c r="S14" s="41">
        <v>39097.99284408136</v>
      </c>
      <c r="T14" s="167">
        <v>20684.925285183675</v>
      </c>
      <c r="U14" s="41">
        <v>34698.378591522596</v>
      </c>
      <c r="V14" s="172">
        <v>15556.07</v>
      </c>
      <c r="W14" s="167">
        <v>47599.566659367098</v>
      </c>
      <c r="X14" s="53">
        <v>8050.2235751204817</v>
      </c>
      <c r="Y14" s="41">
        <v>11455.434072328111</v>
      </c>
      <c r="Z14" s="41">
        <v>9915.6641620995997</v>
      </c>
      <c r="AA14" s="41">
        <f>42919.06+34.89</f>
        <v>42953.95</v>
      </c>
      <c r="AB14" s="41">
        <v>32104.227144436074</v>
      </c>
      <c r="AC14" s="41">
        <v>11849.939743414039</v>
      </c>
      <c r="AD14" s="53">
        <v>46886.389687820913</v>
      </c>
      <c r="AE14" s="38">
        <f t="shared" si="3"/>
        <v>0</v>
      </c>
    </row>
    <row r="15" spans="1:31" ht="38.25" customHeight="1" x14ac:dyDescent="0.25">
      <c r="A15" s="24"/>
      <c r="B15" s="330" t="s">
        <v>38</v>
      </c>
      <c r="C15" s="330"/>
      <c r="D15" s="330"/>
      <c r="E15" s="330"/>
      <c r="F15" s="330"/>
      <c r="G15" s="29" t="s">
        <v>30</v>
      </c>
      <c r="H15" s="34">
        <v>630</v>
      </c>
      <c r="I15" s="174">
        <v>594826.75</v>
      </c>
      <c r="J15" s="175">
        <f t="shared" si="4"/>
        <v>539944.31428081845</v>
      </c>
      <c r="K15" s="176">
        <v>7340.89</v>
      </c>
      <c r="L15" s="177">
        <v>749.7166666666667</v>
      </c>
      <c r="M15" s="170">
        <v>16369.86</v>
      </c>
      <c r="N15" s="178">
        <v>12440.65</v>
      </c>
      <c r="O15" s="178">
        <f>46991.68*O5/$I$5</f>
        <v>0</v>
      </c>
      <c r="P15" s="178">
        <v>4235.05</v>
      </c>
      <c r="Q15" s="178">
        <v>12134.65</v>
      </c>
      <c r="R15" s="178">
        <v>125.0044690359651</v>
      </c>
      <c r="S15" s="178">
        <f>46991.68*S5/$I$5</f>
        <v>205.05012802514403</v>
      </c>
      <c r="T15" s="178">
        <v>125.0044690359651</v>
      </c>
      <c r="U15" s="178">
        <f>46991.68*U5/$I$5</f>
        <v>196.92689366160295</v>
      </c>
      <c r="V15" s="172">
        <f t="shared" ref="V15:X15" si="6">46991.68*V5/$I$5</f>
        <v>108.30979151388161</v>
      </c>
      <c r="W15" s="178">
        <f t="shared" si="6"/>
        <v>259.20502378208488</v>
      </c>
      <c r="X15" s="178">
        <f t="shared" si="6"/>
        <v>41.026436179500607</v>
      </c>
      <c r="Y15" s="57">
        <v>50</v>
      </c>
      <c r="Z15" s="178">
        <f>46991.68*Z5/$I$5</f>
        <v>51.283045224375769</v>
      </c>
      <c r="AA15" s="57">
        <v>55.056982343499193</v>
      </c>
      <c r="AB15" s="178">
        <f>46991.68*AB5/$I$5</f>
        <v>123.07930853850183</v>
      </c>
      <c r="AC15" s="178">
        <f>46991.68*AC5/$I$5</f>
        <v>55.052922146565628</v>
      </c>
      <c r="AD15" s="178">
        <f>46991.68*AD5/$I$5</f>
        <v>216.61958302776321</v>
      </c>
      <c r="AE15" s="38">
        <f t="shared" si="3"/>
        <v>0</v>
      </c>
    </row>
    <row r="16" spans="1:31" ht="39" customHeight="1" x14ac:dyDescent="0.25">
      <c r="A16" s="24"/>
      <c r="B16" s="330" t="s">
        <v>39</v>
      </c>
      <c r="C16" s="330"/>
      <c r="D16" s="330"/>
      <c r="E16" s="330"/>
      <c r="F16" s="330"/>
      <c r="G16" s="29" t="s">
        <v>30</v>
      </c>
      <c r="H16" s="34" t="s">
        <v>40</v>
      </c>
      <c r="I16" s="168">
        <v>0</v>
      </c>
      <c r="J16" s="162">
        <f t="shared" si="4"/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48">
        <v>0</v>
      </c>
      <c r="T16" s="170">
        <v>0</v>
      </c>
      <c r="U16" s="48">
        <v>0</v>
      </c>
      <c r="V16" s="51">
        <v>0</v>
      </c>
      <c r="W16" s="170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38">
        <f t="shared" si="3"/>
        <v>0</v>
      </c>
    </row>
    <row r="17" spans="1:31" ht="24.75" customHeight="1" x14ac:dyDescent="0.25">
      <c r="A17" s="24"/>
      <c r="B17" s="330" t="s">
        <v>41</v>
      </c>
      <c r="C17" s="330"/>
      <c r="D17" s="330"/>
      <c r="E17" s="330"/>
      <c r="F17" s="330"/>
      <c r="G17" s="29" t="s">
        <v>30</v>
      </c>
      <c r="H17" s="34" t="s">
        <v>42</v>
      </c>
      <c r="I17" s="168">
        <v>100902.25</v>
      </c>
      <c r="J17" s="162">
        <f t="shared" si="4"/>
        <v>100902.25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48">
        <v>0</v>
      </c>
      <c r="T17" s="170">
        <v>0</v>
      </c>
      <c r="U17" s="48">
        <v>0</v>
      </c>
      <c r="V17" s="51">
        <v>0</v>
      </c>
      <c r="W17" s="170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38">
        <f t="shared" si="3"/>
        <v>0</v>
      </c>
    </row>
    <row r="18" spans="1:31" ht="12.75" customHeight="1" x14ac:dyDescent="0.25">
      <c r="A18" s="24"/>
      <c r="B18" s="331" t="s">
        <v>43</v>
      </c>
      <c r="C18" s="331"/>
      <c r="D18" s="331"/>
      <c r="E18" s="331"/>
      <c r="F18" s="331"/>
      <c r="G18" s="29"/>
      <c r="H18" s="34" t="s">
        <v>44</v>
      </c>
      <c r="I18" s="168">
        <v>262833.93</v>
      </c>
      <c r="J18" s="162">
        <f t="shared" si="4"/>
        <v>253684.09</v>
      </c>
      <c r="K18" s="170">
        <v>1379.1</v>
      </c>
      <c r="L18" s="170">
        <v>0</v>
      </c>
      <c r="M18" s="170">
        <v>525.78</v>
      </c>
      <c r="N18" s="170">
        <v>0</v>
      </c>
      <c r="O18" s="170">
        <v>0</v>
      </c>
      <c r="P18" s="170">
        <v>290.66561365809849</v>
      </c>
      <c r="Q18" s="170">
        <v>832.83438634190156</v>
      </c>
      <c r="R18" s="170">
        <v>0</v>
      </c>
      <c r="S18" s="48">
        <v>0</v>
      </c>
      <c r="T18" s="170">
        <v>0</v>
      </c>
      <c r="U18" s="48">
        <v>190.66</v>
      </c>
      <c r="V18" s="51">
        <v>0</v>
      </c>
      <c r="W18" s="170">
        <v>3580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2350.8000000000002</v>
      </c>
      <c r="AD18" s="51">
        <v>0</v>
      </c>
      <c r="AE18" s="38">
        <f t="shared" si="3"/>
        <v>0</v>
      </c>
    </row>
    <row r="19" spans="1:31" ht="24.75" customHeight="1" x14ac:dyDescent="0.25">
      <c r="A19" s="24"/>
      <c r="B19" s="330" t="s">
        <v>45</v>
      </c>
      <c r="C19" s="330"/>
      <c r="D19" s="330"/>
      <c r="E19" s="330"/>
      <c r="F19" s="330"/>
      <c r="G19" s="29" t="s">
        <v>46</v>
      </c>
      <c r="H19" s="34">
        <v>649</v>
      </c>
      <c r="I19" s="168">
        <v>0</v>
      </c>
      <c r="J19" s="179">
        <f t="shared" si="4"/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48">
        <v>0</v>
      </c>
      <c r="T19" s="170">
        <v>0</v>
      </c>
      <c r="U19" s="48">
        <v>0</v>
      </c>
      <c r="V19" s="51">
        <v>0</v>
      </c>
      <c r="W19" s="170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38">
        <f t="shared" si="3"/>
        <v>0</v>
      </c>
    </row>
    <row r="20" spans="1:31" x14ac:dyDescent="0.25">
      <c r="A20" s="24"/>
      <c r="B20" s="58"/>
      <c r="C20" s="3"/>
      <c r="D20" s="39"/>
      <c r="E20" s="39"/>
      <c r="F20" s="39"/>
      <c r="G20" s="29"/>
      <c r="H20" s="34"/>
      <c r="I20" s="180"/>
      <c r="J20" s="181"/>
      <c r="K20" s="182"/>
      <c r="L20" s="182"/>
      <c r="M20" s="182"/>
      <c r="N20" s="182"/>
      <c r="O20" s="182"/>
      <c r="P20" s="182"/>
      <c r="Q20" s="182"/>
      <c r="R20" s="182"/>
      <c r="S20" s="61"/>
      <c r="T20" s="182"/>
      <c r="U20" s="61"/>
      <c r="V20" s="183"/>
      <c r="W20" s="182"/>
      <c r="X20" s="61"/>
      <c r="Y20" s="61"/>
      <c r="Z20" s="61"/>
      <c r="AA20" s="61"/>
      <c r="AB20" s="61"/>
      <c r="AC20" s="61"/>
      <c r="AD20" s="61"/>
      <c r="AE20" s="62"/>
    </row>
    <row r="21" spans="1:31" s="69" customFormat="1" x14ac:dyDescent="0.25">
      <c r="A21" s="332" t="s">
        <v>47</v>
      </c>
      <c r="B21" s="333"/>
      <c r="C21" s="333"/>
      <c r="D21" s="333"/>
      <c r="E21" s="333"/>
      <c r="F21" s="333"/>
      <c r="G21" s="63" t="s">
        <v>30</v>
      </c>
      <c r="H21" s="64">
        <v>9901</v>
      </c>
      <c r="I21" s="184">
        <f>I9-I14-I15-I16-I17-I18-I19</f>
        <v>123487.98999999993</v>
      </c>
      <c r="J21" s="185">
        <f>J9-J14-J15-J16-J17-J18-J19</f>
        <v>98732.515706187667</v>
      </c>
      <c r="K21" s="186">
        <f t="shared" ref="K21:M21" si="7">K9-K14-K15-K16-K17-K18-K19</f>
        <v>16299.879999999996</v>
      </c>
      <c r="L21" s="186">
        <f t="shared" si="7"/>
        <v>16498.820509326608</v>
      </c>
      <c r="M21" s="186">
        <f t="shared" si="7"/>
        <v>1213.5800000000006</v>
      </c>
      <c r="N21" s="186">
        <f>N9-N14-N15-N16-N17-N18-N19</f>
        <v>-5781.8526406076326</v>
      </c>
      <c r="O21" s="186">
        <f t="shared" ref="O21" si="8">O9-O14-O15-O16-O17-O18-O19</f>
        <v>-116.79</v>
      </c>
      <c r="P21" s="186">
        <f>P9-P14-P15-P16-P17-P18-P19</f>
        <v>-6425.3861500422745</v>
      </c>
      <c r="Q21" s="186">
        <f>Q9-Q14-Q15-Q16-Q17-Q18-Q19</f>
        <v>-18410.546348539803</v>
      </c>
      <c r="R21" s="186">
        <f>R9-R14-R15-R16-R17-R18-R19</f>
        <v>2047.0731610033358</v>
      </c>
      <c r="S21" s="67">
        <f t="shared" ref="S21:AC21" si="9">S9-S14-S15-S16-S17-S18-S19</f>
        <v>165.69741096989736</v>
      </c>
      <c r="T21" s="186">
        <f>T9-T14-T15-T16-T17-T18-T19</f>
        <v>12432.590239396024</v>
      </c>
      <c r="U21" s="67">
        <f t="shared" si="9"/>
        <v>19601.165100081176</v>
      </c>
      <c r="V21" s="187">
        <f t="shared" si="9"/>
        <v>14855.550208486118</v>
      </c>
      <c r="W21" s="186">
        <f>W9-W14-W15-W16-W17-W18-W19</f>
        <v>-906.82767789246009</v>
      </c>
      <c r="X21" s="67">
        <f>X9-X14-X15-X16-X17-X18-X19</f>
        <v>2377.2390866227433</v>
      </c>
      <c r="Y21" s="67">
        <f t="shared" ref="Y21:Z21" si="10">Y9-Y14-Y15-Y16-Y17-Y18-Y19</f>
        <v>-5080.8409035688001</v>
      </c>
      <c r="Z21" s="67">
        <f t="shared" si="10"/>
        <v>-313.56720732397628</v>
      </c>
      <c r="AA21" s="67">
        <f>AA9-AA14-AA15-AA16-AA17-AA18-AA19</f>
        <v>-4801.9103908519164</v>
      </c>
      <c r="AB21" s="67">
        <f t="shared" si="9"/>
        <v>-123.07734396792938</v>
      </c>
      <c r="AC21" s="67">
        <f t="shared" si="9"/>
        <v>-2384.5626655606056</v>
      </c>
      <c r="AD21" s="67">
        <f>AD9-AD14-AD15-AD16-AD17-AD18-AD19</f>
        <v>-16390.760093718796</v>
      </c>
      <c r="AE21" s="68">
        <f>AE9-AE14-AE15-AE16-AE17-AE18-AE19</f>
        <v>0</v>
      </c>
    </row>
    <row r="22" spans="1:31" s="69" customFormat="1" x14ac:dyDescent="0.25">
      <c r="A22" s="70"/>
      <c r="B22" s="334"/>
      <c r="C22" s="335"/>
      <c r="D22" s="335"/>
      <c r="E22" s="335"/>
      <c r="F22" s="335"/>
      <c r="G22" s="63"/>
      <c r="H22" s="64"/>
      <c r="I22" s="188"/>
      <c r="J22" s="189"/>
      <c r="K22" s="190"/>
      <c r="L22" s="190"/>
      <c r="M22" s="190"/>
      <c r="N22" s="190"/>
      <c r="O22" s="190"/>
      <c r="P22" s="190"/>
      <c r="Q22" s="190"/>
      <c r="R22" s="190"/>
      <c r="S22" s="73"/>
      <c r="T22" s="190"/>
      <c r="U22" s="73"/>
      <c r="V22" s="191"/>
      <c r="W22" s="190"/>
      <c r="X22" s="73"/>
      <c r="Y22" s="73"/>
      <c r="Z22" s="73"/>
      <c r="AA22" s="73"/>
      <c r="AB22" s="73"/>
      <c r="AC22" s="73"/>
      <c r="AD22" s="73"/>
      <c r="AE22" s="74"/>
    </row>
    <row r="23" spans="1:31" x14ac:dyDescent="0.25">
      <c r="A23" s="75" t="s">
        <v>48</v>
      </c>
      <c r="B23" s="76"/>
      <c r="C23" s="76"/>
      <c r="D23" s="76"/>
      <c r="E23" s="76"/>
      <c r="F23" s="76"/>
      <c r="G23" s="25"/>
      <c r="H23" s="34">
        <v>75</v>
      </c>
      <c r="I23" s="161">
        <v>91849.26</v>
      </c>
      <c r="J23" s="162">
        <f>I23-SUM(K23:AD23)</f>
        <v>91849.26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42">
        <v>0</v>
      </c>
      <c r="T23" s="163">
        <v>0</v>
      </c>
      <c r="U23" s="42">
        <v>0</v>
      </c>
      <c r="V23" s="164">
        <v>0</v>
      </c>
      <c r="W23" s="163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77">
        <f>I23-SUM(J23:AD23)</f>
        <v>0</v>
      </c>
    </row>
    <row r="24" spans="1:31" x14ac:dyDescent="0.25">
      <c r="A24" s="75"/>
      <c r="B24" s="76"/>
      <c r="C24" s="76"/>
      <c r="D24" s="76"/>
      <c r="E24" s="76"/>
      <c r="F24" s="76"/>
      <c r="G24" s="25"/>
      <c r="H24" s="34"/>
      <c r="I24" s="188"/>
      <c r="J24" s="189"/>
      <c r="K24" s="190"/>
      <c r="L24" s="190"/>
      <c r="M24" s="190"/>
      <c r="N24" s="190"/>
      <c r="O24" s="190"/>
      <c r="P24" s="190"/>
      <c r="Q24" s="190"/>
      <c r="R24" s="190"/>
      <c r="S24" s="73"/>
      <c r="T24" s="190"/>
      <c r="U24" s="73"/>
      <c r="V24" s="191"/>
      <c r="W24" s="190"/>
      <c r="X24" s="73"/>
      <c r="Y24" s="73"/>
      <c r="Z24" s="73"/>
      <c r="AA24" s="73"/>
      <c r="AB24" s="73"/>
      <c r="AC24" s="73"/>
      <c r="AD24" s="73"/>
      <c r="AE24" s="77"/>
    </row>
    <row r="25" spans="1:31" x14ac:dyDescent="0.25">
      <c r="A25" s="324" t="s">
        <v>49</v>
      </c>
      <c r="B25" s="325"/>
      <c r="C25" s="325"/>
      <c r="D25" s="325"/>
      <c r="E25" s="325"/>
      <c r="F25" s="325"/>
      <c r="G25" s="25"/>
      <c r="H25" s="34">
        <v>65</v>
      </c>
      <c r="I25" s="192">
        <v>77720.36</v>
      </c>
      <c r="J25" s="162">
        <f>I25-SUM(K25:AD25)</f>
        <v>77720.36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79">
        <v>0</v>
      </c>
      <c r="T25" s="193">
        <v>0</v>
      </c>
      <c r="U25" s="79">
        <v>0</v>
      </c>
      <c r="V25" s="194">
        <v>0</v>
      </c>
      <c r="W25" s="193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7">
        <f>I25-SUM(J25:AD25)</f>
        <v>0</v>
      </c>
    </row>
    <row r="26" spans="1:31" x14ac:dyDescent="0.25">
      <c r="A26" s="30"/>
      <c r="B26" s="32"/>
      <c r="C26" s="32"/>
      <c r="D26" s="32"/>
      <c r="E26" s="32"/>
      <c r="F26" s="32"/>
      <c r="G26" s="25"/>
      <c r="H26" s="34"/>
      <c r="I26" s="195"/>
      <c r="J26" s="196"/>
      <c r="K26" s="197"/>
      <c r="L26" s="197"/>
      <c r="M26" s="197"/>
      <c r="N26" s="197"/>
      <c r="O26" s="197"/>
      <c r="P26" s="197"/>
      <c r="Q26" s="197"/>
      <c r="R26" s="197"/>
      <c r="S26" s="82"/>
      <c r="T26" s="197"/>
      <c r="U26" s="82"/>
      <c r="V26" s="198"/>
      <c r="W26" s="197"/>
      <c r="X26" s="82"/>
      <c r="Y26" s="82"/>
      <c r="Z26" s="82"/>
      <c r="AA26" s="82"/>
      <c r="AB26" s="82"/>
      <c r="AC26" s="82"/>
      <c r="AD26" s="82"/>
      <c r="AE26" s="83"/>
    </row>
    <row r="27" spans="1:31" x14ac:dyDescent="0.25">
      <c r="A27" s="328" t="s">
        <v>50</v>
      </c>
      <c r="B27" s="329"/>
      <c r="C27" s="329"/>
      <c r="D27" s="329"/>
      <c r="E27" s="329"/>
      <c r="F27" s="329"/>
      <c r="G27" s="84" t="s">
        <v>30</v>
      </c>
      <c r="H27" s="34">
        <v>9902</v>
      </c>
      <c r="I27" s="184">
        <f t="shared" ref="I27:M27" si="11">I21+I23-I25</f>
        <v>137616.88999999996</v>
      </c>
      <c r="J27" s="185">
        <f>J21+J23-J25</f>
        <v>112861.41570618765</v>
      </c>
      <c r="K27" s="186">
        <f t="shared" si="11"/>
        <v>16299.879999999996</v>
      </c>
      <c r="L27" s="186">
        <f t="shared" si="11"/>
        <v>16498.820509326608</v>
      </c>
      <c r="M27" s="186">
        <f t="shared" si="11"/>
        <v>1213.5800000000006</v>
      </c>
      <c r="N27" s="186">
        <f>N21+N23-N25</f>
        <v>-5781.8526406076326</v>
      </c>
      <c r="O27" s="186">
        <f t="shared" ref="O27" si="12">O21+O23-O25</f>
        <v>-116.79</v>
      </c>
      <c r="P27" s="186">
        <f>P21+P23-P25</f>
        <v>-6425.3861500422745</v>
      </c>
      <c r="Q27" s="186">
        <f>Q21+Q23-Q25</f>
        <v>-18410.546348539803</v>
      </c>
      <c r="R27" s="186">
        <f>R21+R23-R25</f>
        <v>2047.0731610033358</v>
      </c>
      <c r="S27" s="67">
        <f t="shared" ref="S27:AC27" si="13">S21+S23-S25</f>
        <v>165.69741096989736</v>
      </c>
      <c r="T27" s="186">
        <f>T21+T23-T25</f>
        <v>12432.590239396024</v>
      </c>
      <c r="U27" s="67">
        <f t="shared" si="13"/>
        <v>19601.165100081176</v>
      </c>
      <c r="V27" s="187">
        <f t="shared" si="13"/>
        <v>14855.550208486118</v>
      </c>
      <c r="W27" s="186">
        <f>W21+W23-W25</f>
        <v>-906.82767789246009</v>
      </c>
      <c r="X27" s="67">
        <f>X21+X23-X25</f>
        <v>2377.2390866227433</v>
      </c>
      <c r="Y27" s="67">
        <f t="shared" ref="Y27:Z27" si="14">Y21+Y23-Y25</f>
        <v>-5080.8409035688001</v>
      </c>
      <c r="Z27" s="67">
        <f t="shared" si="14"/>
        <v>-313.56720732397628</v>
      </c>
      <c r="AA27" s="67">
        <f>AA21+AA23-AA25</f>
        <v>-4801.9103908519164</v>
      </c>
      <c r="AB27" s="67">
        <f t="shared" si="13"/>
        <v>-123.07734396792938</v>
      </c>
      <c r="AC27" s="67">
        <f t="shared" si="13"/>
        <v>-2384.5626655606056</v>
      </c>
      <c r="AD27" s="67">
        <f>AD21+AD23-AD25</f>
        <v>-16390.760093718796</v>
      </c>
      <c r="AE27" s="68">
        <f>AE21+AE23-AE25</f>
        <v>0</v>
      </c>
    </row>
    <row r="28" spans="1:31" x14ac:dyDescent="0.25">
      <c r="A28" s="24"/>
      <c r="B28" s="20"/>
      <c r="C28" s="20"/>
      <c r="D28" s="20"/>
      <c r="E28" s="20"/>
      <c r="F28" s="20"/>
      <c r="G28" s="25"/>
      <c r="H28" s="34"/>
      <c r="I28" s="199"/>
      <c r="J28" s="181"/>
      <c r="K28" s="182"/>
      <c r="L28" s="182"/>
      <c r="M28" s="182"/>
      <c r="N28" s="182"/>
      <c r="O28" s="182"/>
      <c r="P28" s="182"/>
      <c r="Q28" s="182"/>
      <c r="R28" s="182"/>
      <c r="S28" s="61"/>
      <c r="T28" s="182"/>
      <c r="U28" s="61"/>
      <c r="V28" s="183"/>
      <c r="W28" s="182"/>
      <c r="X28" s="61"/>
      <c r="Y28" s="61"/>
      <c r="Z28" s="61"/>
      <c r="AA28" s="61"/>
      <c r="AB28" s="61"/>
      <c r="AC28" s="61"/>
      <c r="AD28" s="61"/>
      <c r="AE28" s="62"/>
    </row>
    <row r="29" spans="1:31" x14ac:dyDescent="0.25">
      <c r="A29" s="324" t="s">
        <v>51</v>
      </c>
      <c r="B29" s="325"/>
      <c r="C29" s="325"/>
      <c r="D29" s="325"/>
      <c r="E29" s="325"/>
      <c r="F29" s="325"/>
      <c r="G29" s="25"/>
      <c r="H29" s="34">
        <v>76</v>
      </c>
      <c r="I29" s="161">
        <v>25385.59</v>
      </c>
      <c r="J29" s="179">
        <f>I29-SUM(K29:AD29)</f>
        <v>25385.59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42">
        <v>0</v>
      </c>
      <c r="T29" s="163">
        <v>0</v>
      </c>
      <c r="U29" s="42">
        <v>0</v>
      </c>
      <c r="V29" s="164">
        <v>0</v>
      </c>
      <c r="W29" s="163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77">
        <f>I29-SUM(J29:AD29)</f>
        <v>0</v>
      </c>
    </row>
    <row r="30" spans="1:31" x14ac:dyDescent="0.25">
      <c r="A30" s="30"/>
      <c r="B30" s="32"/>
      <c r="C30" s="32"/>
      <c r="D30" s="32"/>
      <c r="E30" s="32"/>
      <c r="F30" s="32"/>
      <c r="G30" s="25"/>
      <c r="H30" s="34"/>
      <c r="I30" s="188"/>
      <c r="J30" s="189"/>
      <c r="K30" s="190"/>
      <c r="L30" s="190"/>
      <c r="M30" s="190"/>
      <c r="N30" s="190"/>
      <c r="O30" s="190"/>
      <c r="P30" s="190"/>
      <c r="Q30" s="190"/>
      <c r="R30" s="190"/>
      <c r="S30" s="73"/>
      <c r="T30" s="190"/>
      <c r="U30" s="73"/>
      <c r="V30" s="191"/>
      <c r="W30" s="190"/>
      <c r="X30" s="73"/>
      <c r="Y30" s="73"/>
      <c r="Z30" s="73"/>
      <c r="AA30" s="73"/>
      <c r="AB30" s="73"/>
      <c r="AC30" s="73"/>
      <c r="AD30" s="73"/>
      <c r="AE30" s="77"/>
    </row>
    <row r="31" spans="1:31" x14ac:dyDescent="0.25">
      <c r="A31" s="324" t="s">
        <v>52</v>
      </c>
      <c r="B31" s="325"/>
      <c r="C31" s="325"/>
      <c r="D31" s="325"/>
      <c r="E31" s="325"/>
      <c r="F31" s="325"/>
      <c r="G31" s="25"/>
      <c r="H31" s="34">
        <v>66</v>
      </c>
      <c r="I31" s="192">
        <v>293691.95</v>
      </c>
      <c r="J31" s="192">
        <f>I31-SUM(K31:AD31)</f>
        <v>293691.95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79">
        <v>0</v>
      </c>
      <c r="T31" s="193">
        <v>0</v>
      </c>
      <c r="U31" s="79">
        <v>0</v>
      </c>
      <c r="V31" s="194">
        <v>0</v>
      </c>
      <c r="W31" s="193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7">
        <f>I31-SUM(J31:AD31)</f>
        <v>0</v>
      </c>
    </row>
    <row r="32" spans="1:31" x14ac:dyDescent="0.25">
      <c r="A32" s="30"/>
      <c r="B32" s="32"/>
      <c r="C32" s="32"/>
      <c r="D32" s="32"/>
      <c r="E32" s="32"/>
      <c r="F32" s="32"/>
      <c r="G32" s="25"/>
      <c r="H32" s="34"/>
      <c r="I32" s="199"/>
      <c r="J32" s="199"/>
      <c r="K32" s="182"/>
      <c r="L32" s="182"/>
      <c r="M32" s="182"/>
      <c r="N32" s="182"/>
      <c r="O32" s="182"/>
      <c r="P32" s="182"/>
      <c r="Q32" s="182"/>
      <c r="R32" s="182"/>
      <c r="S32" s="61"/>
      <c r="T32" s="182"/>
      <c r="U32" s="61"/>
      <c r="V32" s="183"/>
      <c r="W32" s="182"/>
      <c r="X32" s="61"/>
      <c r="Y32" s="61"/>
      <c r="Z32" s="61"/>
      <c r="AA32" s="61"/>
      <c r="AB32" s="61"/>
      <c r="AC32" s="61"/>
      <c r="AD32" s="61"/>
      <c r="AE32" s="38"/>
    </row>
    <row r="33" spans="1:31" x14ac:dyDescent="0.25">
      <c r="A33" s="324" t="s">
        <v>53</v>
      </c>
      <c r="B33" s="325"/>
      <c r="C33" s="325"/>
      <c r="D33" s="325"/>
      <c r="E33" s="325"/>
      <c r="F33" s="325"/>
      <c r="G33" s="25"/>
      <c r="H33" s="34">
        <v>67</v>
      </c>
      <c r="I33" s="192">
        <v>0</v>
      </c>
      <c r="J33" s="161">
        <f>I33-SUM(K33:AD33)</f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79">
        <v>0</v>
      </c>
      <c r="T33" s="193">
        <v>0</v>
      </c>
      <c r="U33" s="79">
        <v>0</v>
      </c>
      <c r="V33" s="194">
        <v>0</v>
      </c>
      <c r="W33" s="193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7">
        <f>I33-SUM(J33:AD33)</f>
        <v>0</v>
      </c>
    </row>
    <row r="34" spans="1:31" x14ac:dyDescent="0.25">
      <c r="A34" s="24"/>
      <c r="B34" s="20"/>
      <c r="C34" s="20"/>
      <c r="D34" s="20"/>
      <c r="E34" s="20"/>
      <c r="F34" s="20"/>
      <c r="G34" s="25"/>
      <c r="H34" s="34"/>
      <c r="I34" s="199"/>
      <c r="J34" s="181"/>
      <c r="K34" s="182"/>
      <c r="L34" s="182"/>
      <c r="M34" s="182"/>
      <c r="N34" s="182"/>
      <c r="O34" s="182"/>
      <c r="P34" s="182"/>
      <c r="Q34" s="182"/>
      <c r="R34" s="182"/>
      <c r="S34" s="61"/>
      <c r="T34" s="182"/>
      <c r="U34" s="61"/>
      <c r="V34" s="183"/>
      <c r="W34" s="182"/>
      <c r="X34" s="61"/>
      <c r="Y34" s="61"/>
      <c r="Z34" s="61"/>
      <c r="AA34" s="61"/>
      <c r="AB34" s="61"/>
      <c r="AC34" s="61"/>
      <c r="AD34" s="61"/>
      <c r="AE34" s="62"/>
    </row>
    <row r="35" spans="1:31" s="69" customFormat="1" x14ac:dyDescent="0.25">
      <c r="A35" s="326" t="s">
        <v>54</v>
      </c>
      <c r="B35" s="327"/>
      <c r="C35" s="327"/>
      <c r="D35" s="327"/>
      <c r="E35" s="327"/>
      <c r="F35" s="327"/>
      <c r="G35" s="85" t="s">
        <v>30</v>
      </c>
      <c r="H35" s="64">
        <v>9904</v>
      </c>
      <c r="I35" s="184">
        <f>I27+I29-I31-I33</f>
        <v>-130689.47000000006</v>
      </c>
      <c r="J35" s="185">
        <f>J27+J29-J31-J33</f>
        <v>-155444.94429381235</v>
      </c>
      <c r="K35" s="186">
        <f t="shared" ref="K35:M35" si="15">K27+K29-K31</f>
        <v>16299.879999999996</v>
      </c>
      <c r="L35" s="186">
        <f t="shared" si="15"/>
        <v>16498.820509326608</v>
      </c>
      <c r="M35" s="186">
        <f t="shared" si="15"/>
        <v>1213.5800000000006</v>
      </c>
      <c r="N35" s="186">
        <f>N27+N29-N31</f>
        <v>-5781.8526406076326</v>
      </c>
      <c r="O35" s="186">
        <f t="shared" ref="O35:V35" si="16">O27+O29-O31</f>
        <v>-116.79</v>
      </c>
      <c r="P35" s="186">
        <f t="shared" si="16"/>
        <v>-6425.3861500422745</v>
      </c>
      <c r="Q35" s="186">
        <f t="shared" si="16"/>
        <v>-18410.546348539803</v>
      </c>
      <c r="R35" s="186">
        <f t="shared" si="16"/>
        <v>2047.0731610033358</v>
      </c>
      <c r="S35" s="67">
        <f t="shared" si="16"/>
        <v>165.69741096989736</v>
      </c>
      <c r="T35" s="186">
        <f t="shared" si="16"/>
        <v>12432.590239396024</v>
      </c>
      <c r="U35" s="67">
        <f t="shared" si="16"/>
        <v>19601.165100081176</v>
      </c>
      <c r="V35" s="187">
        <f t="shared" si="16"/>
        <v>14855.550208486118</v>
      </c>
      <c r="W35" s="186">
        <f>W27+W29-W31</f>
        <v>-906.82767789246009</v>
      </c>
      <c r="X35" s="67">
        <f>X27+X29-X31</f>
        <v>2377.2390866227433</v>
      </c>
      <c r="Y35" s="67">
        <f t="shared" ref="Y35:Z35" si="17">Y27+Y29-Y31</f>
        <v>-5080.8409035688001</v>
      </c>
      <c r="Z35" s="67">
        <f t="shared" si="17"/>
        <v>-313.56720732397628</v>
      </c>
      <c r="AA35" s="67">
        <f>AA27+AA29-AA31</f>
        <v>-4801.9103908519164</v>
      </c>
      <c r="AB35" s="67">
        <f t="shared" ref="AB35:AC35" si="18">AB27+AB29-AB31</f>
        <v>-123.07734396792938</v>
      </c>
      <c r="AC35" s="67">
        <f t="shared" si="18"/>
        <v>-2384.5626655606056</v>
      </c>
      <c r="AD35" s="67">
        <f>AD27+AD29-AD31</f>
        <v>-16390.760093718796</v>
      </c>
      <c r="AE35" s="68">
        <f>AE27+AE29-AE31</f>
        <v>0</v>
      </c>
    </row>
    <row r="36" spans="1:31" ht="8.25" customHeight="1" thickBot="1" x14ac:dyDescent="0.3">
      <c r="A36" s="86"/>
      <c r="B36" s="87"/>
      <c r="C36" s="87"/>
      <c r="D36" s="87"/>
      <c r="E36" s="87"/>
      <c r="F36" s="87"/>
      <c r="G36" s="88"/>
      <c r="H36" s="89"/>
      <c r="I36" s="200"/>
      <c r="J36" s="201"/>
      <c r="K36" s="202"/>
      <c r="L36" s="202"/>
      <c r="M36" s="202"/>
      <c r="N36" s="202"/>
      <c r="O36" s="202"/>
      <c r="P36" s="202"/>
      <c r="Q36" s="202"/>
      <c r="R36" s="202"/>
      <c r="S36" s="78"/>
      <c r="T36" s="202"/>
      <c r="U36" s="78"/>
      <c r="V36" s="203"/>
      <c r="W36" s="202"/>
      <c r="X36" s="78"/>
      <c r="Y36" s="78"/>
      <c r="Z36" s="78"/>
      <c r="AA36" s="78"/>
      <c r="AB36" s="78"/>
      <c r="AC36" s="78"/>
      <c r="AD36" s="78"/>
      <c r="AE36" s="91"/>
    </row>
    <row r="37" spans="1:31" x14ac:dyDescent="0.25">
      <c r="G37" s="25"/>
      <c r="H37" s="92"/>
      <c r="I37" s="204"/>
      <c r="J37" s="204"/>
      <c r="K37" s="205"/>
      <c r="L37" s="205"/>
      <c r="M37" s="205"/>
      <c r="N37" s="205"/>
      <c r="O37" s="205"/>
      <c r="P37" s="205"/>
      <c r="Q37" s="205"/>
      <c r="R37" s="205"/>
      <c r="S37" s="93"/>
      <c r="T37" s="205"/>
      <c r="U37" s="93"/>
      <c r="V37" s="206"/>
      <c r="W37" s="205"/>
      <c r="X37" s="93"/>
      <c r="Y37" s="93"/>
      <c r="Z37" s="93"/>
      <c r="AA37" s="93"/>
      <c r="AB37" s="93"/>
      <c r="AC37" s="93"/>
      <c r="AD37" s="93"/>
      <c r="AE37" s="95"/>
    </row>
    <row r="38" spans="1:31" x14ac:dyDescent="0.25">
      <c r="A38" s="324" t="s">
        <v>55</v>
      </c>
      <c r="B38" s="325"/>
      <c r="C38" s="325"/>
      <c r="D38" s="325"/>
      <c r="E38" s="325"/>
      <c r="F38" s="325"/>
      <c r="G38" s="25"/>
      <c r="H38" s="34">
        <v>69</v>
      </c>
      <c r="I38" s="192">
        <v>1209327.74</v>
      </c>
      <c r="J38" s="192">
        <f>I38-SUM(K38:AD38)</f>
        <v>1209327.74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79">
        <v>0</v>
      </c>
      <c r="T38" s="193">
        <v>0</v>
      </c>
      <c r="U38" s="79">
        <v>0</v>
      </c>
      <c r="V38" s="194">
        <v>0</v>
      </c>
      <c r="W38" s="193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7">
        <f>I38-SUM(J38:AD38)</f>
        <v>0</v>
      </c>
    </row>
    <row r="39" spans="1:31" x14ac:dyDescent="0.25">
      <c r="A39" s="30"/>
      <c r="B39" s="32"/>
      <c r="C39" s="32"/>
      <c r="D39" s="32"/>
      <c r="E39" s="32"/>
      <c r="F39" s="32"/>
      <c r="G39" s="25"/>
      <c r="H39" s="34"/>
      <c r="I39" s="207" t="s">
        <v>56</v>
      </c>
      <c r="J39" s="208"/>
      <c r="K39" s="182"/>
      <c r="L39" s="182"/>
      <c r="M39" s="182"/>
      <c r="N39" s="182"/>
      <c r="O39" s="182"/>
      <c r="P39" s="182"/>
      <c r="Q39" s="182"/>
      <c r="R39" s="182"/>
      <c r="S39" s="61"/>
      <c r="T39" s="182"/>
      <c r="U39" s="61"/>
      <c r="V39" s="183"/>
      <c r="W39" s="182"/>
      <c r="X39" s="61"/>
      <c r="Y39" s="61"/>
      <c r="Z39" s="61"/>
      <c r="AA39" s="61"/>
      <c r="AB39" s="61"/>
      <c r="AC39" s="61"/>
      <c r="AD39" s="61"/>
      <c r="AE39" s="38"/>
    </row>
    <row r="40" spans="1:31" x14ac:dyDescent="0.25">
      <c r="A40" s="324" t="s">
        <v>57</v>
      </c>
      <c r="B40" s="325"/>
      <c r="C40" s="325"/>
      <c r="D40" s="325"/>
      <c r="E40" s="325"/>
      <c r="F40" s="325"/>
      <c r="G40" s="25"/>
      <c r="H40" s="34">
        <v>79</v>
      </c>
      <c r="I40" s="192">
        <v>1340017.21</v>
      </c>
      <c r="J40" s="192">
        <f>I40-SUM(K40:AD40)</f>
        <v>1340017.21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79">
        <v>0</v>
      </c>
      <c r="T40" s="193">
        <v>0</v>
      </c>
      <c r="U40" s="79">
        <v>0</v>
      </c>
      <c r="V40" s="194">
        <v>0</v>
      </c>
      <c r="W40" s="193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7">
        <f>I40-SUM(J40:AD40)</f>
        <v>0</v>
      </c>
    </row>
    <row r="41" spans="1:31" x14ac:dyDescent="0.25">
      <c r="A41" s="24"/>
      <c r="B41" s="20"/>
      <c r="C41" s="20"/>
      <c r="D41" s="20"/>
      <c r="E41" s="20"/>
      <c r="F41" s="20"/>
      <c r="G41" s="25"/>
      <c r="H41" s="34"/>
      <c r="I41" s="209"/>
      <c r="J41" s="181"/>
      <c r="K41" s="182"/>
      <c r="L41" s="182"/>
      <c r="M41" s="182"/>
      <c r="N41" s="182"/>
      <c r="O41" s="182"/>
      <c r="P41" s="182"/>
      <c r="Q41" s="182"/>
      <c r="R41" s="182"/>
      <c r="S41" s="61"/>
      <c r="T41" s="182"/>
      <c r="U41" s="61"/>
      <c r="V41" s="183"/>
      <c r="W41" s="182"/>
      <c r="X41" s="61"/>
      <c r="Y41" s="61"/>
      <c r="Z41" s="61"/>
      <c r="AA41" s="61"/>
      <c r="AB41" s="61"/>
      <c r="AC41" s="61"/>
      <c r="AD41" s="61"/>
      <c r="AE41" s="62"/>
    </row>
    <row r="42" spans="1:31" x14ac:dyDescent="0.25">
      <c r="A42" s="326" t="s">
        <v>58</v>
      </c>
      <c r="B42" s="327"/>
      <c r="C42" s="327"/>
      <c r="D42" s="327"/>
      <c r="E42" s="327"/>
      <c r="F42" s="327"/>
      <c r="G42" s="85"/>
      <c r="H42" s="64"/>
      <c r="I42" s="210">
        <f>I35-I38+I40</f>
        <v>0</v>
      </c>
      <c r="J42" s="211">
        <f>J35-J38+J40</f>
        <v>-24755.474293812411</v>
      </c>
      <c r="K42" s="186">
        <f t="shared" ref="K42:AE42" si="19">K35</f>
        <v>16299.879999999996</v>
      </c>
      <c r="L42" s="186">
        <f t="shared" si="19"/>
        <v>16498.820509326608</v>
      </c>
      <c r="M42" s="186">
        <f t="shared" si="19"/>
        <v>1213.5800000000006</v>
      </c>
      <c r="N42" s="186">
        <f t="shared" si="19"/>
        <v>-5781.8526406076326</v>
      </c>
      <c r="O42" s="186">
        <f t="shared" si="19"/>
        <v>-116.79</v>
      </c>
      <c r="P42" s="186">
        <f>P35</f>
        <v>-6425.3861500422745</v>
      </c>
      <c r="Q42" s="186">
        <f>Q35</f>
        <v>-18410.546348539803</v>
      </c>
      <c r="R42" s="186">
        <f>R35</f>
        <v>2047.0731610033358</v>
      </c>
      <c r="S42" s="67">
        <f t="shared" si="19"/>
        <v>165.69741096989736</v>
      </c>
      <c r="T42" s="186">
        <f>T35</f>
        <v>12432.590239396024</v>
      </c>
      <c r="U42" s="67">
        <f t="shared" si="19"/>
        <v>19601.165100081176</v>
      </c>
      <c r="V42" s="187">
        <f>V35</f>
        <v>14855.550208486118</v>
      </c>
      <c r="W42" s="186">
        <f>W35</f>
        <v>-906.82767789246009</v>
      </c>
      <c r="X42" s="67">
        <f>X35</f>
        <v>2377.2390866227433</v>
      </c>
      <c r="Y42" s="67">
        <f t="shared" ref="Y42:Z42" si="20">Y35</f>
        <v>-5080.8409035688001</v>
      </c>
      <c r="Z42" s="67">
        <f t="shared" si="20"/>
        <v>-313.56720732397628</v>
      </c>
      <c r="AA42" s="67">
        <f>AA35</f>
        <v>-4801.9103908519164</v>
      </c>
      <c r="AB42" s="67">
        <f t="shared" si="19"/>
        <v>-123.07734396792938</v>
      </c>
      <c r="AC42" s="67">
        <f t="shared" si="19"/>
        <v>-2384.5626655606056</v>
      </c>
      <c r="AD42" s="67">
        <f>AD35</f>
        <v>-16390.760093718796</v>
      </c>
      <c r="AE42" s="68">
        <f t="shared" si="19"/>
        <v>0</v>
      </c>
    </row>
    <row r="43" spans="1:31" ht="15.75" thickBot="1" x14ac:dyDescent="0.3">
      <c r="A43" s="86"/>
      <c r="B43" s="87"/>
      <c r="C43" s="87"/>
      <c r="D43" s="87"/>
      <c r="E43" s="87"/>
      <c r="F43" s="87"/>
      <c r="G43" s="88"/>
      <c r="H43" s="89"/>
      <c r="I43" s="98"/>
      <c r="J43" s="78"/>
      <c r="K43" s="202"/>
      <c r="L43" s="202"/>
      <c r="M43" s="202"/>
      <c r="N43" s="202"/>
      <c r="O43" s="202"/>
      <c r="P43" s="202"/>
      <c r="Q43" s="202"/>
      <c r="R43" s="202"/>
      <c r="S43" s="78"/>
      <c r="T43" s="202"/>
      <c r="U43" s="78"/>
      <c r="V43" s="203"/>
      <c r="W43" s="202"/>
      <c r="X43" s="78"/>
      <c r="Y43" s="78"/>
      <c r="Z43" s="78"/>
      <c r="AA43" s="78"/>
      <c r="AB43" s="78"/>
      <c r="AC43" s="78"/>
      <c r="AD43" s="78"/>
      <c r="AE43" s="91"/>
    </row>
    <row r="44" spans="1:31" x14ac:dyDescent="0.25">
      <c r="I44" s="99"/>
      <c r="J44" s="99"/>
      <c r="K44" s="212"/>
      <c r="L44" s="212"/>
      <c r="M44" s="212"/>
      <c r="N44" s="212"/>
      <c r="O44" s="212"/>
      <c r="P44" s="212"/>
      <c r="Q44" s="212"/>
      <c r="R44" s="212"/>
      <c r="S44" s="99"/>
      <c r="T44" s="99"/>
      <c r="U44" s="99"/>
      <c r="V44" s="213"/>
      <c r="W44" s="99"/>
      <c r="X44" s="99"/>
      <c r="Y44" s="99"/>
      <c r="Z44" s="99"/>
      <c r="AA44" s="99"/>
      <c r="AB44" s="99"/>
      <c r="AC44" s="99"/>
      <c r="AD44" s="99"/>
    </row>
    <row r="45" spans="1:31" x14ac:dyDescent="0.25">
      <c r="N45" s="214" t="s">
        <v>56</v>
      </c>
      <c r="P45" s="215">
        <f>P18+P15+P14+P13</f>
        <v>41326.156150042269</v>
      </c>
      <c r="Q45" s="215">
        <f>Q18+Q15+Q14+Q13</f>
        <v>118410.54634853981</v>
      </c>
      <c r="R45" s="215">
        <f>P45+Q45</f>
        <v>159736.70249858208</v>
      </c>
      <c r="V45" s="142"/>
    </row>
    <row r="46" spans="1:31" x14ac:dyDescent="0.25">
      <c r="R46" s="215">
        <v>143367</v>
      </c>
      <c r="V46" s="142"/>
    </row>
    <row r="47" spans="1:31" x14ac:dyDescent="0.25">
      <c r="R47" s="215">
        <f>R45-R46</f>
        <v>16369.702498582075</v>
      </c>
      <c r="V47" s="142"/>
    </row>
    <row r="48" spans="1:31" x14ac:dyDescent="0.25">
      <c r="R48" s="215">
        <f>P15+Q15</f>
        <v>16369.7</v>
      </c>
      <c r="V48" s="142"/>
    </row>
    <row r="49" spans="22:22" x14ac:dyDescent="0.25">
      <c r="V49" s="142"/>
    </row>
    <row r="50" spans="22:22" x14ac:dyDescent="0.25">
      <c r="V50" s="142"/>
    </row>
    <row r="51" spans="22:22" x14ac:dyDescent="0.25">
      <c r="V51" s="142"/>
    </row>
    <row r="52" spans="22:22" x14ac:dyDescent="0.25">
      <c r="V52" s="142"/>
    </row>
    <row r="53" spans="22:22" x14ac:dyDescent="0.25">
      <c r="V53" s="142"/>
    </row>
    <row r="54" spans="22:22" x14ac:dyDescent="0.25">
      <c r="V54" s="142"/>
    </row>
    <row r="55" spans="22:22" x14ac:dyDescent="0.25">
      <c r="V55" s="142"/>
    </row>
    <row r="56" spans="22:22" x14ac:dyDescent="0.25">
      <c r="V56" s="142"/>
    </row>
    <row r="57" spans="22:22" x14ac:dyDescent="0.25">
      <c r="V57" s="142"/>
    </row>
    <row r="58" spans="22:22" x14ac:dyDescent="0.25">
      <c r="V58" s="142"/>
    </row>
    <row r="59" spans="22:22" x14ac:dyDescent="0.25">
      <c r="V59" s="142"/>
    </row>
    <row r="60" spans="22:22" x14ac:dyDescent="0.25">
      <c r="V60" s="142"/>
    </row>
    <row r="61" spans="22:22" x14ac:dyDescent="0.25">
      <c r="V61" s="142"/>
    </row>
    <row r="62" spans="22:22" x14ac:dyDescent="0.25">
      <c r="V62" s="142"/>
    </row>
    <row r="63" spans="22:22" x14ac:dyDescent="0.25">
      <c r="V63" s="142"/>
    </row>
    <row r="64" spans="22:22" x14ac:dyDescent="0.25">
      <c r="V64" s="142"/>
    </row>
    <row r="65" spans="22:22" x14ac:dyDescent="0.25">
      <c r="V65" s="142"/>
    </row>
    <row r="66" spans="22:22" x14ac:dyDescent="0.25">
      <c r="V66" s="142"/>
    </row>
    <row r="67" spans="22:22" x14ac:dyDescent="0.25">
      <c r="V67" s="142"/>
    </row>
    <row r="68" spans="22:22" x14ac:dyDescent="0.25">
      <c r="V68" s="142"/>
    </row>
    <row r="69" spans="22:22" x14ac:dyDescent="0.25">
      <c r="V69" s="142"/>
    </row>
    <row r="70" spans="22:22" x14ac:dyDescent="0.25">
      <c r="V70" s="142"/>
    </row>
    <row r="71" spans="22:22" x14ac:dyDescent="0.25">
      <c r="V71" s="142"/>
    </row>
    <row r="72" spans="22:22" x14ac:dyDescent="0.25">
      <c r="V72" s="142"/>
    </row>
    <row r="73" spans="22:22" x14ac:dyDescent="0.25">
      <c r="V73" s="142"/>
    </row>
    <row r="74" spans="22:22" x14ac:dyDescent="0.25">
      <c r="V74" s="142"/>
    </row>
    <row r="75" spans="22:22" x14ac:dyDescent="0.25">
      <c r="V75" s="142"/>
    </row>
    <row r="76" spans="22:22" x14ac:dyDescent="0.25">
      <c r="V76" s="142"/>
    </row>
    <row r="77" spans="22:22" x14ac:dyDescent="0.25">
      <c r="V77" s="142"/>
    </row>
    <row r="78" spans="22:22" x14ac:dyDescent="0.25">
      <c r="V78" s="142"/>
    </row>
    <row r="79" spans="22:22" x14ac:dyDescent="0.25">
      <c r="V79" s="142"/>
    </row>
    <row r="80" spans="22:22" x14ac:dyDescent="0.25">
      <c r="V80" s="142"/>
    </row>
    <row r="81" spans="22:22" x14ac:dyDescent="0.25">
      <c r="V81" s="142"/>
    </row>
    <row r="82" spans="22:22" x14ac:dyDescent="0.25">
      <c r="V82" s="142"/>
    </row>
    <row r="83" spans="22:22" x14ac:dyDescent="0.25">
      <c r="V83" s="142"/>
    </row>
    <row r="84" spans="22:22" x14ac:dyDescent="0.25">
      <c r="V84" s="142"/>
    </row>
    <row r="85" spans="22:22" x14ac:dyDescent="0.25">
      <c r="V85" s="142"/>
    </row>
    <row r="86" spans="22:22" x14ac:dyDescent="0.25">
      <c r="V86" s="142"/>
    </row>
    <row r="87" spans="22:22" x14ac:dyDescent="0.25">
      <c r="V87" s="142"/>
    </row>
    <row r="88" spans="22:22" x14ac:dyDescent="0.25">
      <c r="V88" s="142"/>
    </row>
    <row r="89" spans="22:22" x14ac:dyDescent="0.25">
      <c r="V89" s="142"/>
    </row>
    <row r="90" spans="22:22" x14ac:dyDescent="0.25">
      <c r="V90" s="142"/>
    </row>
    <row r="91" spans="22:22" x14ac:dyDescent="0.25">
      <c r="V91" s="142"/>
    </row>
    <row r="92" spans="22:22" x14ac:dyDescent="0.25">
      <c r="V92" s="142"/>
    </row>
    <row r="93" spans="22:22" x14ac:dyDescent="0.25">
      <c r="V93" s="142"/>
    </row>
    <row r="94" spans="22:22" x14ac:dyDescent="0.25">
      <c r="V94" s="142"/>
    </row>
    <row r="95" spans="22:22" x14ac:dyDescent="0.25">
      <c r="V95" s="142"/>
    </row>
    <row r="96" spans="22:22" x14ac:dyDescent="0.25">
      <c r="V96" s="142"/>
    </row>
    <row r="97" spans="22:22" x14ac:dyDescent="0.25">
      <c r="V97" s="142"/>
    </row>
    <row r="98" spans="22:22" x14ac:dyDescent="0.25">
      <c r="V98" s="142"/>
    </row>
    <row r="99" spans="22:22" x14ac:dyDescent="0.25">
      <c r="V99" s="142"/>
    </row>
    <row r="100" spans="22:22" x14ac:dyDescent="0.25">
      <c r="V100" s="142"/>
    </row>
    <row r="101" spans="22:22" x14ac:dyDescent="0.25">
      <c r="V101" s="142"/>
    </row>
    <row r="102" spans="22:22" x14ac:dyDescent="0.25">
      <c r="V102" s="142"/>
    </row>
    <row r="103" spans="22:22" x14ac:dyDescent="0.25">
      <c r="V103" s="142"/>
    </row>
    <row r="104" spans="22:22" x14ac:dyDescent="0.25">
      <c r="V104" s="142"/>
    </row>
    <row r="105" spans="22:22" x14ac:dyDescent="0.25">
      <c r="V105" s="142"/>
    </row>
    <row r="106" spans="22:22" x14ac:dyDescent="0.25">
      <c r="V106" s="142"/>
    </row>
    <row r="107" spans="22:22" x14ac:dyDescent="0.25">
      <c r="V107" s="142"/>
    </row>
    <row r="108" spans="22:22" x14ac:dyDescent="0.25">
      <c r="V108" s="142"/>
    </row>
    <row r="109" spans="22:22" x14ac:dyDescent="0.25">
      <c r="V109" s="142"/>
    </row>
    <row r="110" spans="22:22" x14ac:dyDescent="0.25">
      <c r="V110" s="142"/>
    </row>
    <row r="111" spans="22:22" x14ac:dyDescent="0.25">
      <c r="V111" s="142"/>
    </row>
    <row r="112" spans="22:22" x14ac:dyDescent="0.25">
      <c r="V112" s="142"/>
    </row>
    <row r="113" spans="22:22" x14ac:dyDescent="0.25">
      <c r="V113" s="142"/>
    </row>
    <row r="114" spans="22:22" x14ac:dyDescent="0.25">
      <c r="V114" s="142"/>
    </row>
    <row r="115" spans="22:22" x14ac:dyDescent="0.25">
      <c r="V115" s="142"/>
    </row>
    <row r="116" spans="22:22" x14ac:dyDescent="0.25">
      <c r="V116" s="142"/>
    </row>
    <row r="117" spans="22:22" x14ac:dyDescent="0.25">
      <c r="V117" s="142"/>
    </row>
    <row r="118" spans="22:22" x14ac:dyDescent="0.25">
      <c r="V118" s="142"/>
    </row>
    <row r="119" spans="22:22" x14ac:dyDescent="0.25">
      <c r="V119" s="142"/>
    </row>
    <row r="120" spans="22:22" x14ac:dyDescent="0.25">
      <c r="V120" s="142"/>
    </row>
    <row r="121" spans="22:22" x14ac:dyDescent="0.25">
      <c r="V121" s="142"/>
    </row>
    <row r="122" spans="22:22" x14ac:dyDescent="0.25">
      <c r="V122" s="142"/>
    </row>
    <row r="123" spans="22:22" x14ac:dyDescent="0.25">
      <c r="V123" s="142"/>
    </row>
    <row r="124" spans="22:22" x14ac:dyDescent="0.25">
      <c r="V124" s="142"/>
    </row>
    <row r="125" spans="22:22" x14ac:dyDescent="0.25">
      <c r="V125" s="142"/>
    </row>
    <row r="126" spans="22:22" x14ac:dyDescent="0.25">
      <c r="V126" s="142"/>
    </row>
    <row r="127" spans="22:22" x14ac:dyDescent="0.25">
      <c r="V127" s="142"/>
    </row>
    <row r="128" spans="22:22" x14ac:dyDescent="0.25">
      <c r="V128" s="142"/>
    </row>
    <row r="129" spans="22:22" x14ac:dyDescent="0.25">
      <c r="V129" s="142"/>
    </row>
    <row r="130" spans="22:22" x14ac:dyDescent="0.25">
      <c r="V130" s="142"/>
    </row>
    <row r="131" spans="22:22" x14ac:dyDescent="0.25">
      <c r="V131" s="142"/>
    </row>
    <row r="132" spans="22:22" x14ac:dyDescent="0.25">
      <c r="V132" s="142"/>
    </row>
    <row r="133" spans="22:22" x14ac:dyDescent="0.25">
      <c r="V133" s="142"/>
    </row>
    <row r="134" spans="22:22" x14ac:dyDescent="0.25">
      <c r="V134" s="142"/>
    </row>
    <row r="135" spans="22:22" x14ac:dyDescent="0.25">
      <c r="V135" s="142"/>
    </row>
    <row r="136" spans="22:22" x14ac:dyDescent="0.25">
      <c r="V136" s="142"/>
    </row>
    <row r="137" spans="22:22" x14ac:dyDescent="0.25">
      <c r="V137" s="142"/>
    </row>
    <row r="138" spans="22:22" x14ac:dyDescent="0.25">
      <c r="V138" s="142"/>
    </row>
    <row r="139" spans="22:22" x14ac:dyDescent="0.25">
      <c r="V139" s="142"/>
    </row>
    <row r="140" spans="22:22" x14ac:dyDescent="0.25">
      <c r="V140" s="142"/>
    </row>
    <row r="141" spans="22:22" x14ac:dyDescent="0.25">
      <c r="V141" s="142"/>
    </row>
    <row r="142" spans="22:22" x14ac:dyDescent="0.25">
      <c r="V142" s="142"/>
    </row>
    <row r="143" spans="22:22" x14ac:dyDescent="0.25">
      <c r="V143" s="142"/>
    </row>
    <row r="144" spans="22:22" x14ac:dyDescent="0.25">
      <c r="V144" s="142"/>
    </row>
    <row r="145" spans="22:22" x14ac:dyDescent="0.25">
      <c r="V145" s="142"/>
    </row>
    <row r="146" spans="22:22" x14ac:dyDescent="0.25">
      <c r="V146" s="142"/>
    </row>
    <row r="147" spans="22:22" x14ac:dyDescent="0.25">
      <c r="V147" s="142"/>
    </row>
    <row r="148" spans="22:22" x14ac:dyDescent="0.25">
      <c r="V148" s="142"/>
    </row>
    <row r="149" spans="22:22" x14ac:dyDescent="0.25">
      <c r="V149" s="142"/>
    </row>
    <row r="150" spans="22:22" x14ac:dyDescent="0.25">
      <c r="V150" s="142"/>
    </row>
    <row r="151" spans="22:22" x14ac:dyDescent="0.25">
      <c r="V151" s="142"/>
    </row>
    <row r="152" spans="22:22" x14ac:dyDescent="0.25">
      <c r="V152" s="142"/>
    </row>
    <row r="153" spans="22:22" x14ac:dyDescent="0.25">
      <c r="V153" s="142"/>
    </row>
    <row r="154" spans="22:22" x14ac:dyDescent="0.25">
      <c r="V154" s="142"/>
    </row>
    <row r="155" spans="22:22" x14ac:dyDescent="0.25">
      <c r="V155" s="142"/>
    </row>
    <row r="156" spans="22:22" x14ac:dyDescent="0.25">
      <c r="V156" s="142"/>
    </row>
    <row r="157" spans="22:22" x14ac:dyDescent="0.25">
      <c r="V157" s="142"/>
    </row>
    <row r="158" spans="22:22" x14ac:dyDescent="0.25">
      <c r="V158" s="142"/>
    </row>
    <row r="159" spans="22:22" x14ac:dyDescent="0.25">
      <c r="V159" s="142"/>
    </row>
    <row r="160" spans="22:22" x14ac:dyDescent="0.25">
      <c r="V160" s="142"/>
    </row>
    <row r="161" spans="22:22" x14ac:dyDescent="0.25">
      <c r="V161" s="142"/>
    </row>
    <row r="162" spans="22:22" x14ac:dyDescent="0.25">
      <c r="V162" s="142"/>
    </row>
    <row r="163" spans="22:22" x14ac:dyDescent="0.25">
      <c r="V163" s="142"/>
    </row>
    <row r="164" spans="22:22" x14ac:dyDescent="0.25">
      <c r="V164" s="142"/>
    </row>
    <row r="165" spans="22:22" x14ac:dyDescent="0.25">
      <c r="V165" s="142"/>
    </row>
    <row r="166" spans="22:22" x14ac:dyDescent="0.25">
      <c r="V166" s="142"/>
    </row>
    <row r="167" spans="22:22" x14ac:dyDescent="0.25">
      <c r="V167" s="142"/>
    </row>
    <row r="168" spans="22:22" x14ac:dyDescent="0.25">
      <c r="V168" s="142"/>
    </row>
    <row r="169" spans="22:22" x14ac:dyDescent="0.25">
      <c r="V169" s="142"/>
    </row>
    <row r="170" spans="22:22" x14ac:dyDescent="0.25">
      <c r="V170" s="142"/>
    </row>
    <row r="171" spans="22:22" x14ac:dyDescent="0.25">
      <c r="V171" s="142"/>
    </row>
    <row r="172" spans="22:22" x14ac:dyDescent="0.25">
      <c r="V172" s="142"/>
    </row>
    <row r="173" spans="22:22" x14ac:dyDescent="0.25">
      <c r="V173" s="142"/>
    </row>
    <row r="174" spans="22:22" x14ac:dyDescent="0.25">
      <c r="V174" s="142"/>
    </row>
    <row r="175" spans="22:22" x14ac:dyDescent="0.25">
      <c r="V175" s="142"/>
    </row>
    <row r="176" spans="22:22" x14ac:dyDescent="0.25">
      <c r="V176" s="142"/>
    </row>
    <row r="177" spans="22:22" x14ac:dyDescent="0.25">
      <c r="V177" s="142"/>
    </row>
    <row r="178" spans="22:22" x14ac:dyDescent="0.25">
      <c r="V178" s="142"/>
    </row>
    <row r="179" spans="22:22" x14ac:dyDescent="0.25">
      <c r="V179" s="142"/>
    </row>
    <row r="180" spans="22:22" x14ac:dyDescent="0.25">
      <c r="V180" s="142"/>
    </row>
    <row r="181" spans="22:22" x14ac:dyDescent="0.25">
      <c r="V181" s="142"/>
    </row>
    <row r="182" spans="22:22" x14ac:dyDescent="0.25">
      <c r="V182" s="142"/>
    </row>
    <row r="183" spans="22:22" x14ac:dyDescent="0.25">
      <c r="V183" s="142"/>
    </row>
    <row r="184" spans="22:22" x14ac:dyDescent="0.25">
      <c r="V184" s="142"/>
    </row>
    <row r="185" spans="22:22" x14ac:dyDescent="0.25">
      <c r="V185" s="142"/>
    </row>
    <row r="186" spans="22:22" x14ac:dyDescent="0.25">
      <c r="V186" s="142"/>
    </row>
    <row r="187" spans="22:22" x14ac:dyDescent="0.25">
      <c r="V187" s="142"/>
    </row>
    <row r="188" spans="22:22" x14ac:dyDescent="0.25">
      <c r="V188" s="142"/>
    </row>
    <row r="189" spans="22:22" x14ac:dyDescent="0.25">
      <c r="V189" s="142"/>
    </row>
    <row r="190" spans="22:22" x14ac:dyDescent="0.25">
      <c r="V190" s="142"/>
    </row>
    <row r="191" spans="22:22" x14ac:dyDescent="0.25">
      <c r="V191" s="142"/>
    </row>
    <row r="192" spans="22:22" x14ac:dyDescent="0.25">
      <c r="V192" s="142"/>
    </row>
    <row r="193" spans="22:22" x14ac:dyDescent="0.25">
      <c r="V193" s="142"/>
    </row>
    <row r="194" spans="22:22" x14ac:dyDescent="0.25">
      <c r="V194" s="142"/>
    </row>
    <row r="195" spans="22:22" x14ac:dyDescent="0.25">
      <c r="V195" s="142"/>
    </row>
    <row r="196" spans="22:22" x14ac:dyDescent="0.25">
      <c r="V196" s="142"/>
    </row>
    <row r="197" spans="22:22" x14ac:dyDescent="0.25">
      <c r="V197" s="142"/>
    </row>
    <row r="198" spans="22:22" x14ac:dyDescent="0.25">
      <c r="V198" s="142"/>
    </row>
    <row r="199" spans="22:22" x14ac:dyDescent="0.25">
      <c r="V199" s="142"/>
    </row>
    <row r="200" spans="22:22" x14ac:dyDescent="0.25">
      <c r="V200" s="142"/>
    </row>
    <row r="201" spans="22:22" x14ac:dyDescent="0.25">
      <c r="V201" s="142"/>
    </row>
    <row r="202" spans="22:22" x14ac:dyDescent="0.25">
      <c r="V202" s="142"/>
    </row>
    <row r="203" spans="22:22" x14ac:dyDescent="0.25">
      <c r="V203" s="142"/>
    </row>
    <row r="204" spans="22:22" x14ac:dyDescent="0.25">
      <c r="V204" s="142"/>
    </row>
    <row r="205" spans="22:22" x14ac:dyDescent="0.25">
      <c r="V205" s="142"/>
    </row>
    <row r="206" spans="22:22" x14ac:dyDescent="0.25">
      <c r="V206" s="142"/>
    </row>
    <row r="207" spans="22:22" x14ac:dyDescent="0.25">
      <c r="V207" s="142"/>
    </row>
    <row r="208" spans="22:22" x14ac:dyDescent="0.25">
      <c r="V208" s="142"/>
    </row>
    <row r="209" spans="22:22" x14ac:dyDescent="0.25">
      <c r="V209" s="142"/>
    </row>
    <row r="210" spans="22:22" x14ac:dyDescent="0.25">
      <c r="V210" s="142"/>
    </row>
    <row r="211" spans="22:22" x14ac:dyDescent="0.25">
      <c r="V211" s="142"/>
    </row>
    <row r="212" spans="22:22" x14ac:dyDescent="0.25">
      <c r="V212" s="142"/>
    </row>
    <row r="213" spans="22:22" x14ac:dyDescent="0.25">
      <c r="V213" s="142"/>
    </row>
    <row r="214" spans="22:22" x14ac:dyDescent="0.25">
      <c r="V214" s="142"/>
    </row>
    <row r="215" spans="22:22" x14ac:dyDescent="0.25">
      <c r="V215" s="142"/>
    </row>
    <row r="216" spans="22:22" x14ac:dyDescent="0.25">
      <c r="V216" s="142"/>
    </row>
    <row r="217" spans="22:22" x14ac:dyDescent="0.25">
      <c r="V217" s="142"/>
    </row>
    <row r="218" spans="22:22" x14ac:dyDescent="0.25">
      <c r="V218" s="142"/>
    </row>
    <row r="219" spans="22:22" x14ac:dyDescent="0.25">
      <c r="V219" s="142"/>
    </row>
    <row r="220" spans="22:22" x14ac:dyDescent="0.25">
      <c r="V220" s="142"/>
    </row>
    <row r="221" spans="22:22" x14ac:dyDescent="0.25">
      <c r="V221" s="142"/>
    </row>
    <row r="222" spans="22:22" x14ac:dyDescent="0.25">
      <c r="V222" s="142"/>
    </row>
    <row r="223" spans="22:22" x14ac:dyDescent="0.25">
      <c r="V223" s="142"/>
    </row>
    <row r="224" spans="22:22" x14ac:dyDescent="0.25">
      <c r="V224" s="142"/>
    </row>
    <row r="225" spans="22:22" x14ac:dyDescent="0.25">
      <c r="V225" s="142"/>
    </row>
    <row r="226" spans="22:22" x14ac:dyDescent="0.25">
      <c r="V226" s="142"/>
    </row>
    <row r="227" spans="22:22" x14ac:dyDescent="0.25">
      <c r="V227" s="142"/>
    </row>
    <row r="228" spans="22:22" x14ac:dyDescent="0.25">
      <c r="V228" s="142"/>
    </row>
    <row r="229" spans="22:22" x14ac:dyDescent="0.25">
      <c r="V229" s="142"/>
    </row>
    <row r="230" spans="22:22" x14ac:dyDescent="0.25">
      <c r="V230" s="142"/>
    </row>
    <row r="231" spans="22:22" x14ac:dyDescent="0.25">
      <c r="V231" s="142"/>
    </row>
    <row r="232" spans="22:22" x14ac:dyDescent="0.25">
      <c r="V232" s="142"/>
    </row>
    <row r="233" spans="22:22" x14ac:dyDescent="0.25">
      <c r="V233" s="142"/>
    </row>
    <row r="234" spans="22:22" x14ac:dyDescent="0.25">
      <c r="V234" s="142"/>
    </row>
    <row r="235" spans="22:22" x14ac:dyDescent="0.25">
      <c r="V235" s="142"/>
    </row>
    <row r="236" spans="22:22" x14ac:dyDescent="0.25">
      <c r="V236" s="142"/>
    </row>
    <row r="237" spans="22:22" x14ac:dyDescent="0.25">
      <c r="V237" s="142"/>
    </row>
    <row r="238" spans="22:22" x14ac:dyDescent="0.25">
      <c r="V238" s="142"/>
    </row>
    <row r="239" spans="22:22" x14ac:dyDescent="0.25">
      <c r="V239" s="142"/>
    </row>
    <row r="240" spans="22:22" x14ac:dyDescent="0.25">
      <c r="V240" s="142"/>
    </row>
    <row r="241" spans="22:22" x14ac:dyDescent="0.25">
      <c r="V241" s="142"/>
    </row>
    <row r="242" spans="22:22" x14ac:dyDescent="0.25">
      <c r="V242" s="142"/>
    </row>
    <row r="243" spans="22:22" x14ac:dyDescent="0.25">
      <c r="V243" s="142"/>
    </row>
    <row r="244" spans="22:22" x14ac:dyDescent="0.25">
      <c r="V244" s="142"/>
    </row>
    <row r="245" spans="22:22" x14ac:dyDescent="0.25">
      <c r="V245" s="142"/>
    </row>
    <row r="246" spans="22:22" x14ac:dyDescent="0.25">
      <c r="V246" s="142"/>
    </row>
    <row r="247" spans="22:22" x14ac:dyDescent="0.25">
      <c r="V247" s="142"/>
    </row>
    <row r="248" spans="22:22" x14ac:dyDescent="0.25">
      <c r="V248" s="142"/>
    </row>
    <row r="249" spans="22:22" x14ac:dyDescent="0.25">
      <c r="V249" s="142"/>
    </row>
    <row r="250" spans="22:22" x14ac:dyDescent="0.25">
      <c r="V250" s="142"/>
    </row>
    <row r="251" spans="22:22" x14ac:dyDescent="0.25">
      <c r="V251" s="142"/>
    </row>
    <row r="252" spans="22:22" x14ac:dyDescent="0.25">
      <c r="V252" s="142"/>
    </row>
    <row r="253" spans="22:22" x14ac:dyDescent="0.25">
      <c r="V253" s="142"/>
    </row>
    <row r="254" spans="22:22" x14ac:dyDescent="0.25">
      <c r="V254" s="142"/>
    </row>
    <row r="255" spans="22:22" x14ac:dyDescent="0.25">
      <c r="V255" s="142"/>
    </row>
    <row r="256" spans="22:22" x14ac:dyDescent="0.25">
      <c r="V256" s="142"/>
    </row>
    <row r="257" spans="22:22" x14ac:dyDescent="0.25">
      <c r="V257" s="142"/>
    </row>
    <row r="258" spans="22:22" x14ac:dyDescent="0.25">
      <c r="V258" s="142"/>
    </row>
    <row r="259" spans="22:22" x14ac:dyDescent="0.25">
      <c r="V259" s="142"/>
    </row>
    <row r="260" spans="22:22" x14ac:dyDescent="0.25">
      <c r="V260" s="142"/>
    </row>
    <row r="261" spans="22:22" x14ac:dyDescent="0.25">
      <c r="V261" s="142"/>
    </row>
    <row r="262" spans="22:22" x14ac:dyDescent="0.25">
      <c r="V262" s="142"/>
    </row>
    <row r="263" spans="22:22" x14ac:dyDescent="0.25">
      <c r="V263" s="142"/>
    </row>
    <row r="264" spans="22:22" x14ac:dyDescent="0.25">
      <c r="V264" s="142"/>
    </row>
    <row r="265" spans="22:22" x14ac:dyDescent="0.25">
      <c r="V265" s="142"/>
    </row>
    <row r="266" spans="22:22" x14ac:dyDescent="0.25">
      <c r="V266" s="142"/>
    </row>
    <row r="267" spans="22:22" x14ac:dyDescent="0.25">
      <c r="V267" s="142"/>
    </row>
    <row r="268" spans="22:22" x14ac:dyDescent="0.25">
      <c r="V268" s="142"/>
    </row>
    <row r="269" spans="22:22" x14ac:dyDescent="0.25">
      <c r="V269" s="142"/>
    </row>
    <row r="270" spans="22:22" x14ac:dyDescent="0.25">
      <c r="V270" s="142"/>
    </row>
    <row r="271" spans="22:22" x14ac:dyDescent="0.25">
      <c r="V271" s="142"/>
    </row>
    <row r="272" spans="22:22" x14ac:dyDescent="0.25">
      <c r="V272" s="142"/>
    </row>
    <row r="273" spans="22:22" x14ac:dyDescent="0.25">
      <c r="V273" s="142"/>
    </row>
    <row r="274" spans="22:22" x14ac:dyDescent="0.25">
      <c r="V274" s="142"/>
    </row>
    <row r="275" spans="22:22" x14ac:dyDescent="0.25">
      <c r="V275" s="142"/>
    </row>
    <row r="276" spans="22:22" x14ac:dyDescent="0.25">
      <c r="V276" s="142"/>
    </row>
    <row r="277" spans="22:22" x14ac:dyDescent="0.25">
      <c r="V277" s="142"/>
    </row>
    <row r="278" spans="22:22" x14ac:dyDescent="0.25">
      <c r="V278" s="142"/>
    </row>
    <row r="279" spans="22:22" x14ac:dyDescent="0.25">
      <c r="V279" s="142"/>
    </row>
    <row r="280" spans="22:22" x14ac:dyDescent="0.25">
      <c r="V280" s="142"/>
    </row>
    <row r="281" spans="22:22" x14ac:dyDescent="0.25">
      <c r="V281" s="142"/>
    </row>
    <row r="282" spans="22:22" x14ac:dyDescent="0.25">
      <c r="V282" s="142"/>
    </row>
    <row r="283" spans="22:22" x14ac:dyDescent="0.25">
      <c r="V283" s="142"/>
    </row>
    <row r="284" spans="22:22" x14ac:dyDescent="0.25">
      <c r="V284" s="142"/>
    </row>
    <row r="285" spans="22:22" x14ac:dyDescent="0.25">
      <c r="V285" s="142"/>
    </row>
    <row r="286" spans="22:22" x14ac:dyDescent="0.25">
      <c r="V286" s="142"/>
    </row>
    <row r="287" spans="22:22" x14ac:dyDescent="0.25">
      <c r="V287" s="142"/>
    </row>
    <row r="288" spans="22:22" x14ac:dyDescent="0.25">
      <c r="V288" s="142"/>
    </row>
    <row r="289" spans="22:22" x14ac:dyDescent="0.25">
      <c r="V289" s="142"/>
    </row>
    <row r="290" spans="22:22" x14ac:dyDescent="0.25">
      <c r="V290" s="142"/>
    </row>
    <row r="291" spans="22:22" x14ac:dyDescent="0.25">
      <c r="V291" s="142"/>
    </row>
    <row r="292" spans="22:22" x14ac:dyDescent="0.25">
      <c r="V292" s="142"/>
    </row>
    <row r="293" spans="22:22" x14ac:dyDescent="0.25">
      <c r="V293" s="142"/>
    </row>
    <row r="294" spans="22:22" x14ac:dyDescent="0.25">
      <c r="V294" s="142"/>
    </row>
    <row r="295" spans="22:22" x14ac:dyDescent="0.25">
      <c r="V295" s="142"/>
    </row>
    <row r="296" spans="22:22" x14ac:dyDescent="0.25">
      <c r="V296" s="142"/>
    </row>
    <row r="297" spans="22:22" x14ac:dyDescent="0.25">
      <c r="V297" s="142"/>
    </row>
    <row r="298" spans="22:22" x14ac:dyDescent="0.25">
      <c r="V298" s="142"/>
    </row>
    <row r="299" spans="22:22" x14ac:dyDescent="0.25">
      <c r="V299" s="142"/>
    </row>
    <row r="300" spans="22:22" x14ac:dyDescent="0.25">
      <c r="V300" s="142"/>
    </row>
    <row r="301" spans="22:22" x14ac:dyDescent="0.25">
      <c r="V301" s="142"/>
    </row>
    <row r="302" spans="22:22" x14ac:dyDescent="0.25">
      <c r="V302" s="142"/>
    </row>
    <row r="303" spans="22:22" x14ac:dyDescent="0.25">
      <c r="V303" s="142"/>
    </row>
    <row r="304" spans="22:22" x14ac:dyDescent="0.25">
      <c r="V304" s="142"/>
    </row>
    <row r="305" spans="22:22" x14ac:dyDescent="0.25">
      <c r="V305" s="142"/>
    </row>
    <row r="306" spans="22:22" x14ac:dyDescent="0.25">
      <c r="V306" s="142"/>
    </row>
    <row r="307" spans="22:22" x14ac:dyDescent="0.25">
      <c r="V307" s="142"/>
    </row>
    <row r="308" spans="22:22" x14ac:dyDescent="0.25">
      <c r="V308" s="142"/>
    </row>
    <row r="309" spans="22:22" x14ac:dyDescent="0.25">
      <c r="V309" s="142"/>
    </row>
    <row r="310" spans="22:22" x14ac:dyDescent="0.25">
      <c r="V310" s="142"/>
    </row>
    <row r="311" spans="22:22" x14ac:dyDescent="0.25">
      <c r="V311" s="142"/>
    </row>
    <row r="312" spans="22:22" x14ac:dyDescent="0.25">
      <c r="V312" s="142"/>
    </row>
    <row r="313" spans="22:22" x14ac:dyDescent="0.25">
      <c r="V313" s="142"/>
    </row>
    <row r="314" spans="22:22" x14ac:dyDescent="0.25">
      <c r="V314" s="142"/>
    </row>
    <row r="315" spans="22:22" x14ac:dyDescent="0.25">
      <c r="V315" s="142"/>
    </row>
    <row r="316" spans="22:22" x14ac:dyDescent="0.25">
      <c r="V316" s="142"/>
    </row>
    <row r="317" spans="22:22" x14ac:dyDescent="0.25">
      <c r="V317" s="142"/>
    </row>
    <row r="318" spans="22:22" x14ac:dyDescent="0.25">
      <c r="V318" s="142"/>
    </row>
    <row r="319" spans="22:22" x14ac:dyDescent="0.25">
      <c r="V319" s="142"/>
    </row>
    <row r="320" spans="22:22" x14ac:dyDescent="0.25">
      <c r="V320" s="142"/>
    </row>
    <row r="321" spans="22:22" x14ac:dyDescent="0.25">
      <c r="V321" s="142"/>
    </row>
    <row r="322" spans="22:22" x14ac:dyDescent="0.25">
      <c r="V322" s="142"/>
    </row>
    <row r="323" spans="22:22" x14ac:dyDescent="0.25">
      <c r="V323" s="142"/>
    </row>
    <row r="324" spans="22:22" x14ac:dyDescent="0.25">
      <c r="V324" s="142"/>
    </row>
    <row r="325" spans="22:22" x14ac:dyDescent="0.25">
      <c r="V325" s="142"/>
    </row>
    <row r="326" spans="22:22" x14ac:dyDescent="0.25">
      <c r="V326" s="142"/>
    </row>
    <row r="327" spans="22:22" x14ac:dyDescent="0.25">
      <c r="V327" s="142"/>
    </row>
    <row r="328" spans="22:22" x14ac:dyDescent="0.25">
      <c r="V328" s="142"/>
    </row>
    <row r="329" spans="22:22" x14ac:dyDescent="0.25">
      <c r="V329" s="142"/>
    </row>
    <row r="330" spans="22:22" x14ac:dyDescent="0.25">
      <c r="V330" s="142"/>
    </row>
    <row r="331" spans="22:22" x14ac:dyDescent="0.25">
      <c r="V331" s="142"/>
    </row>
    <row r="332" spans="22:22" x14ac:dyDescent="0.25">
      <c r="V332" s="142"/>
    </row>
    <row r="333" spans="22:22" x14ac:dyDescent="0.25">
      <c r="V333" s="142"/>
    </row>
    <row r="334" spans="22:22" x14ac:dyDescent="0.25">
      <c r="V334" s="142"/>
    </row>
    <row r="335" spans="22:22" x14ac:dyDescent="0.25">
      <c r="V335" s="142"/>
    </row>
    <row r="336" spans="22:22" x14ac:dyDescent="0.25">
      <c r="V336" s="142"/>
    </row>
    <row r="337" spans="22:22" x14ac:dyDescent="0.25">
      <c r="V337" s="142"/>
    </row>
    <row r="338" spans="22:22" x14ac:dyDescent="0.25">
      <c r="V338" s="142"/>
    </row>
    <row r="339" spans="22:22" x14ac:dyDescent="0.25">
      <c r="V339" s="142"/>
    </row>
    <row r="340" spans="22:22" x14ac:dyDescent="0.25">
      <c r="V340" s="142"/>
    </row>
    <row r="341" spans="22:22" x14ac:dyDescent="0.25">
      <c r="V341" s="142"/>
    </row>
    <row r="342" spans="22:22" x14ac:dyDescent="0.25">
      <c r="V342" s="142"/>
    </row>
    <row r="343" spans="22:22" x14ac:dyDescent="0.25">
      <c r="V343" s="142"/>
    </row>
    <row r="344" spans="22:22" x14ac:dyDescent="0.25">
      <c r="V344" s="142"/>
    </row>
    <row r="345" spans="22:22" x14ac:dyDescent="0.25">
      <c r="V345" s="142"/>
    </row>
    <row r="346" spans="22:22" x14ac:dyDescent="0.25">
      <c r="V346" s="142"/>
    </row>
    <row r="347" spans="22:22" x14ac:dyDescent="0.25">
      <c r="V347" s="142"/>
    </row>
    <row r="348" spans="22:22" x14ac:dyDescent="0.25">
      <c r="V348" s="142"/>
    </row>
    <row r="349" spans="22:22" x14ac:dyDescent="0.25">
      <c r="V349" s="142"/>
    </row>
    <row r="350" spans="22:22" x14ac:dyDescent="0.25">
      <c r="V350" s="142"/>
    </row>
    <row r="351" spans="22:22" x14ac:dyDescent="0.25">
      <c r="V351" s="142"/>
    </row>
    <row r="352" spans="22:22" x14ac:dyDescent="0.25">
      <c r="V352" s="142"/>
    </row>
    <row r="353" spans="22:22" x14ac:dyDescent="0.25">
      <c r="V353" s="142"/>
    </row>
    <row r="354" spans="22:22" x14ac:dyDescent="0.25">
      <c r="V354" s="142"/>
    </row>
    <row r="355" spans="22:22" x14ac:dyDescent="0.25">
      <c r="V355" s="142"/>
    </row>
    <row r="356" spans="22:22" x14ac:dyDescent="0.25">
      <c r="V356" s="142"/>
    </row>
    <row r="357" spans="22:22" x14ac:dyDescent="0.25">
      <c r="V357" s="142"/>
    </row>
    <row r="358" spans="22:22" x14ac:dyDescent="0.25">
      <c r="V358" s="142"/>
    </row>
    <row r="359" spans="22:22" x14ac:dyDescent="0.25">
      <c r="V359" s="142"/>
    </row>
    <row r="360" spans="22:22" x14ac:dyDescent="0.25">
      <c r="V360" s="142"/>
    </row>
    <row r="361" spans="22:22" x14ac:dyDescent="0.25">
      <c r="V361" s="142"/>
    </row>
    <row r="362" spans="22:22" x14ac:dyDescent="0.25">
      <c r="V362" s="142"/>
    </row>
    <row r="363" spans="22:22" x14ac:dyDescent="0.25">
      <c r="V363" s="142"/>
    </row>
    <row r="364" spans="22:22" x14ac:dyDescent="0.25">
      <c r="V364" s="142"/>
    </row>
    <row r="365" spans="22:22" x14ac:dyDescent="0.25">
      <c r="V365" s="142"/>
    </row>
    <row r="366" spans="22:22" x14ac:dyDescent="0.25">
      <c r="V366" s="142"/>
    </row>
    <row r="367" spans="22:22" x14ac:dyDescent="0.25">
      <c r="V367" s="142"/>
    </row>
    <row r="368" spans="22:22" x14ac:dyDescent="0.25">
      <c r="V368" s="142"/>
    </row>
    <row r="369" spans="22:22" x14ac:dyDescent="0.25">
      <c r="V369" s="142"/>
    </row>
    <row r="370" spans="22:22" x14ac:dyDescent="0.25">
      <c r="V370" s="142"/>
    </row>
    <row r="371" spans="22:22" x14ac:dyDescent="0.25">
      <c r="V371" s="142"/>
    </row>
    <row r="372" spans="22:22" x14ac:dyDescent="0.25">
      <c r="V372" s="142"/>
    </row>
    <row r="373" spans="22:22" x14ac:dyDescent="0.25">
      <c r="V373" s="142"/>
    </row>
    <row r="374" spans="22:22" x14ac:dyDescent="0.25">
      <c r="V374" s="142"/>
    </row>
    <row r="375" spans="22:22" x14ac:dyDescent="0.25">
      <c r="V375" s="142"/>
    </row>
    <row r="376" spans="22:22" x14ac:dyDescent="0.25">
      <c r="V376" s="142"/>
    </row>
    <row r="377" spans="22:22" x14ac:dyDescent="0.25">
      <c r="V377" s="142"/>
    </row>
    <row r="378" spans="22:22" x14ac:dyDescent="0.25">
      <c r="V378" s="142"/>
    </row>
    <row r="379" spans="22:22" x14ac:dyDescent="0.25">
      <c r="V379" s="142"/>
    </row>
    <row r="380" spans="22:22" x14ac:dyDescent="0.25">
      <c r="V380" s="142"/>
    </row>
    <row r="381" spans="22:22" x14ac:dyDescent="0.25">
      <c r="V381" s="142"/>
    </row>
    <row r="382" spans="22:22" x14ac:dyDescent="0.25">
      <c r="V382" s="142"/>
    </row>
    <row r="383" spans="22:22" x14ac:dyDescent="0.25">
      <c r="V383" s="142"/>
    </row>
    <row r="384" spans="22:22" x14ac:dyDescent="0.25">
      <c r="V384" s="142"/>
    </row>
    <row r="385" spans="22:22" x14ac:dyDescent="0.25">
      <c r="V385" s="142"/>
    </row>
    <row r="386" spans="22:22" x14ac:dyDescent="0.25">
      <c r="V386" s="142"/>
    </row>
    <row r="387" spans="22:22" x14ac:dyDescent="0.25">
      <c r="V387" s="142"/>
    </row>
    <row r="388" spans="22:22" x14ac:dyDescent="0.25">
      <c r="V388" s="142"/>
    </row>
    <row r="389" spans="22:22" x14ac:dyDescent="0.25">
      <c r="V389" s="142"/>
    </row>
    <row r="390" spans="22:22" x14ac:dyDescent="0.25">
      <c r="V390" s="142"/>
    </row>
    <row r="391" spans="22:22" x14ac:dyDescent="0.25">
      <c r="V391" s="142"/>
    </row>
    <row r="392" spans="22:22" x14ac:dyDescent="0.25">
      <c r="V392" s="142"/>
    </row>
    <row r="393" spans="22:22" x14ac:dyDescent="0.25">
      <c r="V393" s="142"/>
    </row>
    <row r="394" spans="22:22" x14ac:dyDescent="0.25">
      <c r="V394" s="142"/>
    </row>
    <row r="395" spans="22:22" x14ac:dyDescent="0.25">
      <c r="V395" s="142"/>
    </row>
    <row r="396" spans="22:22" x14ac:dyDescent="0.25">
      <c r="V396" s="142"/>
    </row>
    <row r="397" spans="22:22" x14ac:dyDescent="0.25">
      <c r="V397" s="142"/>
    </row>
    <row r="398" spans="22:22" x14ac:dyDescent="0.25">
      <c r="V398" s="142"/>
    </row>
    <row r="399" spans="22:22" x14ac:dyDescent="0.25">
      <c r="V399" s="142"/>
    </row>
    <row r="400" spans="22:22" x14ac:dyDescent="0.25">
      <c r="V400" s="142"/>
    </row>
    <row r="401" spans="22:22" x14ac:dyDescent="0.25">
      <c r="V401" s="142"/>
    </row>
    <row r="402" spans="22:22" x14ac:dyDescent="0.25">
      <c r="V402" s="142"/>
    </row>
    <row r="403" spans="22:22" x14ac:dyDescent="0.25">
      <c r="V403" s="142"/>
    </row>
    <row r="404" spans="22:22" x14ac:dyDescent="0.25">
      <c r="V404" s="142"/>
    </row>
    <row r="405" spans="22:22" x14ac:dyDescent="0.25">
      <c r="V405" s="142"/>
    </row>
    <row r="406" spans="22:22" x14ac:dyDescent="0.25">
      <c r="V406" s="142"/>
    </row>
    <row r="407" spans="22:22" x14ac:dyDescent="0.25">
      <c r="V407" s="142"/>
    </row>
    <row r="408" spans="22:22" x14ac:dyDescent="0.25">
      <c r="V408" s="142"/>
    </row>
    <row r="409" spans="22:22" x14ac:dyDescent="0.25">
      <c r="V409" s="142"/>
    </row>
    <row r="410" spans="22:22" x14ac:dyDescent="0.25">
      <c r="V410" s="142"/>
    </row>
    <row r="411" spans="22:22" x14ac:dyDescent="0.25">
      <c r="V411" s="142"/>
    </row>
    <row r="412" spans="22:22" x14ac:dyDescent="0.25">
      <c r="V412" s="142"/>
    </row>
    <row r="413" spans="22:22" x14ac:dyDescent="0.25">
      <c r="V413" s="142"/>
    </row>
    <row r="414" spans="22:22" x14ac:dyDescent="0.25">
      <c r="V414" s="142"/>
    </row>
    <row r="415" spans="22:22" x14ac:dyDescent="0.25">
      <c r="V415" s="142"/>
    </row>
    <row r="416" spans="22:22" x14ac:dyDescent="0.25">
      <c r="V416" s="142"/>
    </row>
    <row r="417" spans="22:22" x14ac:dyDescent="0.25">
      <c r="V417" s="142"/>
    </row>
    <row r="418" spans="22:22" x14ac:dyDescent="0.25">
      <c r="V418" s="142"/>
    </row>
    <row r="419" spans="22:22" x14ac:dyDescent="0.25">
      <c r="V419" s="142"/>
    </row>
    <row r="420" spans="22:22" x14ac:dyDescent="0.25">
      <c r="V420" s="142"/>
    </row>
    <row r="421" spans="22:22" x14ac:dyDescent="0.25">
      <c r="V421" s="142"/>
    </row>
    <row r="422" spans="22:22" x14ac:dyDescent="0.25">
      <c r="V422" s="142"/>
    </row>
    <row r="423" spans="22:22" x14ac:dyDescent="0.25">
      <c r="V423" s="142"/>
    </row>
    <row r="424" spans="22:22" x14ac:dyDescent="0.25">
      <c r="V424" s="142"/>
    </row>
    <row r="425" spans="22:22" x14ac:dyDescent="0.25">
      <c r="V425" s="142"/>
    </row>
    <row r="426" spans="22:22" x14ac:dyDescent="0.25">
      <c r="V426" s="142"/>
    </row>
    <row r="427" spans="22:22" x14ac:dyDescent="0.25">
      <c r="V427" s="142"/>
    </row>
    <row r="428" spans="22:22" x14ac:dyDescent="0.25">
      <c r="V428" s="142"/>
    </row>
    <row r="429" spans="22:22" x14ac:dyDescent="0.25">
      <c r="V429" s="142"/>
    </row>
    <row r="430" spans="22:22" x14ac:dyDescent="0.25">
      <c r="V430" s="142"/>
    </row>
    <row r="431" spans="22:22" x14ac:dyDescent="0.25">
      <c r="V431" s="142"/>
    </row>
    <row r="432" spans="22:22" x14ac:dyDescent="0.25">
      <c r="V432" s="142"/>
    </row>
    <row r="433" spans="22:22" x14ac:dyDescent="0.25">
      <c r="V433" s="142"/>
    </row>
    <row r="434" spans="22:22" x14ac:dyDescent="0.25">
      <c r="V434" s="142"/>
    </row>
    <row r="435" spans="22:22" x14ac:dyDescent="0.25">
      <c r="V435" s="142"/>
    </row>
    <row r="436" spans="22:22" x14ac:dyDescent="0.25">
      <c r="V436" s="142"/>
    </row>
    <row r="437" spans="22:22" x14ac:dyDescent="0.25">
      <c r="V437" s="142"/>
    </row>
    <row r="438" spans="22:22" x14ac:dyDescent="0.25">
      <c r="V438" s="142"/>
    </row>
    <row r="439" spans="22:22" x14ac:dyDescent="0.25">
      <c r="V439" s="142"/>
    </row>
    <row r="440" spans="22:22" x14ac:dyDescent="0.25">
      <c r="V440" s="142"/>
    </row>
    <row r="441" spans="22:22" x14ac:dyDescent="0.25">
      <c r="V441" s="142"/>
    </row>
    <row r="442" spans="22:22" x14ac:dyDescent="0.25">
      <c r="V442" s="142"/>
    </row>
    <row r="443" spans="22:22" x14ac:dyDescent="0.25">
      <c r="V443" s="142"/>
    </row>
    <row r="444" spans="22:22" x14ac:dyDescent="0.25">
      <c r="V444" s="142"/>
    </row>
    <row r="445" spans="22:22" x14ac:dyDescent="0.25">
      <c r="V445" s="142"/>
    </row>
    <row r="446" spans="22:22" x14ac:dyDescent="0.25">
      <c r="V446" s="142"/>
    </row>
    <row r="447" spans="22:22" x14ac:dyDescent="0.25">
      <c r="V447" s="142"/>
    </row>
    <row r="448" spans="22:22" x14ac:dyDescent="0.25">
      <c r="V448" s="142"/>
    </row>
    <row r="449" spans="22:22" x14ac:dyDescent="0.25">
      <c r="V449" s="142"/>
    </row>
    <row r="450" spans="22:22" x14ac:dyDescent="0.25">
      <c r="V450" s="142"/>
    </row>
    <row r="451" spans="22:22" x14ac:dyDescent="0.25">
      <c r="V451" s="142"/>
    </row>
    <row r="452" spans="22:22" x14ac:dyDescent="0.25">
      <c r="V452" s="142"/>
    </row>
    <row r="453" spans="22:22" x14ac:dyDescent="0.25">
      <c r="V453" s="142"/>
    </row>
    <row r="454" spans="22:22" x14ac:dyDescent="0.25">
      <c r="V454" s="142"/>
    </row>
    <row r="455" spans="22:22" x14ac:dyDescent="0.25">
      <c r="V455" s="142"/>
    </row>
    <row r="456" spans="22:22" x14ac:dyDescent="0.25">
      <c r="V456" s="142"/>
    </row>
    <row r="457" spans="22:22" x14ac:dyDescent="0.25">
      <c r="V457" s="142"/>
    </row>
    <row r="458" spans="22:22" x14ac:dyDescent="0.25">
      <c r="V458" s="142"/>
    </row>
    <row r="459" spans="22:22" x14ac:dyDescent="0.25">
      <c r="V459" s="142"/>
    </row>
    <row r="460" spans="22:22" x14ac:dyDescent="0.25">
      <c r="V460" s="142"/>
    </row>
    <row r="461" spans="22:22" x14ac:dyDescent="0.25">
      <c r="V461" s="142"/>
    </row>
    <row r="462" spans="22:22" x14ac:dyDescent="0.25">
      <c r="V462" s="142"/>
    </row>
    <row r="463" spans="22:22" x14ac:dyDescent="0.25">
      <c r="V463" s="142"/>
    </row>
    <row r="464" spans="22:22" x14ac:dyDescent="0.25">
      <c r="V464" s="142"/>
    </row>
    <row r="465" spans="22:22" x14ac:dyDescent="0.25">
      <c r="V465" s="142"/>
    </row>
    <row r="466" spans="22:22" x14ac:dyDescent="0.25">
      <c r="V466" s="142"/>
    </row>
    <row r="467" spans="22:22" x14ac:dyDescent="0.25">
      <c r="V467" s="142"/>
    </row>
    <row r="468" spans="22:22" x14ac:dyDescent="0.25">
      <c r="V468" s="142"/>
    </row>
    <row r="469" spans="22:22" x14ac:dyDescent="0.25">
      <c r="V469" s="142"/>
    </row>
    <row r="470" spans="22:22" x14ac:dyDescent="0.25">
      <c r="V470" s="142"/>
    </row>
    <row r="471" spans="22:22" x14ac:dyDescent="0.25">
      <c r="V471" s="142"/>
    </row>
    <row r="472" spans="22:22" x14ac:dyDescent="0.25">
      <c r="V472" s="142"/>
    </row>
    <row r="473" spans="22:22" x14ac:dyDescent="0.25">
      <c r="V473" s="142"/>
    </row>
    <row r="474" spans="22:22" x14ac:dyDescent="0.25">
      <c r="V474" s="142"/>
    </row>
    <row r="475" spans="22:22" x14ac:dyDescent="0.25">
      <c r="V475" s="142"/>
    </row>
    <row r="476" spans="22:22" x14ac:dyDescent="0.25">
      <c r="V476" s="142"/>
    </row>
    <row r="477" spans="22:22" x14ac:dyDescent="0.25">
      <c r="V477" s="142"/>
    </row>
    <row r="478" spans="22:22" x14ac:dyDescent="0.25">
      <c r="V478" s="142"/>
    </row>
    <row r="479" spans="22:22" x14ac:dyDescent="0.25">
      <c r="V479" s="142"/>
    </row>
    <row r="480" spans="22:22" x14ac:dyDescent="0.25">
      <c r="V480" s="142"/>
    </row>
    <row r="481" spans="22:22" x14ac:dyDescent="0.25">
      <c r="V481" s="142"/>
    </row>
    <row r="482" spans="22:22" x14ac:dyDescent="0.25">
      <c r="V482" s="142"/>
    </row>
    <row r="483" spans="22:22" x14ac:dyDescent="0.25">
      <c r="V483" s="142"/>
    </row>
    <row r="484" spans="22:22" x14ac:dyDescent="0.25">
      <c r="V484" s="142"/>
    </row>
    <row r="485" spans="22:22" x14ac:dyDescent="0.25">
      <c r="V485" s="142"/>
    </row>
    <row r="486" spans="22:22" x14ac:dyDescent="0.25">
      <c r="V486" s="142"/>
    </row>
    <row r="487" spans="22:22" x14ac:dyDescent="0.25">
      <c r="V487" s="142"/>
    </row>
    <row r="488" spans="22:22" x14ac:dyDescent="0.25">
      <c r="V488" s="142"/>
    </row>
    <row r="489" spans="22:22" x14ac:dyDescent="0.25">
      <c r="V489" s="142"/>
    </row>
    <row r="490" spans="22:22" x14ac:dyDescent="0.25">
      <c r="V490" s="142"/>
    </row>
    <row r="491" spans="22:22" x14ac:dyDescent="0.25">
      <c r="V491" s="142"/>
    </row>
    <row r="492" spans="22:22" x14ac:dyDescent="0.25">
      <c r="V492" s="142"/>
    </row>
    <row r="493" spans="22:22" x14ac:dyDescent="0.25">
      <c r="V493" s="142"/>
    </row>
    <row r="494" spans="22:22" x14ac:dyDescent="0.25">
      <c r="V494" s="142"/>
    </row>
    <row r="495" spans="22:22" x14ac:dyDescent="0.25">
      <c r="V495" s="142"/>
    </row>
    <row r="496" spans="22:22" x14ac:dyDescent="0.25">
      <c r="V496" s="142"/>
    </row>
    <row r="497" spans="22:22" x14ac:dyDescent="0.25">
      <c r="V497" s="142"/>
    </row>
    <row r="498" spans="22:22" x14ac:dyDescent="0.25">
      <c r="V498" s="142"/>
    </row>
    <row r="499" spans="22:22" x14ac:dyDescent="0.25">
      <c r="V499" s="142"/>
    </row>
    <row r="500" spans="22:22" x14ac:dyDescent="0.25">
      <c r="V500" s="142"/>
    </row>
    <row r="501" spans="22:22" x14ac:dyDescent="0.25">
      <c r="V501" s="142"/>
    </row>
    <row r="502" spans="22:22" x14ac:dyDescent="0.25">
      <c r="V502" s="142"/>
    </row>
    <row r="503" spans="22:22" x14ac:dyDescent="0.25">
      <c r="V503" s="142"/>
    </row>
    <row r="504" spans="22:22" x14ac:dyDescent="0.25">
      <c r="V504" s="142"/>
    </row>
    <row r="505" spans="22:22" x14ac:dyDescent="0.25">
      <c r="V505" s="142"/>
    </row>
    <row r="506" spans="22:22" x14ac:dyDescent="0.25">
      <c r="V506" s="142"/>
    </row>
    <row r="507" spans="22:22" x14ac:dyDescent="0.25">
      <c r="V507" s="142"/>
    </row>
    <row r="508" spans="22:22" x14ac:dyDescent="0.25">
      <c r="V508" s="142"/>
    </row>
    <row r="509" spans="22:22" x14ac:dyDescent="0.25">
      <c r="V509" s="142"/>
    </row>
    <row r="510" spans="22:22" x14ac:dyDescent="0.25">
      <c r="V510" s="142"/>
    </row>
    <row r="511" spans="22:22" x14ac:dyDescent="0.25">
      <c r="V511" s="142"/>
    </row>
    <row r="512" spans="22:22" x14ac:dyDescent="0.25">
      <c r="V512" s="142"/>
    </row>
    <row r="513" spans="22:22" x14ac:dyDescent="0.25">
      <c r="V513" s="142"/>
    </row>
    <row r="514" spans="22:22" x14ac:dyDescent="0.25">
      <c r="V514" s="142"/>
    </row>
    <row r="515" spans="22:22" x14ac:dyDescent="0.25">
      <c r="V515" s="142"/>
    </row>
    <row r="516" spans="22:22" x14ac:dyDescent="0.25">
      <c r="V516" s="142"/>
    </row>
    <row r="517" spans="22:22" x14ac:dyDescent="0.25">
      <c r="V517" s="142"/>
    </row>
    <row r="518" spans="22:22" x14ac:dyDescent="0.25">
      <c r="V518" s="142"/>
    </row>
    <row r="519" spans="22:22" x14ac:dyDescent="0.25">
      <c r="V519" s="142"/>
    </row>
    <row r="520" spans="22:22" x14ac:dyDescent="0.25">
      <c r="V520" s="142"/>
    </row>
    <row r="521" spans="22:22" x14ac:dyDescent="0.25">
      <c r="V521" s="142"/>
    </row>
    <row r="522" spans="22:22" x14ac:dyDescent="0.25">
      <c r="V522" s="142"/>
    </row>
    <row r="523" spans="22:22" x14ac:dyDescent="0.25">
      <c r="V523" s="142"/>
    </row>
    <row r="524" spans="22:22" x14ac:dyDescent="0.25">
      <c r="V524" s="142"/>
    </row>
    <row r="525" spans="22:22" x14ac:dyDescent="0.25">
      <c r="V525" s="142"/>
    </row>
    <row r="526" spans="22:22" x14ac:dyDescent="0.25">
      <c r="V526" s="142"/>
    </row>
    <row r="527" spans="22:22" x14ac:dyDescent="0.25">
      <c r="V527" s="142"/>
    </row>
    <row r="528" spans="22:22" x14ac:dyDescent="0.25">
      <c r="V528" s="142"/>
    </row>
    <row r="529" spans="22:22" x14ac:dyDescent="0.25">
      <c r="V529" s="142"/>
    </row>
    <row r="530" spans="22:22" x14ac:dyDescent="0.25">
      <c r="V530" s="142"/>
    </row>
    <row r="531" spans="22:22" x14ac:dyDescent="0.25">
      <c r="V531" s="142"/>
    </row>
    <row r="532" spans="22:22" x14ac:dyDescent="0.25">
      <c r="V532" s="142"/>
    </row>
    <row r="533" spans="22:22" x14ac:dyDescent="0.25">
      <c r="V533" s="142"/>
    </row>
    <row r="534" spans="22:22" x14ac:dyDescent="0.25">
      <c r="V534" s="142"/>
    </row>
    <row r="535" spans="22:22" x14ac:dyDescent="0.25">
      <c r="V535" s="142"/>
    </row>
    <row r="536" spans="22:22" x14ac:dyDescent="0.25">
      <c r="V536" s="142"/>
    </row>
    <row r="537" spans="22:22" x14ac:dyDescent="0.25">
      <c r="V537" s="142"/>
    </row>
    <row r="538" spans="22:22" x14ac:dyDescent="0.25">
      <c r="V538" s="142"/>
    </row>
    <row r="539" spans="22:22" x14ac:dyDescent="0.25">
      <c r="V539" s="142"/>
    </row>
    <row r="540" spans="22:22" x14ac:dyDescent="0.25">
      <c r="V540" s="142"/>
    </row>
    <row r="541" spans="22:22" x14ac:dyDescent="0.25">
      <c r="V541" s="142"/>
    </row>
    <row r="542" spans="22:22" x14ac:dyDescent="0.25">
      <c r="V542" s="142"/>
    </row>
    <row r="543" spans="22:22" x14ac:dyDescent="0.25">
      <c r="V543" s="142"/>
    </row>
    <row r="544" spans="22:22" x14ac:dyDescent="0.25">
      <c r="V544" s="142"/>
    </row>
    <row r="545" spans="22:22" x14ac:dyDescent="0.25">
      <c r="V545" s="142"/>
    </row>
    <row r="546" spans="22:22" x14ac:dyDescent="0.25">
      <c r="V546" s="142"/>
    </row>
    <row r="547" spans="22:22" x14ac:dyDescent="0.25">
      <c r="V547" s="142"/>
    </row>
    <row r="548" spans="22:22" x14ac:dyDescent="0.25">
      <c r="V548" s="142"/>
    </row>
    <row r="549" spans="22:22" x14ac:dyDescent="0.25">
      <c r="V549" s="142"/>
    </row>
    <row r="550" spans="22:22" x14ac:dyDescent="0.25">
      <c r="V550" s="142"/>
    </row>
    <row r="551" spans="22:22" x14ac:dyDescent="0.25">
      <c r="V551" s="142"/>
    </row>
    <row r="552" spans="22:22" x14ac:dyDescent="0.25">
      <c r="V552" s="142"/>
    </row>
    <row r="553" spans="22:22" x14ac:dyDescent="0.25">
      <c r="V553" s="142"/>
    </row>
    <row r="554" spans="22:22" x14ac:dyDescent="0.25">
      <c r="V554" s="142"/>
    </row>
    <row r="555" spans="22:22" x14ac:dyDescent="0.25">
      <c r="V555" s="142"/>
    </row>
    <row r="556" spans="22:22" x14ac:dyDescent="0.25">
      <c r="V556" s="142"/>
    </row>
    <row r="557" spans="22:22" x14ac:dyDescent="0.25">
      <c r="V557" s="142"/>
    </row>
    <row r="558" spans="22:22" x14ac:dyDescent="0.25">
      <c r="V558" s="142"/>
    </row>
    <row r="559" spans="22:22" x14ac:dyDescent="0.25">
      <c r="V559" s="142"/>
    </row>
    <row r="560" spans="22:22" x14ac:dyDescent="0.25">
      <c r="V560" s="142"/>
    </row>
    <row r="561" spans="22:22" x14ac:dyDescent="0.25">
      <c r="V561" s="142"/>
    </row>
    <row r="562" spans="22:22" x14ac:dyDescent="0.25">
      <c r="V562" s="142"/>
    </row>
    <row r="563" spans="22:22" x14ac:dyDescent="0.25">
      <c r="V563" s="142"/>
    </row>
    <row r="564" spans="22:22" x14ac:dyDescent="0.25">
      <c r="V564" s="142"/>
    </row>
    <row r="565" spans="22:22" x14ac:dyDescent="0.25">
      <c r="V565" s="142"/>
    </row>
    <row r="566" spans="22:22" x14ac:dyDescent="0.25">
      <c r="V566" s="142"/>
    </row>
    <row r="567" spans="22:22" x14ac:dyDescent="0.25">
      <c r="V567" s="142"/>
    </row>
    <row r="568" spans="22:22" x14ac:dyDescent="0.25">
      <c r="V568" s="142"/>
    </row>
    <row r="569" spans="22:22" x14ac:dyDescent="0.25">
      <c r="V569" s="142"/>
    </row>
    <row r="570" spans="22:22" x14ac:dyDescent="0.25">
      <c r="V570" s="142"/>
    </row>
    <row r="571" spans="22:22" x14ac:dyDescent="0.25">
      <c r="V571" s="142"/>
    </row>
    <row r="572" spans="22:22" x14ac:dyDescent="0.25">
      <c r="V572" s="142"/>
    </row>
    <row r="573" spans="22:22" x14ac:dyDescent="0.25">
      <c r="V573" s="142"/>
    </row>
    <row r="574" spans="22:22" x14ac:dyDescent="0.25">
      <c r="V574" s="142"/>
    </row>
    <row r="575" spans="22:22" x14ac:dyDescent="0.25">
      <c r="V575" s="142"/>
    </row>
    <row r="576" spans="22:22" x14ac:dyDescent="0.25">
      <c r="V576" s="142"/>
    </row>
    <row r="577" spans="22:22" x14ac:dyDescent="0.25">
      <c r="V577" s="142"/>
    </row>
    <row r="578" spans="22:22" x14ac:dyDescent="0.25">
      <c r="V578" s="142"/>
    </row>
    <row r="579" spans="22:22" x14ac:dyDescent="0.25">
      <c r="V579" s="142"/>
    </row>
    <row r="580" spans="22:22" x14ac:dyDescent="0.25">
      <c r="V580" s="142"/>
    </row>
    <row r="581" spans="22:22" x14ac:dyDescent="0.25">
      <c r="V581" s="142"/>
    </row>
    <row r="582" spans="22:22" x14ac:dyDescent="0.25">
      <c r="V582" s="142"/>
    </row>
    <row r="583" spans="22:22" x14ac:dyDescent="0.25">
      <c r="V583" s="142"/>
    </row>
    <row r="584" spans="22:22" x14ac:dyDescent="0.25">
      <c r="V584" s="142"/>
    </row>
    <row r="585" spans="22:22" x14ac:dyDescent="0.25">
      <c r="V585" s="142"/>
    </row>
    <row r="586" spans="22:22" x14ac:dyDescent="0.25">
      <c r="V586" s="142"/>
    </row>
    <row r="587" spans="22:22" x14ac:dyDescent="0.25">
      <c r="V587" s="142"/>
    </row>
    <row r="588" spans="22:22" x14ac:dyDescent="0.25">
      <c r="V588" s="142"/>
    </row>
    <row r="589" spans="22:22" x14ac:dyDescent="0.25">
      <c r="V589" s="142"/>
    </row>
    <row r="590" spans="22:22" x14ac:dyDescent="0.25">
      <c r="V590" s="142"/>
    </row>
    <row r="591" spans="22:22" x14ac:dyDescent="0.25">
      <c r="V591" s="142"/>
    </row>
    <row r="592" spans="22:22" x14ac:dyDescent="0.25">
      <c r="V592" s="142"/>
    </row>
    <row r="593" spans="22:22" x14ac:dyDescent="0.25">
      <c r="V593" s="142"/>
    </row>
    <row r="594" spans="22:22" x14ac:dyDescent="0.25">
      <c r="V594" s="142"/>
    </row>
    <row r="595" spans="22:22" x14ac:dyDescent="0.25">
      <c r="V595" s="142"/>
    </row>
    <row r="596" spans="22:22" x14ac:dyDescent="0.25">
      <c r="V596" s="142"/>
    </row>
    <row r="597" spans="22:22" x14ac:dyDescent="0.25">
      <c r="V597" s="142"/>
    </row>
    <row r="598" spans="22:22" x14ac:dyDescent="0.25">
      <c r="V598" s="142"/>
    </row>
    <row r="599" spans="22:22" x14ac:dyDescent="0.25">
      <c r="V599" s="142"/>
    </row>
    <row r="600" spans="22:22" x14ac:dyDescent="0.25">
      <c r="V600" s="142"/>
    </row>
    <row r="601" spans="22:22" x14ac:dyDescent="0.25">
      <c r="V601" s="142"/>
    </row>
    <row r="602" spans="22:22" x14ac:dyDescent="0.25">
      <c r="V602" s="142"/>
    </row>
    <row r="603" spans="22:22" x14ac:dyDescent="0.25">
      <c r="V603" s="142"/>
    </row>
    <row r="604" spans="22:22" x14ac:dyDescent="0.25">
      <c r="V604" s="142"/>
    </row>
    <row r="605" spans="22:22" x14ac:dyDescent="0.25">
      <c r="V605" s="142"/>
    </row>
    <row r="606" spans="22:22" x14ac:dyDescent="0.25">
      <c r="V606" s="142"/>
    </row>
    <row r="607" spans="22:22" x14ac:dyDescent="0.25">
      <c r="V607" s="142"/>
    </row>
    <row r="608" spans="22:22" x14ac:dyDescent="0.25">
      <c r="V608" s="142"/>
    </row>
    <row r="609" spans="22:22" x14ac:dyDescent="0.25">
      <c r="V609" s="142"/>
    </row>
    <row r="610" spans="22:22" x14ac:dyDescent="0.25">
      <c r="V610" s="142"/>
    </row>
    <row r="611" spans="22:22" x14ac:dyDescent="0.25">
      <c r="V611" s="142"/>
    </row>
    <row r="612" spans="22:22" x14ac:dyDescent="0.25">
      <c r="V612" s="142"/>
    </row>
    <row r="613" spans="22:22" x14ac:dyDescent="0.25">
      <c r="V613" s="142"/>
    </row>
    <row r="614" spans="22:22" x14ac:dyDescent="0.25">
      <c r="V614" s="142"/>
    </row>
    <row r="615" spans="22:22" x14ac:dyDescent="0.25">
      <c r="V615" s="142"/>
    </row>
    <row r="616" spans="22:22" x14ac:dyDescent="0.25">
      <c r="V616" s="142"/>
    </row>
    <row r="617" spans="22:22" x14ac:dyDescent="0.25">
      <c r="V617" s="142"/>
    </row>
    <row r="618" spans="22:22" x14ac:dyDescent="0.25">
      <c r="V618" s="142"/>
    </row>
    <row r="619" spans="22:22" x14ac:dyDescent="0.25">
      <c r="V619" s="142"/>
    </row>
    <row r="620" spans="22:22" x14ac:dyDescent="0.25">
      <c r="V620" s="142"/>
    </row>
    <row r="621" spans="22:22" x14ac:dyDescent="0.25">
      <c r="V621" s="142"/>
    </row>
    <row r="622" spans="22:22" x14ac:dyDescent="0.25">
      <c r="V622" s="142"/>
    </row>
    <row r="623" spans="22:22" x14ac:dyDescent="0.25">
      <c r="V623" s="142"/>
    </row>
    <row r="624" spans="22:22" x14ac:dyDescent="0.25">
      <c r="V624" s="142"/>
    </row>
    <row r="625" spans="22:22" x14ac:dyDescent="0.25">
      <c r="V625" s="142"/>
    </row>
    <row r="626" spans="22:22" x14ac:dyDescent="0.25">
      <c r="V626" s="142"/>
    </row>
    <row r="627" spans="22:22" x14ac:dyDescent="0.25">
      <c r="V627" s="142"/>
    </row>
    <row r="628" spans="22:22" x14ac:dyDescent="0.25">
      <c r="V628" s="142"/>
    </row>
    <row r="629" spans="22:22" x14ac:dyDescent="0.25">
      <c r="V629" s="142"/>
    </row>
    <row r="630" spans="22:22" x14ac:dyDescent="0.25">
      <c r="V630" s="142"/>
    </row>
    <row r="631" spans="22:22" x14ac:dyDescent="0.25">
      <c r="V631" s="142"/>
    </row>
    <row r="632" spans="22:22" x14ac:dyDescent="0.25">
      <c r="V632" s="142"/>
    </row>
    <row r="633" spans="22:22" x14ac:dyDescent="0.25">
      <c r="V633" s="142"/>
    </row>
    <row r="634" spans="22:22" x14ac:dyDescent="0.25">
      <c r="V634" s="142"/>
    </row>
    <row r="635" spans="22:22" x14ac:dyDescent="0.25">
      <c r="V635" s="142"/>
    </row>
    <row r="636" spans="22:22" x14ac:dyDescent="0.25">
      <c r="V636" s="142"/>
    </row>
    <row r="637" spans="22:22" x14ac:dyDescent="0.25">
      <c r="V637" s="142"/>
    </row>
    <row r="638" spans="22:22" x14ac:dyDescent="0.25">
      <c r="V638" s="142"/>
    </row>
    <row r="639" spans="22:22" x14ac:dyDescent="0.25">
      <c r="V639" s="142"/>
    </row>
    <row r="640" spans="22:22" x14ac:dyDescent="0.25">
      <c r="V640" s="142"/>
    </row>
    <row r="641" spans="22:22" x14ac:dyDescent="0.25">
      <c r="V641" s="142"/>
    </row>
    <row r="642" spans="22:22" x14ac:dyDescent="0.25">
      <c r="V642" s="142"/>
    </row>
    <row r="643" spans="22:22" x14ac:dyDescent="0.25">
      <c r="V643" s="142"/>
    </row>
    <row r="644" spans="22:22" x14ac:dyDescent="0.25">
      <c r="V644" s="142"/>
    </row>
    <row r="645" spans="22:22" x14ac:dyDescent="0.25">
      <c r="V645" s="142"/>
    </row>
    <row r="646" spans="22:22" x14ac:dyDescent="0.25">
      <c r="V646" s="142"/>
    </row>
    <row r="647" spans="22:22" x14ac:dyDescent="0.25">
      <c r="V647" s="142"/>
    </row>
    <row r="648" spans="22:22" x14ac:dyDescent="0.25">
      <c r="V648" s="142"/>
    </row>
    <row r="649" spans="22:22" x14ac:dyDescent="0.25">
      <c r="V649" s="142"/>
    </row>
    <row r="650" spans="22:22" x14ac:dyDescent="0.25">
      <c r="V650" s="142"/>
    </row>
    <row r="651" spans="22:22" x14ac:dyDescent="0.25">
      <c r="V651" s="142"/>
    </row>
    <row r="652" spans="22:22" x14ac:dyDescent="0.25">
      <c r="V652" s="142"/>
    </row>
    <row r="653" spans="22:22" x14ac:dyDescent="0.25">
      <c r="V653" s="142"/>
    </row>
    <row r="654" spans="22:22" x14ac:dyDescent="0.25">
      <c r="V654" s="142"/>
    </row>
    <row r="655" spans="22:22" x14ac:dyDescent="0.25">
      <c r="V655" s="142"/>
    </row>
    <row r="656" spans="22:22" x14ac:dyDescent="0.25">
      <c r="V656" s="142"/>
    </row>
    <row r="657" spans="22:22" x14ac:dyDescent="0.25">
      <c r="V657" s="142"/>
    </row>
    <row r="658" spans="22:22" x14ac:dyDescent="0.25">
      <c r="V658" s="142"/>
    </row>
    <row r="659" spans="22:22" x14ac:dyDescent="0.25">
      <c r="V659" s="142"/>
    </row>
    <row r="660" spans="22:22" x14ac:dyDescent="0.25">
      <c r="V660" s="142"/>
    </row>
    <row r="661" spans="22:22" x14ac:dyDescent="0.25">
      <c r="V661" s="142"/>
    </row>
    <row r="662" spans="22:22" x14ac:dyDescent="0.25">
      <c r="V662" s="142"/>
    </row>
    <row r="663" spans="22:22" x14ac:dyDescent="0.25">
      <c r="V663" s="142"/>
    </row>
    <row r="664" spans="22:22" x14ac:dyDescent="0.25">
      <c r="V664" s="142"/>
    </row>
    <row r="665" spans="22:22" x14ac:dyDescent="0.25">
      <c r="V665" s="142"/>
    </row>
    <row r="666" spans="22:22" x14ac:dyDescent="0.25">
      <c r="V666" s="142"/>
    </row>
    <row r="667" spans="22:22" x14ac:dyDescent="0.25">
      <c r="V667" s="142"/>
    </row>
    <row r="668" spans="22:22" x14ac:dyDescent="0.25">
      <c r="V668" s="142"/>
    </row>
    <row r="669" spans="22:22" x14ac:dyDescent="0.25">
      <c r="V669" s="142"/>
    </row>
    <row r="670" spans="22:22" x14ac:dyDescent="0.25">
      <c r="V670" s="142"/>
    </row>
    <row r="671" spans="22:22" x14ac:dyDescent="0.25">
      <c r="V671" s="142"/>
    </row>
    <row r="672" spans="22:22" x14ac:dyDescent="0.25">
      <c r="V672" s="142"/>
    </row>
    <row r="673" spans="22:22" x14ac:dyDescent="0.25">
      <c r="V673" s="142"/>
    </row>
    <row r="674" spans="22:22" x14ac:dyDescent="0.25">
      <c r="V674" s="142"/>
    </row>
    <row r="675" spans="22:22" x14ac:dyDescent="0.25">
      <c r="V675" s="142"/>
    </row>
    <row r="676" spans="22:22" x14ac:dyDescent="0.25">
      <c r="V676" s="142"/>
    </row>
    <row r="677" spans="22:22" x14ac:dyDescent="0.25">
      <c r="V677" s="142"/>
    </row>
    <row r="678" spans="22:22" x14ac:dyDescent="0.25">
      <c r="V678" s="142"/>
    </row>
    <row r="679" spans="22:22" x14ac:dyDescent="0.25">
      <c r="V679" s="142"/>
    </row>
    <row r="680" spans="22:22" x14ac:dyDescent="0.25">
      <c r="V680" s="142"/>
    </row>
    <row r="681" spans="22:22" x14ac:dyDescent="0.25">
      <c r="V681" s="142"/>
    </row>
    <row r="682" spans="22:22" x14ac:dyDescent="0.25">
      <c r="V682" s="142"/>
    </row>
    <row r="683" spans="22:22" x14ac:dyDescent="0.25">
      <c r="V683" s="142"/>
    </row>
    <row r="684" spans="22:22" x14ac:dyDescent="0.25">
      <c r="V684" s="142"/>
    </row>
    <row r="685" spans="22:22" x14ac:dyDescent="0.25">
      <c r="V685" s="142"/>
    </row>
    <row r="686" spans="22:22" x14ac:dyDescent="0.25">
      <c r="V686" s="142"/>
    </row>
    <row r="687" spans="22:22" x14ac:dyDescent="0.25">
      <c r="V687" s="142"/>
    </row>
    <row r="688" spans="22:22" x14ac:dyDescent="0.25">
      <c r="V688" s="142"/>
    </row>
    <row r="689" spans="22:22" x14ac:dyDescent="0.25">
      <c r="V689" s="142"/>
    </row>
    <row r="690" spans="22:22" x14ac:dyDescent="0.25">
      <c r="V690" s="142"/>
    </row>
    <row r="691" spans="22:22" x14ac:dyDescent="0.25">
      <c r="V691" s="142"/>
    </row>
    <row r="692" spans="22:22" x14ac:dyDescent="0.25">
      <c r="V692" s="142"/>
    </row>
    <row r="693" spans="22:22" x14ac:dyDescent="0.25">
      <c r="V693" s="142"/>
    </row>
    <row r="694" spans="22:22" x14ac:dyDescent="0.25">
      <c r="V694" s="142"/>
    </row>
    <row r="695" spans="22:22" x14ac:dyDescent="0.25">
      <c r="V695" s="142"/>
    </row>
    <row r="696" spans="22:22" x14ac:dyDescent="0.25">
      <c r="V696" s="142"/>
    </row>
    <row r="697" spans="22:22" x14ac:dyDescent="0.25">
      <c r="V697" s="142"/>
    </row>
    <row r="698" spans="22:22" x14ac:dyDescent="0.25">
      <c r="V698" s="142"/>
    </row>
    <row r="699" spans="22:22" x14ac:dyDescent="0.25">
      <c r="V699" s="142"/>
    </row>
    <row r="700" spans="22:22" x14ac:dyDescent="0.25">
      <c r="V700" s="142"/>
    </row>
    <row r="701" spans="22:22" x14ac:dyDescent="0.25">
      <c r="V701" s="142"/>
    </row>
    <row r="702" spans="22:22" x14ac:dyDescent="0.25">
      <c r="V702" s="142"/>
    </row>
    <row r="703" spans="22:22" x14ac:dyDescent="0.25">
      <c r="V703" s="142"/>
    </row>
    <row r="704" spans="22:22" x14ac:dyDescent="0.25">
      <c r="V704" s="142"/>
    </row>
    <row r="705" spans="22:22" x14ac:dyDescent="0.25">
      <c r="V705" s="142"/>
    </row>
    <row r="706" spans="22:22" x14ac:dyDescent="0.25">
      <c r="V706" s="142"/>
    </row>
    <row r="707" spans="22:22" x14ac:dyDescent="0.25">
      <c r="V707" s="142"/>
    </row>
    <row r="708" spans="22:22" x14ac:dyDescent="0.25">
      <c r="V708" s="142"/>
    </row>
    <row r="709" spans="22:22" x14ac:dyDescent="0.25">
      <c r="V709" s="142"/>
    </row>
    <row r="710" spans="22:22" x14ac:dyDescent="0.25">
      <c r="V710" s="142"/>
    </row>
    <row r="711" spans="22:22" x14ac:dyDescent="0.25">
      <c r="V711" s="142"/>
    </row>
    <row r="712" spans="22:22" x14ac:dyDescent="0.25">
      <c r="V712" s="142"/>
    </row>
    <row r="713" spans="22:22" x14ac:dyDescent="0.25">
      <c r="V713" s="142"/>
    </row>
    <row r="714" spans="22:22" x14ac:dyDescent="0.25">
      <c r="V714" s="142"/>
    </row>
    <row r="715" spans="22:22" x14ac:dyDescent="0.25">
      <c r="V715" s="142"/>
    </row>
    <row r="716" spans="22:22" x14ac:dyDescent="0.25">
      <c r="V716" s="142"/>
    </row>
    <row r="717" spans="22:22" x14ac:dyDescent="0.25">
      <c r="V717" s="142"/>
    </row>
    <row r="718" spans="22:22" x14ac:dyDescent="0.25">
      <c r="V718" s="142"/>
    </row>
    <row r="719" spans="22:22" x14ac:dyDescent="0.25">
      <c r="V719" s="142"/>
    </row>
    <row r="720" spans="22:22" x14ac:dyDescent="0.25">
      <c r="V720" s="142"/>
    </row>
    <row r="721" spans="22:22" x14ac:dyDescent="0.25">
      <c r="V721" s="142"/>
    </row>
    <row r="722" spans="22:22" x14ac:dyDescent="0.25">
      <c r="V722" s="142"/>
    </row>
    <row r="723" spans="22:22" x14ac:dyDescent="0.25">
      <c r="V723" s="142"/>
    </row>
    <row r="724" spans="22:22" x14ac:dyDescent="0.25">
      <c r="V724" s="142"/>
    </row>
    <row r="725" spans="22:22" x14ac:dyDescent="0.25">
      <c r="V725" s="142"/>
    </row>
    <row r="726" spans="22:22" x14ac:dyDescent="0.25">
      <c r="V726" s="142"/>
    </row>
    <row r="727" spans="22:22" x14ac:dyDescent="0.25">
      <c r="V727" s="142"/>
    </row>
    <row r="728" spans="22:22" x14ac:dyDescent="0.25">
      <c r="V728" s="142"/>
    </row>
    <row r="729" spans="22:22" x14ac:dyDescent="0.25">
      <c r="V729" s="142"/>
    </row>
    <row r="730" spans="22:22" x14ac:dyDescent="0.25">
      <c r="V730" s="142"/>
    </row>
    <row r="731" spans="22:22" x14ac:dyDescent="0.25">
      <c r="V731" s="142"/>
    </row>
    <row r="732" spans="22:22" x14ac:dyDescent="0.25">
      <c r="V732" s="142"/>
    </row>
    <row r="733" spans="22:22" x14ac:dyDescent="0.25">
      <c r="V733" s="142"/>
    </row>
    <row r="734" spans="22:22" x14ac:dyDescent="0.25">
      <c r="V734" s="142"/>
    </row>
    <row r="735" spans="22:22" x14ac:dyDescent="0.25">
      <c r="V735" s="142"/>
    </row>
    <row r="736" spans="22:22" x14ac:dyDescent="0.25">
      <c r="V736" s="142"/>
    </row>
    <row r="737" spans="22:22" x14ac:dyDescent="0.25">
      <c r="V737" s="142"/>
    </row>
    <row r="738" spans="22:22" x14ac:dyDescent="0.25">
      <c r="V738" s="142"/>
    </row>
    <row r="739" spans="22:22" x14ac:dyDescent="0.25">
      <c r="V739" s="142"/>
    </row>
    <row r="740" spans="22:22" x14ac:dyDescent="0.25">
      <c r="V740" s="142"/>
    </row>
    <row r="741" spans="22:22" x14ac:dyDescent="0.25">
      <c r="V741" s="142"/>
    </row>
    <row r="742" spans="22:22" x14ac:dyDescent="0.25">
      <c r="V742" s="142"/>
    </row>
    <row r="743" spans="22:22" x14ac:dyDescent="0.25">
      <c r="V743" s="142"/>
    </row>
    <row r="744" spans="22:22" x14ac:dyDescent="0.25">
      <c r="V744" s="142"/>
    </row>
    <row r="745" spans="22:22" x14ac:dyDescent="0.25">
      <c r="V745" s="142"/>
    </row>
    <row r="746" spans="22:22" x14ac:dyDescent="0.25">
      <c r="V746" s="142"/>
    </row>
    <row r="747" spans="22:22" x14ac:dyDescent="0.25">
      <c r="V747" s="142"/>
    </row>
    <row r="748" spans="22:22" x14ac:dyDescent="0.25">
      <c r="V748" s="142"/>
    </row>
    <row r="749" spans="22:22" x14ac:dyDescent="0.25">
      <c r="V749" s="142"/>
    </row>
    <row r="750" spans="22:22" x14ac:dyDescent="0.25">
      <c r="V750" s="142"/>
    </row>
    <row r="751" spans="22:22" x14ac:dyDescent="0.25">
      <c r="V751" s="142"/>
    </row>
    <row r="752" spans="22:22" x14ac:dyDescent="0.25">
      <c r="V752" s="142"/>
    </row>
    <row r="753" spans="22:22" x14ac:dyDescent="0.25">
      <c r="V753" s="142"/>
    </row>
    <row r="754" spans="22:22" x14ac:dyDescent="0.25">
      <c r="V754" s="142"/>
    </row>
    <row r="755" spans="22:22" x14ac:dyDescent="0.25">
      <c r="V755" s="142"/>
    </row>
    <row r="756" spans="22:22" x14ac:dyDescent="0.25">
      <c r="V756" s="142"/>
    </row>
    <row r="757" spans="22:22" x14ac:dyDescent="0.25">
      <c r="V757" s="142"/>
    </row>
    <row r="758" spans="22:22" x14ac:dyDescent="0.25">
      <c r="V758" s="142"/>
    </row>
    <row r="759" spans="22:22" x14ac:dyDescent="0.25">
      <c r="V759" s="142"/>
    </row>
    <row r="760" spans="22:22" x14ac:dyDescent="0.25">
      <c r="V760" s="142"/>
    </row>
    <row r="761" spans="22:22" x14ac:dyDescent="0.25">
      <c r="V761" s="142"/>
    </row>
    <row r="762" spans="22:22" x14ac:dyDescent="0.25">
      <c r="V762" s="142"/>
    </row>
    <row r="763" spans="22:22" x14ac:dyDescent="0.25">
      <c r="V763" s="142"/>
    </row>
    <row r="764" spans="22:22" x14ac:dyDescent="0.25">
      <c r="V764" s="142"/>
    </row>
    <row r="765" spans="22:22" x14ac:dyDescent="0.25">
      <c r="V765" s="142"/>
    </row>
    <row r="766" spans="22:22" x14ac:dyDescent="0.25">
      <c r="V766" s="142"/>
    </row>
    <row r="767" spans="22:22" x14ac:dyDescent="0.25">
      <c r="V767" s="142"/>
    </row>
    <row r="768" spans="22:22" x14ac:dyDescent="0.25">
      <c r="V768" s="142"/>
    </row>
    <row r="769" spans="22:22" x14ac:dyDescent="0.25">
      <c r="V769" s="142"/>
    </row>
    <row r="770" spans="22:22" x14ac:dyDescent="0.25">
      <c r="V770" s="142"/>
    </row>
    <row r="771" spans="22:22" x14ac:dyDescent="0.25">
      <c r="V771" s="142"/>
    </row>
    <row r="772" spans="22:22" x14ac:dyDescent="0.25">
      <c r="V772" s="142"/>
    </row>
    <row r="773" spans="22:22" x14ac:dyDescent="0.25">
      <c r="V773" s="142"/>
    </row>
    <row r="774" spans="22:22" x14ac:dyDescent="0.25">
      <c r="V774" s="142"/>
    </row>
    <row r="775" spans="22:22" x14ac:dyDescent="0.25">
      <c r="V775" s="142"/>
    </row>
    <row r="776" spans="22:22" x14ac:dyDescent="0.25">
      <c r="V776" s="142"/>
    </row>
    <row r="777" spans="22:22" x14ac:dyDescent="0.25">
      <c r="V777" s="142"/>
    </row>
    <row r="778" spans="22:22" x14ac:dyDescent="0.25">
      <c r="V778" s="142"/>
    </row>
    <row r="779" spans="22:22" x14ac:dyDescent="0.25">
      <c r="V779" s="142"/>
    </row>
    <row r="780" spans="22:22" x14ac:dyDescent="0.25">
      <c r="V780" s="142"/>
    </row>
    <row r="781" spans="22:22" x14ac:dyDescent="0.25">
      <c r="V781" s="142"/>
    </row>
    <row r="782" spans="22:22" x14ac:dyDescent="0.25">
      <c r="V782" s="142"/>
    </row>
    <row r="783" spans="22:22" x14ac:dyDescent="0.25">
      <c r="V783" s="142"/>
    </row>
    <row r="784" spans="22:22" x14ac:dyDescent="0.25">
      <c r="V784" s="142"/>
    </row>
    <row r="785" spans="22:22" x14ac:dyDescent="0.25">
      <c r="V785" s="142"/>
    </row>
    <row r="786" spans="22:22" x14ac:dyDescent="0.25">
      <c r="V786" s="142"/>
    </row>
    <row r="787" spans="22:22" x14ac:dyDescent="0.25">
      <c r="V787" s="142"/>
    </row>
    <row r="788" spans="22:22" x14ac:dyDescent="0.25">
      <c r="V788" s="142"/>
    </row>
    <row r="789" spans="22:22" x14ac:dyDescent="0.25">
      <c r="V789" s="142"/>
    </row>
    <row r="790" spans="22:22" x14ac:dyDescent="0.25">
      <c r="V790" s="142"/>
    </row>
    <row r="791" spans="22:22" x14ac:dyDescent="0.25">
      <c r="V791" s="142"/>
    </row>
    <row r="792" spans="22:22" x14ac:dyDescent="0.25">
      <c r="V792" s="142"/>
    </row>
    <row r="793" spans="22:22" x14ac:dyDescent="0.25">
      <c r="V793" s="142"/>
    </row>
    <row r="794" spans="22:22" x14ac:dyDescent="0.25">
      <c r="V794" s="142"/>
    </row>
    <row r="795" spans="22:22" x14ac:dyDescent="0.25">
      <c r="V795" s="142"/>
    </row>
    <row r="796" spans="22:22" x14ac:dyDescent="0.25">
      <c r="V796" s="142"/>
    </row>
    <row r="797" spans="22:22" x14ac:dyDescent="0.25">
      <c r="V797" s="142"/>
    </row>
    <row r="798" spans="22:22" x14ac:dyDescent="0.25">
      <c r="V798" s="142"/>
    </row>
    <row r="799" spans="22:22" x14ac:dyDescent="0.25">
      <c r="V799" s="142"/>
    </row>
    <row r="800" spans="22:22" x14ac:dyDescent="0.25">
      <c r="V800" s="142"/>
    </row>
    <row r="801" spans="22:22" x14ac:dyDescent="0.25">
      <c r="V801" s="142"/>
    </row>
    <row r="802" spans="22:22" x14ac:dyDescent="0.25">
      <c r="V802" s="142"/>
    </row>
    <row r="803" spans="22:22" x14ac:dyDescent="0.25">
      <c r="V803" s="142"/>
    </row>
    <row r="804" spans="22:22" x14ac:dyDescent="0.25">
      <c r="V804" s="142"/>
    </row>
    <row r="805" spans="22:22" x14ac:dyDescent="0.25">
      <c r="V805" s="142"/>
    </row>
    <row r="806" spans="22:22" x14ac:dyDescent="0.25">
      <c r="V806" s="142"/>
    </row>
    <row r="807" spans="22:22" x14ac:dyDescent="0.25">
      <c r="V807" s="142"/>
    </row>
    <row r="808" spans="22:22" x14ac:dyDescent="0.25">
      <c r="V808" s="142"/>
    </row>
    <row r="809" spans="22:22" x14ac:dyDescent="0.25">
      <c r="V809" s="142"/>
    </row>
    <row r="810" spans="22:22" x14ac:dyDescent="0.25">
      <c r="V810" s="142"/>
    </row>
    <row r="811" spans="22:22" x14ac:dyDescent="0.25">
      <c r="V811" s="142"/>
    </row>
    <row r="812" spans="22:22" x14ac:dyDescent="0.25">
      <c r="V812" s="142"/>
    </row>
    <row r="813" spans="22:22" x14ac:dyDescent="0.25">
      <c r="V813" s="142"/>
    </row>
    <row r="814" spans="22:22" x14ac:dyDescent="0.25">
      <c r="V814" s="142"/>
    </row>
    <row r="815" spans="22:22" x14ac:dyDescent="0.25">
      <c r="V815" s="142"/>
    </row>
    <row r="816" spans="22:22" x14ac:dyDescent="0.25">
      <c r="V816" s="142"/>
    </row>
    <row r="817" spans="22:22" x14ac:dyDescent="0.25">
      <c r="V817" s="142"/>
    </row>
    <row r="818" spans="22:22" x14ac:dyDescent="0.25">
      <c r="V818" s="142"/>
    </row>
    <row r="819" spans="22:22" x14ac:dyDescent="0.25">
      <c r="V819" s="142"/>
    </row>
    <row r="820" spans="22:22" x14ac:dyDescent="0.25">
      <c r="V820" s="142"/>
    </row>
    <row r="821" spans="22:22" x14ac:dyDescent="0.25">
      <c r="V821" s="142"/>
    </row>
    <row r="822" spans="22:22" x14ac:dyDescent="0.25">
      <c r="V822" s="142"/>
    </row>
    <row r="823" spans="22:22" x14ac:dyDescent="0.25">
      <c r="V823" s="142"/>
    </row>
    <row r="824" spans="22:22" x14ac:dyDescent="0.25">
      <c r="V824" s="142"/>
    </row>
    <row r="825" spans="22:22" x14ac:dyDescent="0.25">
      <c r="V825" s="142"/>
    </row>
    <row r="826" spans="22:22" x14ac:dyDescent="0.25">
      <c r="V826" s="142"/>
    </row>
    <row r="827" spans="22:22" x14ac:dyDescent="0.25">
      <c r="V827" s="142"/>
    </row>
    <row r="828" spans="22:22" x14ac:dyDescent="0.25">
      <c r="V828" s="142"/>
    </row>
    <row r="829" spans="22:22" x14ac:dyDescent="0.25">
      <c r="V829" s="142"/>
    </row>
    <row r="830" spans="22:22" x14ac:dyDescent="0.25">
      <c r="V830" s="142"/>
    </row>
    <row r="831" spans="22:22" x14ac:dyDescent="0.25">
      <c r="V831" s="142"/>
    </row>
    <row r="832" spans="22:22" x14ac:dyDescent="0.25">
      <c r="V832" s="142"/>
    </row>
    <row r="833" spans="22:22" x14ac:dyDescent="0.25">
      <c r="V833" s="142"/>
    </row>
    <row r="834" spans="22:22" x14ac:dyDescent="0.25">
      <c r="V834" s="142"/>
    </row>
    <row r="835" spans="22:22" x14ac:dyDescent="0.25">
      <c r="V835" s="142"/>
    </row>
    <row r="836" spans="22:22" x14ac:dyDescent="0.25">
      <c r="V836" s="142"/>
    </row>
    <row r="837" spans="22:22" x14ac:dyDescent="0.25">
      <c r="V837" s="142"/>
    </row>
    <row r="838" spans="22:22" x14ac:dyDescent="0.25">
      <c r="V838" s="142"/>
    </row>
    <row r="839" spans="22:22" x14ac:dyDescent="0.25">
      <c r="V839" s="142"/>
    </row>
    <row r="840" spans="22:22" x14ac:dyDescent="0.25">
      <c r="V840" s="142"/>
    </row>
    <row r="841" spans="22:22" x14ac:dyDescent="0.25">
      <c r="V841" s="142"/>
    </row>
    <row r="842" spans="22:22" x14ac:dyDescent="0.25">
      <c r="V842" s="142"/>
    </row>
    <row r="843" spans="22:22" x14ac:dyDescent="0.25">
      <c r="V843" s="142"/>
    </row>
    <row r="844" spans="22:22" x14ac:dyDescent="0.25">
      <c r="V844" s="142"/>
    </row>
    <row r="845" spans="22:22" x14ac:dyDescent="0.25">
      <c r="V845" s="142"/>
    </row>
    <row r="846" spans="22:22" x14ac:dyDescent="0.25">
      <c r="V846" s="142"/>
    </row>
    <row r="847" spans="22:22" x14ac:dyDescent="0.25">
      <c r="V847" s="142"/>
    </row>
    <row r="848" spans="22:22" x14ac:dyDescent="0.25">
      <c r="V848" s="142"/>
    </row>
    <row r="849" spans="22:22" x14ac:dyDescent="0.25">
      <c r="V849" s="142"/>
    </row>
    <row r="850" spans="22:22" x14ac:dyDescent="0.25">
      <c r="V850" s="142"/>
    </row>
    <row r="851" spans="22:22" x14ac:dyDescent="0.25">
      <c r="V851" s="142"/>
    </row>
    <row r="852" spans="22:22" x14ac:dyDescent="0.25">
      <c r="V852" s="142"/>
    </row>
    <row r="853" spans="22:22" x14ac:dyDescent="0.25">
      <c r="V853" s="142"/>
    </row>
    <row r="854" spans="22:22" x14ac:dyDescent="0.25">
      <c r="V854" s="142"/>
    </row>
    <row r="855" spans="22:22" x14ac:dyDescent="0.25">
      <c r="V855" s="142"/>
    </row>
    <row r="856" spans="22:22" x14ac:dyDescent="0.25">
      <c r="V856" s="142"/>
    </row>
    <row r="857" spans="22:22" x14ac:dyDescent="0.25">
      <c r="V857" s="142"/>
    </row>
    <row r="858" spans="22:22" x14ac:dyDescent="0.25">
      <c r="V858" s="142"/>
    </row>
    <row r="859" spans="22:22" x14ac:dyDescent="0.25">
      <c r="V859" s="142"/>
    </row>
    <row r="860" spans="22:22" x14ac:dyDescent="0.25">
      <c r="V860" s="142"/>
    </row>
    <row r="861" spans="22:22" x14ac:dyDescent="0.25">
      <c r="V861" s="142"/>
    </row>
    <row r="862" spans="22:22" x14ac:dyDescent="0.25">
      <c r="V862" s="142"/>
    </row>
    <row r="863" spans="22:22" x14ac:dyDescent="0.25">
      <c r="V863" s="142"/>
    </row>
    <row r="864" spans="22:22" x14ac:dyDescent="0.25">
      <c r="V864" s="142"/>
    </row>
    <row r="865" spans="22:22" x14ac:dyDescent="0.25">
      <c r="V865" s="142"/>
    </row>
    <row r="866" spans="22:22" x14ac:dyDescent="0.25">
      <c r="V866" s="142"/>
    </row>
    <row r="867" spans="22:22" x14ac:dyDescent="0.25">
      <c r="V867" s="142"/>
    </row>
    <row r="868" spans="22:22" x14ac:dyDescent="0.25">
      <c r="V868" s="142"/>
    </row>
    <row r="869" spans="22:22" x14ac:dyDescent="0.25">
      <c r="V869" s="142"/>
    </row>
    <row r="870" spans="22:22" x14ac:dyDescent="0.25">
      <c r="V870" s="142"/>
    </row>
    <row r="871" spans="22:22" x14ac:dyDescent="0.25">
      <c r="V871" s="142"/>
    </row>
    <row r="872" spans="22:22" x14ac:dyDescent="0.25">
      <c r="V872" s="142"/>
    </row>
    <row r="873" spans="22:22" x14ac:dyDescent="0.25">
      <c r="V873" s="142"/>
    </row>
    <row r="874" spans="22:22" x14ac:dyDescent="0.25">
      <c r="V874" s="142"/>
    </row>
    <row r="875" spans="22:22" x14ac:dyDescent="0.25">
      <c r="V875" s="142"/>
    </row>
    <row r="876" spans="22:22" x14ac:dyDescent="0.25">
      <c r="V876" s="142"/>
    </row>
    <row r="877" spans="22:22" x14ac:dyDescent="0.25">
      <c r="V877" s="142"/>
    </row>
    <row r="878" spans="22:22" x14ac:dyDescent="0.25">
      <c r="V878" s="142"/>
    </row>
    <row r="879" spans="22:22" x14ac:dyDescent="0.25">
      <c r="V879" s="142"/>
    </row>
    <row r="880" spans="22:22" x14ac:dyDescent="0.25">
      <c r="V880" s="142"/>
    </row>
    <row r="881" spans="22:22" x14ac:dyDescent="0.25">
      <c r="V881" s="142"/>
    </row>
    <row r="882" spans="22:22" x14ac:dyDescent="0.25">
      <c r="V882" s="142"/>
    </row>
    <row r="883" spans="22:22" x14ac:dyDescent="0.25">
      <c r="V883" s="142"/>
    </row>
    <row r="884" spans="22:22" x14ac:dyDescent="0.25">
      <c r="V884" s="142"/>
    </row>
    <row r="885" spans="22:22" x14ac:dyDescent="0.25">
      <c r="V885" s="142"/>
    </row>
    <row r="886" spans="22:22" x14ac:dyDescent="0.25">
      <c r="V886" s="142"/>
    </row>
    <row r="887" spans="22:22" x14ac:dyDescent="0.25">
      <c r="V887" s="142"/>
    </row>
    <row r="888" spans="22:22" x14ac:dyDescent="0.25">
      <c r="V888" s="142"/>
    </row>
    <row r="889" spans="22:22" x14ac:dyDescent="0.25">
      <c r="V889" s="142"/>
    </row>
    <row r="890" spans="22:22" x14ac:dyDescent="0.25">
      <c r="V890" s="142"/>
    </row>
    <row r="891" spans="22:22" x14ac:dyDescent="0.25">
      <c r="V891" s="142"/>
    </row>
    <row r="892" spans="22:22" x14ac:dyDescent="0.25">
      <c r="V892" s="142"/>
    </row>
    <row r="893" spans="22:22" x14ac:dyDescent="0.25">
      <c r="V893" s="142"/>
    </row>
    <row r="894" spans="22:22" x14ac:dyDescent="0.25">
      <c r="V894" s="142"/>
    </row>
    <row r="895" spans="22:22" x14ac:dyDescent="0.25">
      <c r="V895" s="142"/>
    </row>
    <row r="896" spans="22:22" x14ac:dyDescent="0.25">
      <c r="V896" s="142"/>
    </row>
    <row r="897" spans="22:22" x14ac:dyDescent="0.25">
      <c r="V897" s="142"/>
    </row>
    <row r="898" spans="22:22" x14ac:dyDescent="0.25">
      <c r="V898" s="142"/>
    </row>
    <row r="899" spans="22:22" x14ac:dyDescent="0.25">
      <c r="V899" s="142"/>
    </row>
    <row r="900" spans="22:22" x14ac:dyDescent="0.25">
      <c r="V900" s="142"/>
    </row>
    <row r="901" spans="22:22" x14ac:dyDescent="0.25">
      <c r="V901" s="142"/>
    </row>
    <row r="902" spans="22:22" x14ac:dyDescent="0.25">
      <c r="V902" s="142"/>
    </row>
    <row r="903" spans="22:22" x14ac:dyDescent="0.25">
      <c r="V903" s="142"/>
    </row>
    <row r="904" spans="22:22" x14ac:dyDescent="0.25">
      <c r="V904" s="142"/>
    </row>
    <row r="905" spans="22:22" x14ac:dyDescent="0.25">
      <c r="V905" s="142"/>
    </row>
    <row r="906" spans="22:22" x14ac:dyDescent="0.25">
      <c r="V906" s="142"/>
    </row>
    <row r="907" spans="22:22" x14ac:dyDescent="0.25">
      <c r="V907" s="142"/>
    </row>
    <row r="908" spans="22:22" x14ac:dyDescent="0.25">
      <c r="V908" s="142"/>
    </row>
    <row r="909" spans="22:22" x14ac:dyDescent="0.25">
      <c r="V909" s="142"/>
    </row>
    <row r="910" spans="22:22" x14ac:dyDescent="0.25">
      <c r="V910" s="142"/>
    </row>
    <row r="911" spans="22:22" x14ac:dyDescent="0.25">
      <c r="V911" s="142"/>
    </row>
    <row r="912" spans="22:22" x14ac:dyDescent="0.25">
      <c r="V912" s="142"/>
    </row>
    <row r="913" spans="22:22" x14ac:dyDescent="0.25">
      <c r="V913" s="142"/>
    </row>
    <row r="914" spans="22:22" x14ac:dyDescent="0.25">
      <c r="V914" s="142"/>
    </row>
    <row r="915" spans="22:22" x14ac:dyDescent="0.25">
      <c r="V915" s="142"/>
    </row>
    <row r="916" spans="22:22" x14ac:dyDescent="0.25">
      <c r="V916" s="142"/>
    </row>
    <row r="917" spans="22:22" x14ac:dyDescent="0.25">
      <c r="V917" s="142"/>
    </row>
    <row r="918" spans="22:22" x14ac:dyDescent="0.25">
      <c r="V918" s="142"/>
    </row>
    <row r="919" spans="22:22" x14ac:dyDescent="0.25">
      <c r="V919" s="142"/>
    </row>
    <row r="920" spans="22:22" x14ac:dyDescent="0.25">
      <c r="V920" s="142"/>
    </row>
    <row r="921" spans="22:22" x14ac:dyDescent="0.25">
      <c r="V921" s="142"/>
    </row>
    <row r="922" spans="22:22" x14ac:dyDescent="0.25">
      <c r="V922" s="142"/>
    </row>
    <row r="923" spans="22:22" x14ac:dyDescent="0.25">
      <c r="V923" s="142"/>
    </row>
    <row r="924" spans="22:22" x14ac:dyDescent="0.25">
      <c r="V924" s="142"/>
    </row>
    <row r="925" spans="22:22" x14ac:dyDescent="0.25">
      <c r="V925" s="142"/>
    </row>
    <row r="926" spans="22:22" x14ac:dyDescent="0.25">
      <c r="V926" s="142"/>
    </row>
    <row r="927" spans="22:22" x14ac:dyDescent="0.25">
      <c r="V927" s="142"/>
    </row>
    <row r="928" spans="22:22" x14ac:dyDescent="0.25">
      <c r="V928" s="142"/>
    </row>
    <row r="929" spans="22:22" x14ac:dyDescent="0.25">
      <c r="V929" s="142"/>
    </row>
    <row r="930" spans="22:22" x14ac:dyDescent="0.25">
      <c r="V930" s="142"/>
    </row>
    <row r="931" spans="22:22" x14ac:dyDescent="0.25">
      <c r="V931" s="142"/>
    </row>
    <row r="932" spans="22:22" x14ac:dyDescent="0.25">
      <c r="V932" s="142"/>
    </row>
    <row r="933" spans="22:22" x14ac:dyDescent="0.25">
      <c r="V933" s="142"/>
    </row>
    <row r="934" spans="22:22" x14ac:dyDescent="0.25">
      <c r="V934" s="142"/>
    </row>
    <row r="935" spans="22:22" x14ac:dyDescent="0.25">
      <c r="V935" s="142"/>
    </row>
    <row r="936" spans="22:22" x14ac:dyDescent="0.25">
      <c r="V936" s="142"/>
    </row>
    <row r="937" spans="22:22" x14ac:dyDescent="0.25">
      <c r="V937" s="142"/>
    </row>
    <row r="938" spans="22:22" x14ac:dyDescent="0.25">
      <c r="V938" s="142"/>
    </row>
    <row r="939" spans="22:22" x14ac:dyDescent="0.25">
      <c r="V939" s="142"/>
    </row>
    <row r="940" spans="22:22" x14ac:dyDescent="0.25">
      <c r="V940" s="142"/>
    </row>
    <row r="941" spans="22:22" x14ac:dyDescent="0.25">
      <c r="V941" s="142"/>
    </row>
    <row r="942" spans="22:22" x14ac:dyDescent="0.25">
      <c r="V942" s="142"/>
    </row>
    <row r="943" spans="22:22" x14ac:dyDescent="0.25">
      <c r="V943" s="142"/>
    </row>
    <row r="944" spans="22:22" x14ac:dyDescent="0.25">
      <c r="V944" s="142"/>
    </row>
    <row r="945" spans="22:22" x14ac:dyDescent="0.25">
      <c r="V945" s="142"/>
    </row>
    <row r="946" spans="22:22" x14ac:dyDescent="0.25">
      <c r="V946" s="142"/>
    </row>
    <row r="947" spans="22:22" x14ac:dyDescent="0.25">
      <c r="V947" s="142"/>
    </row>
    <row r="948" spans="22:22" x14ac:dyDescent="0.25">
      <c r="V948" s="142"/>
    </row>
    <row r="949" spans="22:22" x14ac:dyDescent="0.25">
      <c r="V949" s="142"/>
    </row>
    <row r="950" spans="22:22" x14ac:dyDescent="0.25">
      <c r="V950" s="142"/>
    </row>
    <row r="951" spans="22:22" x14ac:dyDescent="0.25">
      <c r="V951" s="142"/>
    </row>
    <row r="952" spans="22:22" x14ac:dyDescent="0.25">
      <c r="V952" s="142"/>
    </row>
    <row r="953" spans="22:22" x14ac:dyDescent="0.25">
      <c r="V953" s="142"/>
    </row>
    <row r="954" spans="22:22" x14ac:dyDescent="0.25">
      <c r="V954" s="142"/>
    </row>
    <row r="955" spans="22:22" x14ac:dyDescent="0.25">
      <c r="V955" s="142"/>
    </row>
    <row r="956" spans="22:22" x14ac:dyDescent="0.25">
      <c r="V956" s="142"/>
    </row>
    <row r="957" spans="22:22" x14ac:dyDescent="0.25">
      <c r="V957" s="142"/>
    </row>
    <row r="958" spans="22:22" x14ac:dyDescent="0.25">
      <c r="V958" s="142"/>
    </row>
    <row r="959" spans="22:22" x14ac:dyDescent="0.25">
      <c r="V959" s="142"/>
    </row>
    <row r="960" spans="22:22" x14ac:dyDescent="0.25">
      <c r="V960" s="142"/>
    </row>
    <row r="961" spans="22:22" x14ac:dyDescent="0.25">
      <c r="V961" s="142"/>
    </row>
    <row r="962" spans="22:22" x14ac:dyDescent="0.25">
      <c r="V962" s="142"/>
    </row>
    <row r="963" spans="22:22" x14ac:dyDescent="0.25">
      <c r="V963" s="142"/>
    </row>
    <row r="964" spans="22:22" x14ac:dyDescent="0.25">
      <c r="V964" s="142"/>
    </row>
    <row r="965" spans="22:22" x14ac:dyDescent="0.25">
      <c r="V965" s="142"/>
    </row>
    <row r="966" spans="22:22" x14ac:dyDescent="0.25">
      <c r="V966" s="142"/>
    </row>
    <row r="967" spans="22:22" x14ac:dyDescent="0.25">
      <c r="V967" s="142"/>
    </row>
    <row r="968" spans="22:22" x14ac:dyDescent="0.25">
      <c r="V968" s="142"/>
    </row>
    <row r="969" spans="22:22" x14ac:dyDescent="0.25">
      <c r="V969" s="142"/>
    </row>
    <row r="970" spans="22:22" x14ac:dyDescent="0.25">
      <c r="V970" s="142"/>
    </row>
    <row r="971" spans="22:22" x14ac:dyDescent="0.25">
      <c r="V971" s="142"/>
    </row>
    <row r="972" spans="22:22" x14ac:dyDescent="0.25">
      <c r="V972" s="142"/>
    </row>
    <row r="973" spans="22:22" x14ac:dyDescent="0.25">
      <c r="V973" s="142"/>
    </row>
    <row r="974" spans="22:22" x14ac:dyDescent="0.25">
      <c r="V974" s="142"/>
    </row>
    <row r="975" spans="22:22" x14ac:dyDescent="0.25">
      <c r="V975" s="142"/>
    </row>
    <row r="976" spans="22:22" x14ac:dyDescent="0.25">
      <c r="V976" s="142"/>
    </row>
    <row r="977" spans="22:22" x14ac:dyDescent="0.25">
      <c r="V977" s="142"/>
    </row>
    <row r="978" spans="22:22" x14ac:dyDescent="0.25">
      <c r="V978" s="142"/>
    </row>
    <row r="979" spans="22:22" x14ac:dyDescent="0.25">
      <c r="V979" s="142"/>
    </row>
    <row r="980" spans="22:22" x14ac:dyDescent="0.25">
      <c r="V980" s="142"/>
    </row>
    <row r="981" spans="22:22" x14ac:dyDescent="0.25">
      <c r="V981" s="142"/>
    </row>
    <row r="982" spans="22:22" x14ac:dyDescent="0.25">
      <c r="V982" s="142"/>
    </row>
    <row r="983" spans="22:22" x14ac:dyDescent="0.25">
      <c r="V983" s="142"/>
    </row>
    <row r="984" spans="22:22" x14ac:dyDescent="0.25">
      <c r="V984" s="142"/>
    </row>
    <row r="985" spans="22:22" x14ac:dyDescent="0.25">
      <c r="V985" s="142"/>
    </row>
    <row r="986" spans="22:22" x14ac:dyDescent="0.25">
      <c r="V986" s="142"/>
    </row>
    <row r="987" spans="22:22" x14ac:dyDescent="0.25">
      <c r="V987" s="142"/>
    </row>
    <row r="988" spans="22:22" x14ac:dyDescent="0.25">
      <c r="V988" s="142"/>
    </row>
    <row r="989" spans="22:22" x14ac:dyDescent="0.25">
      <c r="V989" s="142"/>
    </row>
    <row r="990" spans="22:22" x14ac:dyDescent="0.25">
      <c r="V990" s="142"/>
    </row>
    <row r="991" spans="22:22" x14ac:dyDescent="0.25">
      <c r="V991" s="142"/>
    </row>
    <row r="992" spans="22:22" x14ac:dyDescent="0.25">
      <c r="V992" s="142"/>
    </row>
    <row r="993" spans="22:22" x14ac:dyDescent="0.25">
      <c r="V993" s="142"/>
    </row>
    <row r="994" spans="22:22" x14ac:dyDescent="0.25">
      <c r="V994" s="142"/>
    </row>
    <row r="995" spans="22:22" x14ac:dyDescent="0.25">
      <c r="V995" s="142"/>
    </row>
    <row r="996" spans="22:22" x14ac:dyDescent="0.25">
      <c r="V996" s="142"/>
    </row>
    <row r="997" spans="22:22" x14ac:dyDescent="0.25">
      <c r="V997" s="142"/>
    </row>
    <row r="998" spans="22:22" x14ac:dyDescent="0.25">
      <c r="V998" s="142"/>
    </row>
    <row r="999" spans="22:22" x14ac:dyDescent="0.25">
      <c r="V999" s="142"/>
    </row>
    <row r="1000" spans="22:22" x14ac:dyDescent="0.25">
      <c r="V1000" s="142"/>
    </row>
    <row r="1001" spans="22:22" x14ac:dyDescent="0.25">
      <c r="V1001" s="142"/>
    </row>
    <row r="1002" spans="22:22" x14ac:dyDescent="0.25">
      <c r="V1002" s="142"/>
    </row>
    <row r="1003" spans="22:22" x14ac:dyDescent="0.25">
      <c r="V1003" s="142"/>
    </row>
    <row r="1004" spans="22:22" x14ac:dyDescent="0.25">
      <c r="V1004" s="142"/>
    </row>
    <row r="1005" spans="22:22" x14ac:dyDescent="0.25">
      <c r="V1005" s="142"/>
    </row>
    <row r="1006" spans="22:22" x14ac:dyDescent="0.25">
      <c r="V1006" s="142"/>
    </row>
    <row r="1007" spans="22:22" x14ac:dyDescent="0.25">
      <c r="V1007" s="142"/>
    </row>
    <row r="1008" spans="22:22" x14ac:dyDescent="0.25">
      <c r="V1008" s="142"/>
    </row>
    <row r="1009" spans="22:22" x14ac:dyDescent="0.25">
      <c r="V1009" s="142"/>
    </row>
    <row r="1010" spans="22:22" x14ac:dyDescent="0.25">
      <c r="V1010" s="142"/>
    </row>
    <row r="1011" spans="22:22" x14ac:dyDescent="0.25">
      <c r="V1011" s="142"/>
    </row>
    <row r="1012" spans="22:22" x14ac:dyDescent="0.25">
      <c r="V1012" s="142"/>
    </row>
    <row r="1013" spans="22:22" x14ac:dyDescent="0.25">
      <c r="V1013" s="142"/>
    </row>
    <row r="1014" spans="22:22" x14ac:dyDescent="0.25">
      <c r="V1014" s="142"/>
    </row>
    <row r="1015" spans="22:22" x14ac:dyDescent="0.25">
      <c r="V1015" s="142"/>
    </row>
    <row r="1016" spans="22:22" x14ac:dyDescent="0.25">
      <c r="V1016" s="142"/>
    </row>
    <row r="1017" spans="22:22" x14ac:dyDescent="0.25">
      <c r="V1017" s="142"/>
    </row>
    <row r="1018" spans="22:22" x14ac:dyDescent="0.25">
      <c r="V1018" s="142"/>
    </row>
    <row r="1019" spans="22:22" x14ac:dyDescent="0.25">
      <c r="V1019" s="142"/>
    </row>
    <row r="1020" spans="22:22" x14ac:dyDescent="0.25">
      <c r="V1020" s="142"/>
    </row>
    <row r="1021" spans="22:22" x14ac:dyDescent="0.25">
      <c r="V1021" s="142"/>
    </row>
    <row r="1022" spans="22:22" x14ac:dyDescent="0.25">
      <c r="V1022" s="142"/>
    </row>
    <row r="1023" spans="22:22" x14ac:dyDescent="0.25">
      <c r="V1023" s="142"/>
    </row>
    <row r="1024" spans="22:22" x14ac:dyDescent="0.25">
      <c r="V1024" s="142"/>
    </row>
    <row r="1025" spans="22:22" x14ac:dyDescent="0.25">
      <c r="V1025" s="142"/>
    </row>
    <row r="1026" spans="22:22" x14ac:dyDescent="0.25">
      <c r="V1026" s="142"/>
    </row>
    <row r="1027" spans="22:22" x14ac:dyDescent="0.25">
      <c r="V1027" s="142"/>
    </row>
    <row r="1028" spans="22:22" x14ac:dyDescent="0.25">
      <c r="V1028" s="142"/>
    </row>
    <row r="1029" spans="22:22" x14ac:dyDescent="0.25">
      <c r="V1029" s="142"/>
    </row>
    <row r="1030" spans="22:22" x14ac:dyDescent="0.25">
      <c r="V1030" s="142"/>
    </row>
    <row r="1031" spans="22:22" x14ac:dyDescent="0.25">
      <c r="V1031" s="142"/>
    </row>
    <row r="1032" spans="22:22" x14ac:dyDescent="0.25">
      <c r="V1032" s="142"/>
    </row>
    <row r="1033" spans="22:22" x14ac:dyDescent="0.25">
      <c r="V1033" s="142"/>
    </row>
    <row r="1034" spans="22:22" x14ac:dyDescent="0.25">
      <c r="V1034" s="142"/>
    </row>
    <row r="1035" spans="22:22" x14ac:dyDescent="0.25">
      <c r="V1035" s="142"/>
    </row>
    <row r="1036" spans="22:22" x14ac:dyDescent="0.25">
      <c r="V1036" s="142"/>
    </row>
    <row r="1037" spans="22:22" x14ac:dyDescent="0.25">
      <c r="V1037" s="142"/>
    </row>
    <row r="1038" spans="22:22" x14ac:dyDescent="0.25">
      <c r="V1038" s="142"/>
    </row>
    <row r="1039" spans="22:22" x14ac:dyDescent="0.25">
      <c r="V1039" s="142"/>
    </row>
    <row r="1040" spans="22:22" x14ac:dyDescent="0.25">
      <c r="V1040" s="142"/>
    </row>
    <row r="1041" spans="22:22" x14ac:dyDescent="0.25">
      <c r="V1041" s="142"/>
    </row>
    <row r="1042" spans="22:22" x14ac:dyDescent="0.25">
      <c r="V1042" s="142"/>
    </row>
    <row r="1043" spans="22:22" x14ac:dyDescent="0.25">
      <c r="V1043" s="142"/>
    </row>
    <row r="1044" spans="22:22" x14ac:dyDescent="0.25">
      <c r="V1044" s="142"/>
    </row>
    <row r="1045" spans="22:22" x14ac:dyDescent="0.25">
      <c r="V1045" s="142"/>
    </row>
    <row r="1046" spans="22:22" x14ac:dyDescent="0.25">
      <c r="V1046" s="142"/>
    </row>
    <row r="1047" spans="22:22" x14ac:dyDescent="0.25">
      <c r="V1047" s="142"/>
    </row>
    <row r="1048" spans="22:22" x14ac:dyDescent="0.25">
      <c r="V1048" s="142"/>
    </row>
    <row r="1049" spans="22:22" x14ac:dyDescent="0.25">
      <c r="V1049" s="142"/>
    </row>
    <row r="1050" spans="22:22" x14ac:dyDescent="0.25">
      <c r="V1050" s="142"/>
    </row>
    <row r="1051" spans="22:22" x14ac:dyDescent="0.25">
      <c r="V1051" s="142"/>
    </row>
    <row r="1052" spans="22:22" x14ac:dyDescent="0.25">
      <c r="V1052" s="142"/>
    </row>
    <row r="1053" spans="22:22" x14ac:dyDescent="0.25">
      <c r="V1053" s="142"/>
    </row>
    <row r="1054" spans="22:22" x14ac:dyDescent="0.25">
      <c r="V1054" s="142"/>
    </row>
    <row r="1055" spans="22:22" x14ac:dyDescent="0.25">
      <c r="V1055" s="142"/>
    </row>
    <row r="1056" spans="22:22" x14ac:dyDescent="0.25">
      <c r="V1056" s="142"/>
    </row>
    <row r="1057" spans="22:22" x14ac:dyDescent="0.25">
      <c r="V1057" s="142"/>
    </row>
    <row r="1058" spans="22:22" x14ac:dyDescent="0.25">
      <c r="V1058" s="142"/>
    </row>
    <row r="1059" spans="22:22" x14ac:dyDescent="0.25">
      <c r="V1059" s="142"/>
    </row>
    <row r="1060" spans="22:22" x14ac:dyDescent="0.25">
      <c r="V1060" s="142"/>
    </row>
    <row r="1061" spans="22:22" x14ac:dyDescent="0.25">
      <c r="V1061" s="142"/>
    </row>
    <row r="1062" spans="22:22" x14ac:dyDescent="0.25">
      <c r="V1062" s="142"/>
    </row>
    <row r="1063" spans="22:22" x14ac:dyDescent="0.25">
      <c r="V1063" s="142"/>
    </row>
    <row r="1064" spans="22:22" x14ac:dyDescent="0.25">
      <c r="V1064" s="142"/>
    </row>
    <row r="1065" spans="22:22" x14ac:dyDescent="0.25">
      <c r="V1065" s="142"/>
    </row>
    <row r="1066" spans="22:22" x14ac:dyDescent="0.25">
      <c r="V1066" s="142"/>
    </row>
    <row r="1067" spans="22:22" x14ac:dyDescent="0.25">
      <c r="V1067" s="142"/>
    </row>
    <row r="1068" spans="22:22" x14ac:dyDescent="0.25">
      <c r="V1068" s="142"/>
    </row>
    <row r="1069" spans="22:22" x14ac:dyDescent="0.25">
      <c r="V1069" s="142"/>
    </row>
    <row r="1070" spans="22:22" x14ac:dyDescent="0.25">
      <c r="V1070" s="142"/>
    </row>
    <row r="1071" spans="22:22" x14ac:dyDescent="0.25">
      <c r="V1071" s="142"/>
    </row>
    <row r="1072" spans="22:22" x14ac:dyDescent="0.25">
      <c r="V1072" s="142"/>
    </row>
    <row r="1073" spans="22:22" x14ac:dyDescent="0.25">
      <c r="V1073" s="142"/>
    </row>
    <row r="1074" spans="22:22" x14ac:dyDescent="0.25">
      <c r="V1074" s="142"/>
    </row>
    <row r="1075" spans="22:22" x14ac:dyDescent="0.25">
      <c r="V1075" s="142"/>
    </row>
    <row r="1076" spans="22:22" x14ac:dyDescent="0.25">
      <c r="V1076" s="142"/>
    </row>
    <row r="1077" spans="22:22" x14ac:dyDescent="0.25">
      <c r="V1077" s="142"/>
    </row>
    <row r="1078" spans="22:22" x14ac:dyDescent="0.25">
      <c r="V1078" s="142"/>
    </row>
    <row r="1079" spans="22:22" x14ac:dyDescent="0.25">
      <c r="V1079" s="142"/>
    </row>
    <row r="1080" spans="22:22" x14ac:dyDescent="0.25">
      <c r="V1080" s="142"/>
    </row>
    <row r="1081" spans="22:22" x14ac:dyDescent="0.25">
      <c r="V1081" s="142"/>
    </row>
    <row r="1082" spans="22:22" x14ac:dyDescent="0.25">
      <c r="V1082" s="142"/>
    </row>
    <row r="1083" spans="22:22" x14ac:dyDescent="0.25">
      <c r="V1083" s="142"/>
    </row>
    <row r="1084" spans="22:22" x14ac:dyDescent="0.25">
      <c r="V1084" s="142"/>
    </row>
    <row r="1085" spans="22:22" x14ac:dyDescent="0.25">
      <c r="V1085" s="142"/>
    </row>
    <row r="1086" spans="22:22" x14ac:dyDescent="0.25">
      <c r="V1086" s="142"/>
    </row>
    <row r="1087" spans="22:22" x14ac:dyDescent="0.25">
      <c r="V1087" s="142"/>
    </row>
    <row r="1088" spans="22:22" x14ac:dyDescent="0.25">
      <c r="V1088" s="142"/>
    </row>
    <row r="1089" spans="22:22" x14ac:dyDescent="0.25">
      <c r="V1089" s="142"/>
    </row>
    <row r="1090" spans="22:22" x14ac:dyDescent="0.25">
      <c r="V1090" s="142"/>
    </row>
    <row r="1091" spans="22:22" x14ac:dyDescent="0.25">
      <c r="V1091" s="142"/>
    </row>
    <row r="1092" spans="22:22" x14ac:dyDescent="0.25">
      <c r="V1092" s="142"/>
    </row>
    <row r="1093" spans="22:22" x14ac:dyDescent="0.25">
      <c r="V1093" s="142"/>
    </row>
    <row r="1094" spans="22:22" x14ac:dyDescent="0.25">
      <c r="V1094" s="142"/>
    </row>
    <row r="1095" spans="22:22" x14ac:dyDescent="0.25">
      <c r="V1095" s="142"/>
    </row>
    <row r="1096" spans="22:22" x14ac:dyDescent="0.25">
      <c r="V1096" s="142"/>
    </row>
    <row r="1097" spans="22:22" x14ac:dyDescent="0.25">
      <c r="V1097" s="142"/>
    </row>
    <row r="1098" spans="22:22" x14ac:dyDescent="0.25">
      <c r="V1098" s="142"/>
    </row>
    <row r="1099" spans="22:22" x14ac:dyDescent="0.25">
      <c r="V1099" s="142"/>
    </row>
    <row r="1100" spans="22:22" x14ac:dyDescent="0.25">
      <c r="V1100" s="142"/>
    </row>
    <row r="1101" spans="22:22" x14ac:dyDescent="0.25">
      <c r="V1101" s="142"/>
    </row>
    <row r="1102" spans="22:22" x14ac:dyDescent="0.25">
      <c r="V1102" s="142"/>
    </row>
    <row r="1103" spans="22:22" x14ac:dyDescent="0.25">
      <c r="V1103" s="142"/>
    </row>
    <row r="1104" spans="22:22" x14ac:dyDescent="0.25">
      <c r="V1104" s="142"/>
    </row>
    <row r="1105" spans="22:22" x14ac:dyDescent="0.25">
      <c r="V1105" s="142"/>
    </row>
    <row r="1106" spans="22:22" x14ac:dyDescent="0.25">
      <c r="V1106" s="142"/>
    </row>
    <row r="1107" spans="22:22" x14ac:dyDescent="0.25">
      <c r="V1107" s="142"/>
    </row>
    <row r="1108" spans="22:22" x14ac:dyDescent="0.25">
      <c r="V1108" s="142"/>
    </row>
    <row r="1109" spans="22:22" x14ac:dyDescent="0.25">
      <c r="V1109" s="142"/>
    </row>
    <row r="1110" spans="22:22" x14ac:dyDescent="0.25">
      <c r="V1110" s="142"/>
    </row>
    <row r="1111" spans="22:22" x14ac:dyDescent="0.25">
      <c r="V1111" s="142"/>
    </row>
    <row r="1112" spans="22:22" x14ac:dyDescent="0.25">
      <c r="V1112" s="142"/>
    </row>
    <row r="1113" spans="22:22" x14ac:dyDescent="0.25">
      <c r="V1113" s="142"/>
    </row>
    <row r="1114" spans="22:22" x14ac:dyDescent="0.25">
      <c r="V1114" s="142"/>
    </row>
    <row r="1115" spans="22:22" x14ac:dyDescent="0.25">
      <c r="V1115" s="142"/>
    </row>
    <row r="1116" spans="22:22" x14ac:dyDescent="0.25">
      <c r="V1116" s="142"/>
    </row>
    <row r="1117" spans="22:22" x14ac:dyDescent="0.25">
      <c r="V1117" s="142"/>
    </row>
    <row r="1118" spans="22:22" x14ac:dyDescent="0.25">
      <c r="V1118" s="142"/>
    </row>
    <row r="1119" spans="22:22" x14ac:dyDescent="0.25">
      <c r="V1119" s="142"/>
    </row>
    <row r="1120" spans="22:22" x14ac:dyDescent="0.25">
      <c r="V1120" s="142"/>
    </row>
    <row r="1121" spans="22:22" x14ac:dyDescent="0.25">
      <c r="V1121" s="142"/>
    </row>
    <row r="1122" spans="22:22" x14ac:dyDescent="0.25">
      <c r="V1122" s="142"/>
    </row>
    <row r="1123" spans="22:22" x14ac:dyDescent="0.25">
      <c r="V1123" s="142"/>
    </row>
    <row r="1124" spans="22:22" x14ac:dyDescent="0.25">
      <c r="V1124" s="142"/>
    </row>
    <row r="1125" spans="22:22" x14ac:dyDescent="0.25">
      <c r="V1125" s="142"/>
    </row>
    <row r="1126" spans="22:22" x14ac:dyDescent="0.25">
      <c r="V1126" s="142"/>
    </row>
    <row r="1127" spans="22:22" x14ac:dyDescent="0.25">
      <c r="V1127" s="142"/>
    </row>
    <row r="1128" spans="22:22" x14ac:dyDescent="0.25">
      <c r="V1128" s="142"/>
    </row>
    <row r="1129" spans="22:22" x14ac:dyDescent="0.25">
      <c r="V1129" s="142"/>
    </row>
    <row r="1130" spans="22:22" x14ac:dyDescent="0.25">
      <c r="V1130" s="142"/>
    </row>
    <row r="1131" spans="22:22" x14ac:dyDescent="0.25">
      <c r="V1131" s="142"/>
    </row>
    <row r="1132" spans="22:22" x14ac:dyDescent="0.25">
      <c r="V1132" s="142"/>
    </row>
    <row r="1133" spans="22:22" x14ac:dyDescent="0.25">
      <c r="V1133" s="142"/>
    </row>
    <row r="1134" spans="22:22" x14ac:dyDescent="0.25">
      <c r="V1134" s="142"/>
    </row>
    <row r="1135" spans="22:22" x14ac:dyDescent="0.25">
      <c r="V1135" s="142"/>
    </row>
    <row r="1136" spans="22:22" x14ac:dyDescent="0.25">
      <c r="V1136" s="142"/>
    </row>
    <row r="1137" spans="22:22" x14ac:dyDescent="0.25">
      <c r="V1137" s="142"/>
    </row>
    <row r="1138" spans="22:22" x14ac:dyDescent="0.25">
      <c r="V1138" s="142"/>
    </row>
    <row r="1139" spans="22:22" x14ac:dyDescent="0.25">
      <c r="V1139" s="142"/>
    </row>
    <row r="1140" spans="22:22" x14ac:dyDescent="0.25">
      <c r="V1140" s="142"/>
    </row>
    <row r="1141" spans="22:22" x14ac:dyDescent="0.25">
      <c r="V1141" s="142"/>
    </row>
    <row r="1142" spans="22:22" x14ac:dyDescent="0.25">
      <c r="V1142" s="142"/>
    </row>
    <row r="1143" spans="22:22" x14ac:dyDescent="0.25">
      <c r="V1143" s="142"/>
    </row>
    <row r="1144" spans="22:22" x14ac:dyDescent="0.25">
      <c r="V1144" s="142"/>
    </row>
    <row r="1145" spans="22:22" x14ac:dyDescent="0.25">
      <c r="V1145" s="142"/>
    </row>
    <row r="1146" spans="22:22" x14ac:dyDescent="0.25">
      <c r="V1146" s="142"/>
    </row>
    <row r="1147" spans="22:22" x14ac:dyDescent="0.25">
      <c r="V1147" s="142"/>
    </row>
    <row r="1148" spans="22:22" x14ac:dyDescent="0.25">
      <c r="V1148" s="142"/>
    </row>
    <row r="1149" spans="22:22" x14ac:dyDescent="0.25">
      <c r="V1149" s="142"/>
    </row>
    <row r="1150" spans="22:22" x14ac:dyDescent="0.25">
      <c r="V1150" s="142"/>
    </row>
    <row r="1151" spans="22:22" x14ac:dyDescent="0.25">
      <c r="V1151" s="142"/>
    </row>
    <row r="1152" spans="22:22" x14ac:dyDescent="0.25">
      <c r="V1152" s="142"/>
    </row>
    <row r="1153" spans="22:22" x14ac:dyDescent="0.25">
      <c r="V1153" s="142"/>
    </row>
    <row r="1154" spans="22:22" x14ac:dyDescent="0.25">
      <c r="V1154" s="142"/>
    </row>
    <row r="1155" spans="22:22" x14ac:dyDescent="0.25">
      <c r="V1155" s="142"/>
    </row>
    <row r="1156" spans="22:22" x14ac:dyDescent="0.25">
      <c r="V1156" s="142"/>
    </row>
    <row r="1157" spans="22:22" x14ac:dyDescent="0.25">
      <c r="V1157" s="142"/>
    </row>
    <row r="1158" spans="22:22" x14ac:dyDescent="0.25">
      <c r="V1158" s="142"/>
    </row>
    <row r="1159" spans="22:22" x14ac:dyDescent="0.25">
      <c r="V1159" s="142"/>
    </row>
    <row r="1160" spans="22:22" x14ac:dyDescent="0.25">
      <c r="V1160" s="142"/>
    </row>
    <row r="1161" spans="22:22" x14ac:dyDescent="0.25">
      <c r="V1161" s="142"/>
    </row>
    <row r="1162" spans="22:22" x14ac:dyDescent="0.25">
      <c r="V1162" s="142"/>
    </row>
    <row r="1163" spans="22:22" x14ac:dyDescent="0.25">
      <c r="V1163" s="142"/>
    </row>
    <row r="1164" spans="22:22" x14ac:dyDescent="0.25">
      <c r="V1164" s="142"/>
    </row>
    <row r="1165" spans="22:22" x14ac:dyDescent="0.25">
      <c r="V1165" s="142"/>
    </row>
    <row r="1166" spans="22:22" x14ac:dyDescent="0.25">
      <c r="V1166" s="142"/>
    </row>
    <row r="1167" spans="22:22" x14ac:dyDescent="0.25">
      <c r="V1167" s="142"/>
    </row>
    <row r="1168" spans="22:22" x14ac:dyDescent="0.25">
      <c r="V1168" s="142"/>
    </row>
    <row r="1169" spans="22:22" x14ac:dyDescent="0.25">
      <c r="V1169" s="142"/>
    </row>
    <row r="1170" spans="22:22" x14ac:dyDescent="0.25">
      <c r="V1170" s="142"/>
    </row>
    <row r="1171" spans="22:22" x14ac:dyDescent="0.25">
      <c r="V1171" s="142"/>
    </row>
    <row r="1172" spans="22:22" x14ac:dyDescent="0.25">
      <c r="V1172" s="142"/>
    </row>
    <row r="1173" spans="22:22" x14ac:dyDescent="0.25">
      <c r="V1173" s="142"/>
    </row>
    <row r="1174" spans="22:22" x14ac:dyDescent="0.25">
      <c r="V1174" s="142"/>
    </row>
    <row r="1175" spans="22:22" x14ac:dyDescent="0.25">
      <c r="V1175" s="142"/>
    </row>
    <row r="1176" spans="22:22" x14ac:dyDescent="0.25">
      <c r="V1176" s="142"/>
    </row>
    <row r="1177" spans="22:22" x14ac:dyDescent="0.25">
      <c r="V1177" s="142"/>
    </row>
    <row r="1178" spans="22:22" x14ac:dyDescent="0.25">
      <c r="V1178" s="142"/>
    </row>
    <row r="1179" spans="22:22" x14ac:dyDescent="0.25">
      <c r="V1179" s="142"/>
    </row>
    <row r="1180" spans="22:22" x14ac:dyDescent="0.25">
      <c r="V1180" s="142"/>
    </row>
    <row r="1181" spans="22:22" x14ac:dyDescent="0.25">
      <c r="V1181" s="142"/>
    </row>
    <row r="1182" spans="22:22" x14ac:dyDescent="0.25">
      <c r="V1182" s="142"/>
    </row>
    <row r="1183" spans="22:22" x14ac:dyDescent="0.25">
      <c r="V1183" s="142"/>
    </row>
    <row r="1184" spans="22:22" x14ac:dyDescent="0.25">
      <c r="V1184" s="142"/>
    </row>
    <row r="1185" spans="22:22" x14ac:dyDescent="0.25">
      <c r="V1185" s="142"/>
    </row>
    <row r="1186" spans="22:22" x14ac:dyDescent="0.25">
      <c r="V1186" s="142"/>
    </row>
    <row r="1187" spans="22:22" x14ac:dyDescent="0.25">
      <c r="V1187" s="142"/>
    </row>
    <row r="1188" spans="22:22" x14ac:dyDescent="0.25">
      <c r="V1188" s="142"/>
    </row>
    <row r="1189" spans="22:22" x14ac:dyDescent="0.25">
      <c r="V1189" s="142"/>
    </row>
    <row r="1190" spans="22:22" x14ac:dyDescent="0.25">
      <c r="V1190" s="142"/>
    </row>
    <row r="1191" spans="22:22" x14ac:dyDescent="0.25">
      <c r="V1191" s="142"/>
    </row>
    <row r="1192" spans="22:22" x14ac:dyDescent="0.25">
      <c r="V1192" s="142"/>
    </row>
    <row r="1193" spans="22:22" x14ac:dyDescent="0.25">
      <c r="V1193" s="142"/>
    </row>
    <row r="1194" spans="22:22" x14ac:dyDescent="0.25">
      <c r="V1194" s="142"/>
    </row>
    <row r="1195" spans="22:22" x14ac:dyDescent="0.25">
      <c r="V1195" s="142"/>
    </row>
    <row r="1196" spans="22:22" x14ac:dyDescent="0.25">
      <c r="V1196" s="142"/>
    </row>
    <row r="1197" spans="22:22" x14ac:dyDescent="0.25">
      <c r="V1197" s="142"/>
    </row>
    <row r="1198" spans="22:22" x14ac:dyDescent="0.25">
      <c r="V1198" s="142"/>
    </row>
    <row r="1199" spans="22:22" x14ac:dyDescent="0.25">
      <c r="V1199" s="142"/>
    </row>
    <row r="1200" spans="22:22" x14ac:dyDescent="0.25">
      <c r="V1200" s="142"/>
    </row>
    <row r="1201" spans="22:22" x14ac:dyDescent="0.25">
      <c r="V1201" s="142"/>
    </row>
    <row r="1202" spans="22:22" x14ac:dyDescent="0.25">
      <c r="V1202" s="142"/>
    </row>
    <row r="1203" spans="22:22" x14ac:dyDescent="0.25">
      <c r="V1203" s="142"/>
    </row>
    <row r="1204" spans="22:22" x14ac:dyDescent="0.25">
      <c r="V1204" s="142"/>
    </row>
    <row r="1205" spans="22:22" x14ac:dyDescent="0.25">
      <c r="V1205" s="142"/>
    </row>
    <row r="1206" spans="22:22" x14ac:dyDescent="0.25">
      <c r="V1206" s="142"/>
    </row>
    <row r="1207" spans="22:22" x14ac:dyDescent="0.25">
      <c r="V1207" s="142"/>
    </row>
    <row r="1208" spans="22:22" x14ac:dyDescent="0.25">
      <c r="V1208" s="142"/>
    </row>
    <row r="1209" spans="22:22" x14ac:dyDescent="0.25">
      <c r="V1209" s="142"/>
    </row>
    <row r="1210" spans="22:22" x14ac:dyDescent="0.25">
      <c r="V1210" s="142"/>
    </row>
    <row r="1211" spans="22:22" x14ac:dyDescent="0.25">
      <c r="V1211" s="142"/>
    </row>
    <row r="1212" spans="22:22" x14ac:dyDescent="0.25">
      <c r="V1212" s="142"/>
    </row>
    <row r="1213" spans="22:22" x14ac:dyDescent="0.25">
      <c r="V1213" s="142"/>
    </row>
    <row r="1214" spans="22:22" x14ac:dyDescent="0.25">
      <c r="V1214" s="142"/>
    </row>
    <row r="1215" spans="22:22" x14ac:dyDescent="0.25">
      <c r="V1215" s="142"/>
    </row>
    <row r="1216" spans="22:22" x14ac:dyDescent="0.25">
      <c r="V1216" s="142"/>
    </row>
    <row r="1217" spans="22:22" x14ac:dyDescent="0.25">
      <c r="V1217" s="142"/>
    </row>
    <row r="1218" spans="22:22" x14ac:dyDescent="0.25">
      <c r="V1218" s="142"/>
    </row>
    <row r="1219" spans="22:22" x14ac:dyDescent="0.25">
      <c r="V1219" s="142"/>
    </row>
    <row r="1220" spans="22:22" x14ac:dyDescent="0.25">
      <c r="V1220" s="142"/>
    </row>
    <row r="1221" spans="22:22" x14ac:dyDescent="0.25">
      <c r="V1221" s="142"/>
    </row>
    <row r="1222" spans="22:22" x14ac:dyDescent="0.25">
      <c r="V1222" s="142"/>
    </row>
    <row r="1223" spans="22:22" x14ac:dyDescent="0.25">
      <c r="V1223" s="142"/>
    </row>
    <row r="1224" spans="22:22" x14ac:dyDescent="0.25">
      <c r="V1224" s="142"/>
    </row>
    <row r="1225" spans="22:22" x14ac:dyDescent="0.25">
      <c r="V1225" s="142"/>
    </row>
    <row r="1226" spans="22:22" x14ac:dyDescent="0.25">
      <c r="V1226" s="142"/>
    </row>
    <row r="1227" spans="22:22" x14ac:dyDescent="0.25">
      <c r="V1227" s="142"/>
    </row>
    <row r="1228" spans="22:22" x14ac:dyDescent="0.25">
      <c r="V1228" s="142"/>
    </row>
    <row r="1229" spans="22:22" x14ac:dyDescent="0.25">
      <c r="V1229" s="142"/>
    </row>
    <row r="1230" spans="22:22" x14ac:dyDescent="0.25">
      <c r="V1230" s="142"/>
    </row>
    <row r="1231" spans="22:22" x14ac:dyDescent="0.25">
      <c r="V1231" s="142"/>
    </row>
    <row r="1232" spans="22:22" x14ac:dyDescent="0.25">
      <c r="V1232" s="142"/>
    </row>
    <row r="1233" spans="22:22" x14ac:dyDescent="0.25">
      <c r="V1233" s="142"/>
    </row>
    <row r="1234" spans="22:22" x14ac:dyDescent="0.25">
      <c r="V1234" s="142"/>
    </row>
    <row r="1235" spans="22:22" x14ac:dyDescent="0.25">
      <c r="V1235" s="142"/>
    </row>
    <row r="1236" spans="22:22" x14ac:dyDescent="0.25">
      <c r="V1236" s="142"/>
    </row>
    <row r="1237" spans="22:22" x14ac:dyDescent="0.25">
      <c r="V1237" s="142"/>
    </row>
    <row r="1238" spans="22:22" x14ac:dyDescent="0.25">
      <c r="V1238" s="142"/>
    </row>
    <row r="1239" spans="22:22" x14ac:dyDescent="0.25">
      <c r="V1239" s="142"/>
    </row>
    <row r="1240" spans="22:22" x14ac:dyDescent="0.25">
      <c r="V1240" s="142"/>
    </row>
    <row r="1241" spans="22:22" x14ac:dyDescent="0.25">
      <c r="V1241" s="142"/>
    </row>
    <row r="1242" spans="22:22" x14ac:dyDescent="0.25">
      <c r="V1242" s="142"/>
    </row>
    <row r="1243" spans="22:22" x14ac:dyDescent="0.25">
      <c r="V1243" s="142"/>
    </row>
    <row r="1244" spans="22:22" x14ac:dyDescent="0.25">
      <c r="V1244" s="142"/>
    </row>
    <row r="1245" spans="22:22" x14ac:dyDescent="0.25">
      <c r="V1245" s="142"/>
    </row>
    <row r="1246" spans="22:22" x14ac:dyDescent="0.25">
      <c r="V1246" s="142"/>
    </row>
    <row r="1247" spans="22:22" x14ac:dyDescent="0.25">
      <c r="V1247" s="142"/>
    </row>
    <row r="1248" spans="22:22" x14ac:dyDescent="0.25">
      <c r="V1248" s="142"/>
    </row>
    <row r="1249" spans="22:22" x14ac:dyDescent="0.25">
      <c r="V1249" s="142"/>
    </row>
    <row r="1250" spans="22:22" x14ac:dyDescent="0.25">
      <c r="V1250" s="142"/>
    </row>
    <row r="1251" spans="22:22" x14ac:dyDescent="0.25">
      <c r="V1251" s="142"/>
    </row>
    <row r="1252" spans="22:22" x14ac:dyDescent="0.25">
      <c r="V1252" s="142"/>
    </row>
    <row r="1253" spans="22:22" x14ac:dyDescent="0.25">
      <c r="V1253" s="142"/>
    </row>
    <row r="1254" spans="22:22" x14ac:dyDescent="0.25">
      <c r="V1254" s="142"/>
    </row>
    <row r="1255" spans="22:22" x14ac:dyDescent="0.25">
      <c r="V1255" s="142"/>
    </row>
    <row r="1256" spans="22:22" x14ac:dyDescent="0.25">
      <c r="V1256" s="142"/>
    </row>
    <row r="1257" spans="22:22" x14ac:dyDescent="0.25">
      <c r="V1257" s="142"/>
    </row>
    <row r="1258" spans="22:22" x14ac:dyDescent="0.25">
      <c r="V1258" s="142"/>
    </row>
    <row r="1259" spans="22:22" x14ac:dyDescent="0.25">
      <c r="V1259" s="142"/>
    </row>
    <row r="1260" spans="22:22" x14ac:dyDescent="0.25">
      <c r="V1260" s="142"/>
    </row>
    <row r="1261" spans="22:22" x14ac:dyDescent="0.25">
      <c r="V1261" s="142"/>
    </row>
    <row r="1262" spans="22:22" x14ac:dyDescent="0.25">
      <c r="V1262" s="142"/>
    </row>
    <row r="1263" spans="22:22" x14ac:dyDescent="0.25">
      <c r="V1263" s="142"/>
    </row>
    <row r="1264" spans="22:22" x14ac:dyDescent="0.25">
      <c r="V1264" s="142"/>
    </row>
    <row r="1265" spans="22:22" x14ac:dyDescent="0.25">
      <c r="V1265" s="142"/>
    </row>
    <row r="1266" spans="22:22" x14ac:dyDescent="0.25">
      <c r="V1266" s="142"/>
    </row>
    <row r="1267" spans="22:22" x14ac:dyDescent="0.25">
      <c r="V1267" s="142"/>
    </row>
    <row r="1268" spans="22:22" x14ac:dyDescent="0.25">
      <c r="V1268" s="142"/>
    </row>
    <row r="1269" spans="22:22" x14ac:dyDescent="0.25">
      <c r="V1269" s="142"/>
    </row>
    <row r="1270" spans="22:22" x14ac:dyDescent="0.25">
      <c r="V1270" s="142"/>
    </row>
    <row r="1271" spans="22:22" x14ac:dyDescent="0.25">
      <c r="V1271" s="142"/>
    </row>
    <row r="1272" spans="22:22" x14ac:dyDescent="0.25">
      <c r="V1272" s="142"/>
    </row>
    <row r="1273" spans="22:22" x14ac:dyDescent="0.25">
      <c r="V1273" s="142"/>
    </row>
    <row r="1274" spans="22:22" x14ac:dyDescent="0.25">
      <c r="V1274" s="142"/>
    </row>
    <row r="1275" spans="22:22" x14ac:dyDescent="0.25">
      <c r="V1275" s="142"/>
    </row>
    <row r="1276" spans="22:22" x14ac:dyDescent="0.25">
      <c r="V1276" s="142"/>
    </row>
    <row r="1277" spans="22:22" x14ac:dyDescent="0.25">
      <c r="V1277" s="142"/>
    </row>
    <row r="1278" spans="22:22" x14ac:dyDescent="0.25">
      <c r="V1278" s="142"/>
    </row>
    <row r="1279" spans="22:22" x14ac:dyDescent="0.25">
      <c r="V1279" s="142"/>
    </row>
    <row r="1280" spans="22:22" x14ac:dyDescent="0.25">
      <c r="V1280" s="142"/>
    </row>
    <row r="1281" spans="22:22" x14ac:dyDescent="0.25">
      <c r="V1281" s="142"/>
    </row>
    <row r="1282" spans="22:22" x14ac:dyDescent="0.25">
      <c r="V1282" s="142"/>
    </row>
    <row r="1283" spans="22:22" x14ac:dyDescent="0.25">
      <c r="V1283" s="142"/>
    </row>
    <row r="1284" spans="22:22" x14ac:dyDescent="0.25">
      <c r="V1284" s="142"/>
    </row>
    <row r="1285" spans="22:22" x14ac:dyDescent="0.25">
      <c r="V1285" s="142"/>
    </row>
    <row r="1286" spans="22:22" x14ac:dyDescent="0.25">
      <c r="V1286" s="142"/>
    </row>
    <row r="1287" spans="22:22" x14ac:dyDescent="0.25">
      <c r="V1287" s="142"/>
    </row>
    <row r="1288" spans="22:22" x14ac:dyDescent="0.25">
      <c r="V1288" s="142"/>
    </row>
    <row r="1289" spans="22:22" x14ac:dyDescent="0.25">
      <c r="V1289" s="142"/>
    </row>
    <row r="1290" spans="22:22" x14ac:dyDescent="0.25">
      <c r="V1290" s="142"/>
    </row>
    <row r="1291" spans="22:22" x14ac:dyDescent="0.25">
      <c r="V1291" s="142"/>
    </row>
    <row r="1292" spans="22:22" x14ac:dyDescent="0.25">
      <c r="V1292" s="142"/>
    </row>
    <row r="1293" spans="22:22" x14ac:dyDescent="0.25">
      <c r="V1293" s="142"/>
    </row>
    <row r="1294" spans="22:22" x14ac:dyDescent="0.25">
      <c r="V1294" s="142"/>
    </row>
    <row r="1295" spans="22:22" x14ac:dyDescent="0.25">
      <c r="V1295" s="142"/>
    </row>
    <row r="1296" spans="22:22" x14ac:dyDescent="0.25">
      <c r="V1296" s="142"/>
    </row>
    <row r="1297" spans="22:22" x14ac:dyDescent="0.25">
      <c r="V1297" s="142"/>
    </row>
    <row r="1298" spans="22:22" x14ac:dyDescent="0.25">
      <c r="V1298" s="142"/>
    </row>
    <row r="1299" spans="22:22" x14ac:dyDescent="0.25">
      <c r="V1299" s="142"/>
    </row>
    <row r="1300" spans="22:22" x14ac:dyDescent="0.25">
      <c r="V1300" s="142"/>
    </row>
    <row r="1301" spans="22:22" x14ac:dyDescent="0.25">
      <c r="V1301" s="142"/>
    </row>
    <row r="1302" spans="22:22" x14ac:dyDescent="0.25">
      <c r="V1302" s="142"/>
    </row>
    <row r="1303" spans="22:22" x14ac:dyDescent="0.25">
      <c r="V1303" s="142"/>
    </row>
    <row r="1304" spans="22:22" x14ac:dyDescent="0.25">
      <c r="V1304" s="142"/>
    </row>
    <row r="1305" spans="22:22" x14ac:dyDescent="0.25">
      <c r="V1305" s="142"/>
    </row>
    <row r="1306" spans="22:22" x14ac:dyDescent="0.25">
      <c r="V1306" s="142"/>
    </row>
    <row r="1307" spans="22:22" x14ac:dyDescent="0.25">
      <c r="V1307" s="142"/>
    </row>
    <row r="1308" spans="22:22" x14ac:dyDescent="0.25">
      <c r="V1308" s="142"/>
    </row>
    <row r="1309" spans="22:22" x14ac:dyDescent="0.25">
      <c r="V1309" s="142"/>
    </row>
    <row r="1310" spans="22:22" x14ac:dyDescent="0.25">
      <c r="V1310" s="142"/>
    </row>
    <row r="1311" spans="22:22" x14ac:dyDescent="0.25">
      <c r="V1311" s="142"/>
    </row>
    <row r="1312" spans="22:22" x14ac:dyDescent="0.25">
      <c r="V1312" s="142"/>
    </row>
    <row r="1313" spans="22:22" x14ac:dyDescent="0.25">
      <c r="V1313" s="142"/>
    </row>
    <row r="1314" spans="22:22" x14ac:dyDescent="0.25">
      <c r="V1314" s="142"/>
    </row>
    <row r="1315" spans="22:22" x14ac:dyDescent="0.25">
      <c r="V1315" s="142"/>
    </row>
    <row r="1316" spans="22:22" x14ac:dyDescent="0.25">
      <c r="V1316" s="142"/>
    </row>
    <row r="1317" spans="22:22" x14ac:dyDescent="0.25">
      <c r="V1317" s="142"/>
    </row>
    <row r="1318" spans="22:22" x14ac:dyDescent="0.25">
      <c r="V1318" s="142"/>
    </row>
    <row r="1319" spans="22:22" x14ac:dyDescent="0.25">
      <c r="V1319" s="142"/>
    </row>
    <row r="1320" spans="22:22" x14ac:dyDescent="0.25">
      <c r="V1320" s="142"/>
    </row>
    <row r="1321" spans="22:22" x14ac:dyDescent="0.25">
      <c r="V1321" s="142"/>
    </row>
    <row r="1322" spans="22:22" x14ac:dyDescent="0.25">
      <c r="V1322" s="142"/>
    </row>
    <row r="1323" spans="22:22" x14ac:dyDescent="0.25">
      <c r="V1323" s="142"/>
    </row>
    <row r="1324" spans="22:22" x14ac:dyDescent="0.25">
      <c r="V1324" s="142"/>
    </row>
    <row r="1325" spans="22:22" x14ac:dyDescent="0.25">
      <c r="V1325" s="142"/>
    </row>
    <row r="1326" spans="22:22" x14ac:dyDescent="0.25">
      <c r="V1326" s="142"/>
    </row>
    <row r="1327" spans="22:22" x14ac:dyDescent="0.25">
      <c r="V1327" s="142"/>
    </row>
    <row r="1328" spans="22:22" x14ac:dyDescent="0.25">
      <c r="V1328" s="142"/>
    </row>
    <row r="1329" spans="22:22" x14ac:dyDescent="0.25">
      <c r="V1329" s="142"/>
    </row>
    <row r="1330" spans="22:22" x14ac:dyDescent="0.25">
      <c r="V1330" s="142"/>
    </row>
    <row r="1331" spans="22:22" x14ac:dyDescent="0.25">
      <c r="V1331" s="142"/>
    </row>
    <row r="1332" spans="22:22" x14ac:dyDescent="0.25">
      <c r="V1332" s="142"/>
    </row>
    <row r="1333" spans="22:22" x14ac:dyDescent="0.25">
      <c r="V1333" s="142"/>
    </row>
    <row r="1334" spans="22:22" x14ac:dyDescent="0.25">
      <c r="V1334" s="142"/>
    </row>
    <row r="1335" spans="22:22" x14ac:dyDescent="0.25">
      <c r="V1335" s="142"/>
    </row>
    <row r="1336" spans="22:22" x14ac:dyDescent="0.25">
      <c r="V1336" s="142"/>
    </row>
    <row r="1337" spans="22:22" x14ac:dyDescent="0.25">
      <c r="V1337" s="142"/>
    </row>
    <row r="1338" spans="22:22" x14ac:dyDescent="0.25">
      <c r="V1338" s="142"/>
    </row>
    <row r="1339" spans="22:22" x14ac:dyDescent="0.25">
      <c r="V1339" s="142"/>
    </row>
    <row r="1340" spans="22:22" x14ac:dyDescent="0.25">
      <c r="V1340" s="142"/>
    </row>
    <row r="1341" spans="22:22" x14ac:dyDescent="0.25">
      <c r="V1341" s="142"/>
    </row>
    <row r="1342" spans="22:22" x14ac:dyDescent="0.25">
      <c r="V1342" s="142"/>
    </row>
    <row r="1343" spans="22:22" x14ac:dyDescent="0.25">
      <c r="V1343" s="142"/>
    </row>
    <row r="1344" spans="22:22" x14ac:dyDescent="0.25">
      <c r="V1344" s="142"/>
    </row>
    <row r="1345" spans="22:22" x14ac:dyDescent="0.25">
      <c r="V1345" s="142"/>
    </row>
    <row r="1346" spans="22:22" x14ac:dyDescent="0.25">
      <c r="V1346" s="142"/>
    </row>
    <row r="1347" spans="22:22" x14ac:dyDescent="0.25">
      <c r="V1347" s="142"/>
    </row>
    <row r="1348" spans="22:22" x14ac:dyDescent="0.25">
      <c r="V1348" s="142"/>
    </row>
    <row r="1349" spans="22:22" x14ac:dyDescent="0.25">
      <c r="V1349" s="142"/>
    </row>
    <row r="1350" spans="22:22" x14ac:dyDescent="0.25">
      <c r="V1350" s="142"/>
    </row>
    <row r="1351" spans="22:22" x14ac:dyDescent="0.25">
      <c r="V1351" s="142"/>
    </row>
    <row r="1352" spans="22:22" x14ac:dyDescent="0.25">
      <c r="V1352" s="142"/>
    </row>
    <row r="1353" spans="22:22" x14ac:dyDescent="0.25">
      <c r="V1353" s="142"/>
    </row>
    <row r="1354" spans="22:22" x14ac:dyDescent="0.25">
      <c r="V1354" s="142"/>
    </row>
    <row r="1355" spans="22:22" x14ac:dyDescent="0.25">
      <c r="V1355" s="142"/>
    </row>
    <row r="1356" spans="22:22" x14ac:dyDescent="0.25">
      <c r="V1356" s="142"/>
    </row>
    <row r="1357" spans="22:22" x14ac:dyDescent="0.25">
      <c r="V1357" s="142"/>
    </row>
    <row r="1358" spans="22:22" x14ac:dyDescent="0.25">
      <c r="V1358" s="142"/>
    </row>
    <row r="1359" spans="22:22" x14ac:dyDescent="0.25">
      <c r="V1359" s="142"/>
    </row>
    <row r="1360" spans="22:22" x14ac:dyDescent="0.25">
      <c r="V1360" s="142"/>
    </row>
    <row r="1361" spans="22:22" x14ac:dyDescent="0.25">
      <c r="V1361" s="142"/>
    </row>
    <row r="1362" spans="22:22" x14ac:dyDescent="0.25">
      <c r="V1362" s="142"/>
    </row>
    <row r="1363" spans="22:22" x14ac:dyDescent="0.25">
      <c r="V1363" s="142"/>
    </row>
    <row r="1364" spans="22:22" x14ac:dyDescent="0.25">
      <c r="V1364" s="142"/>
    </row>
    <row r="1365" spans="22:22" x14ac:dyDescent="0.25">
      <c r="V1365" s="142"/>
    </row>
    <row r="1366" spans="22:22" x14ac:dyDescent="0.25">
      <c r="V1366" s="142"/>
    </row>
    <row r="1367" spans="22:22" x14ac:dyDescent="0.25">
      <c r="V1367" s="142"/>
    </row>
    <row r="1368" spans="22:22" x14ac:dyDescent="0.25">
      <c r="V1368" s="142"/>
    </row>
    <row r="1369" spans="22:22" x14ac:dyDescent="0.25">
      <c r="V1369" s="142"/>
    </row>
    <row r="1370" spans="22:22" x14ac:dyDescent="0.25">
      <c r="V1370" s="142"/>
    </row>
    <row r="1371" spans="22:22" x14ac:dyDescent="0.25">
      <c r="V1371" s="142"/>
    </row>
    <row r="1372" spans="22:22" x14ac:dyDescent="0.25">
      <c r="V1372" s="142"/>
    </row>
    <row r="1373" spans="22:22" x14ac:dyDescent="0.25">
      <c r="V1373" s="142"/>
    </row>
    <row r="1374" spans="22:22" x14ac:dyDescent="0.25">
      <c r="V1374" s="142"/>
    </row>
    <row r="1375" spans="22:22" x14ac:dyDescent="0.25">
      <c r="V1375" s="142"/>
    </row>
    <row r="1376" spans="22:22" x14ac:dyDescent="0.25">
      <c r="V1376" s="142"/>
    </row>
    <row r="1377" spans="22:22" x14ac:dyDescent="0.25">
      <c r="V1377" s="142"/>
    </row>
    <row r="1378" spans="22:22" x14ac:dyDescent="0.25">
      <c r="V1378" s="142"/>
    </row>
    <row r="1379" spans="22:22" x14ac:dyDescent="0.25">
      <c r="V1379" s="142"/>
    </row>
    <row r="1380" spans="22:22" x14ac:dyDescent="0.25">
      <c r="V1380" s="142"/>
    </row>
    <row r="1381" spans="22:22" x14ac:dyDescent="0.25">
      <c r="V1381" s="142"/>
    </row>
    <row r="1382" spans="22:22" x14ac:dyDescent="0.25">
      <c r="V1382" s="142"/>
    </row>
    <row r="1383" spans="22:22" x14ac:dyDescent="0.25">
      <c r="V1383" s="142"/>
    </row>
    <row r="1384" spans="22:22" x14ac:dyDescent="0.25">
      <c r="V1384" s="142"/>
    </row>
    <row r="1385" spans="22:22" x14ac:dyDescent="0.25">
      <c r="V1385" s="142"/>
    </row>
    <row r="1386" spans="22:22" x14ac:dyDescent="0.25">
      <c r="V1386" s="142"/>
    </row>
    <row r="1387" spans="22:22" x14ac:dyDescent="0.25">
      <c r="V1387" s="142"/>
    </row>
    <row r="1388" spans="22:22" x14ac:dyDescent="0.25">
      <c r="V1388" s="142"/>
    </row>
    <row r="1389" spans="22:22" x14ac:dyDescent="0.25">
      <c r="V1389" s="142"/>
    </row>
    <row r="1390" spans="22:22" x14ac:dyDescent="0.25">
      <c r="V1390" s="142"/>
    </row>
    <row r="1391" spans="22:22" x14ac:dyDescent="0.25">
      <c r="V1391" s="142"/>
    </row>
    <row r="1392" spans="22:22" x14ac:dyDescent="0.25">
      <c r="V1392" s="142"/>
    </row>
    <row r="1393" spans="22:22" x14ac:dyDescent="0.25">
      <c r="V1393" s="142"/>
    </row>
    <row r="1394" spans="22:22" x14ac:dyDescent="0.25">
      <c r="V1394" s="142"/>
    </row>
    <row r="1395" spans="22:22" x14ac:dyDescent="0.25">
      <c r="V1395" s="142"/>
    </row>
    <row r="1396" spans="22:22" x14ac:dyDescent="0.25">
      <c r="V1396" s="142"/>
    </row>
    <row r="1397" spans="22:22" x14ac:dyDescent="0.25">
      <c r="V1397" s="142"/>
    </row>
    <row r="1398" spans="22:22" x14ac:dyDescent="0.25">
      <c r="V1398" s="142"/>
    </row>
    <row r="1399" spans="22:22" x14ac:dyDescent="0.25">
      <c r="V1399" s="142"/>
    </row>
    <row r="1400" spans="22:22" x14ac:dyDescent="0.25">
      <c r="V1400" s="142"/>
    </row>
    <row r="1401" spans="22:22" x14ac:dyDescent="0.25">
      <c r="V1401" s="142"/>
    </row>
    <row r="1402" spans="22:22" x14ac:dyDescent="0.25">
      <c r="V1402" s="142"/>
    </row>
    <row r="1403" spans="22:22" x14ac:dyDescent="0.25">
      <c r="V1403" s="142"/>
    </row>
    <row r="1404" spans="22:22" x14ac:dyDescent="0.25">
      <c r="V1404" s="142"/>
    </row>
    <row r="1405" spans="22:22" x14ac:dyDescent="0.25">
      <c r="V1405" s="142"/>
    </row>
    <row r="1406" spans="22:22" x14ac:dyDescent="0.25">
      <c r="V1406" s="142"/>
    </row>
    <row r="1407" spans="22:22" x14ac:dyDescent="0.25">
      <c r="V1407" s="142"/>
    </row>
    <row r="1408" spans="22:22" x14ac:dyDescent="0.25">
      <c r="V1408" s="142"/>
    </row>
    <row r="1409" spans="22:22" x14ac:dyDescent="0.25">
      <c r="V1409" s="142"/>
    </row>
    <row r="1410" spans="22:22" x14ac:dyDescent="0.25">
      <c r="V1410" s="142"/>
    </row>
    <row r="1411" spans="22:22" x14ac:dyDescent="0.25">
      <c r="V1411" s="142"/>
    </row>
    <row r="1412" spans="22:22" x14ac:dyDescent="0.25">
      <c r="V1412" s="142"/>
    </row>
    <row r="1413" spans="22:22" x14ac:dyDescent="0.25">
      <c r="V1413" s="142"/>
    </row>
    <row r="1414" spans="22:22" x14ac:dyDescent="0.25">
      <c r="V1414" s="142"/>
    </row>
    <row r="1415" spans="22:22" x14ac:dyDescent="0.25">
      <c r="V1415" s="142"/>
    </row>
    <row r="1416" spans="22:22" x14ac:dyDescent="0.25">
      <c r="V1416" s="142"/>
    </row>
    <row r="1417" spans="22:22" x14ac:dyDescent="0.25">
      <c r="V1417" s="142"/>
    </row>
    <row r="1418" spans="22:22" x14ac:dyDescent="0.25">
      <c r="V1418" s="142"/>
    </row>
    <row r="1419" spans="22:22" x14ac:dyDescent="0.25">
      <c r="V1419" s="142"/>
    </row>
    <row r="1420" spans="22:22" x14ac:dyDescent="0.25">
      <c r="V1420" s="142"/>
    </row>
    <row r="1421" spans="22:22" x14ac:dyDescent="0.25">
      <c r="V1421" s="142"/>
    </row>
    <row r="1422" spans="22:22" x14ac:dyDescent="0.25">
      <c r="V1422" s="142"/>
    </row>
    <row r="1423" spans="22:22" x14ac:dyDescent="0.25">
      <c r="V1423" s="142"/>
    </row>
    <row r="1424" spans="22:22" x14ac:dyDescent="0.25">
      <c r="V1424" s="142"/>
    </row>
    <row r="1425" spans="22:22" x14ac:dyDescent="0.25">
      <c r="V1425" s="142"/>
    </row>
    <row r="1426" spans="22:22" x14ac:dyDescent="0.25">
      <c r="V1426" s="142"/>
    </row>
    <row r="1427" spans="22:22" x14ac:dyDescent="0.25">
      <c r="V1427" s="142"/>
    </row>
    <row r="1428" spans="22:22" x14ac:dyDescent="0.25">
      <c r="V1428" s="142"/>
    </row>
    <row r="1429" spans="22:22" x14ac:dyDescent="0.25">
      <c r="V1429" s="142"/>
    </row>
    <row r="1430" spans="22:22" x14ac:dyDescent="0.25">
      <c r="V1430" s="142"/>
    </row>
    <row r="1431" spans="22:22" x14ac:dyDescent="0.25">
      <c r="V1431" s="142"/>
    </row>
    <row r="1432" spans="22:22" x14ac:dyDescent="0.25">
      <c r="V1432" s="142"/>
    </row>
    <row r="1433" spans="22:22" x14ac:dyDescent="0.25">
      <c r="V1433" s="142"/>
    </row>
    <row r="1434" spans="22:22" x14ac:dyDescent="0.25">
      <c r="V1434" s="142"/>
    </row>
    <row r="1435" spans="22:22" x14ac:dyDescent="0.25">
      <c r="V1435" s="142"/>
    </row>
    <row r="1436" spans="22:22" x14ac:dyDescent="0.25">
      <c r="V1436" s="142"/>
    </row>
    <row r="1437" spans="22:22" x14ac:dyDescent="0.25">
      <c r="V1437" s="142"/>
    </row>
    <row r="1438" spans="22:22" x14ac:dyDescent="0.25">
      <c r="V1438" s="142"/>
    </row>
    <row r="1439" spans="22:22" x14ac:dyDescent="0.25">
      <c r="V1439" s="142"/>
    </row>
    <row r="1440" spans="22:22" x14ac:dyDescent="0.25">
      <c r="V1440" s="142"/>
    </row>
    <row r="1441" spans="22:22" x14ac:dyDescent="0.25">
      <c r="V1441" s="142"/>
    </row>
    <row r="1442" spans="22:22" x14ac:dyDescent="0.25">
      <c r="V1442" s="142"/>
    </row>
    <row r="1443" spans="22:22" x14ac:dyDescent="0.25">
      <c r="V1443" s="142"/>
    </row>
    <row r="1444" spans="22:22" x14ac:dyDescent="0.25">
      <c r="V1444" s="142"/>
    </row>
    <row r="1445" spans="22:22" x14ac:dyDescent="0.25">
      <c r="V1445" s="142"/>
    </row>
    <row r="1446" spans="22:22" x14ac:dyDescent="0.25">
      <c r="V1446" s="142"/>
    </row>
    <row r="1447" spans="22:22" x14ac:dyDescent="0.25">
      <c r="V1447" s="142"/>
    </row>
    <row r="1448" spans="22:22" x14ac:dyDescent="0.25">
      <c r="V1448" s="142"/>
    </row>
    <row r="1449" spans="22:22" x14ac:dyDescent="0.25">
      <c r="V1449" s="142"/>
    </row>
    <row r="1450" spans="22:22" x14ac:dyDescent="0.25">
      <c r="V1450" s="142"/>
    </row>
    <row r="1451" spans="22:22" x14ac:dyDescent="0.25">
      <c r="V1451" s="142"/>
    </row>
    <row r="1452" spans="22:22" x14ac:dyDescent="0.25">
      <c r="V1452" s="142"/>
    </row>
    <row r="1453" spans="22:22" x14ac:dyDescent="0.25">
      <c r="V1453" s="142"/>
    </row>
    <row r="1454" spans="22:22" x14ac:dyDescent="0.25">
      <c r="V1454" s="142"/>
    </row>
    <row r="1455" spans="22:22" x14ac:dyDescent="0.25">
      <c r="V1455" s="142"/>
    </row>
    <row r="1456" spans="22:22" x14ac:dyDescent="0.25">
      <c r="V1456" s="142"/>
    </row>
    <row r="1457" spans="22:22" x14ac:dyDescent="0.25">
      <c r="V1457" s="142"/>
    </row>
    <row r="1458" spans="22:22" x14ac:dyDescent="0.25">
      <c r="V1458" s="142"/>
    </row>
    <row r="1459" spans="22:22" x14ac:dyDescent="0.25">
      <c r="V1459" s="142"/>
    </row>
    <row r="1460" spans="22:22" x14ac:dyDescent="0.25">
      <c r="V1460" s="142"/>
    </row>
    <row r="1461" spans="22:22" x14ac:dyDescent="0.25">
      <c r="V1461" s="142"/>
    </row>
    <row r="1462" spans="22:22" x14ac:dyDescent="0.25">
      <c r="V1462" s="142"/>
    </row>
    <row r="1463" spans="22:22" x14ac:dyDescent="0.25">
      <c r="V1463" s="142"/>
    </row>
    <row r="1464" spans="22:22" x14ac:dyDescent="0.25">
      <c r="V1464" s="142"/>
    </row>
    <row r="1465" spans="22:22" x14ac:dyDescent="0.25">
      <c r="V1465" s="142"/>
    </row>
    <row r="1466" spans="22:22" x14ac:dyDescent="0.25">
      <c r="V1466" s="142"/>
    </row>
    <row r="1467" spans="22:22" x14ac:dyDescent="0.25">
      <c r="V1467" s="142"/>
    </row>
    <row r="1468" spans="22:22" x14ac:dyDescent="0.25">
      <c r="V1468" s="142"/>
    </row>
    <row r="1469" spans="22:22" x14ac:dyDescent="0.25">
      <c r="V1469" s="142"/>
    </row>
    <row r="1470" spans="22:22" x14ac:dyDescent="0.25">
      <c r="V1470" s="142"/>
    </row>
    <row r="1471" spans="22:22" x14ac:dyDescent="0.25">
      <c r="V1471" s="142"/>
    </row>
    <row r="1472" spans="22:22" x14ac:dyDescent="0.25">
      <c r="V1472" s="142"/>
    </row>
    <row r="1473" spans="22:22" x14ac:dyDescent="0.25">
      <c r="V1473" s="142"/>
    </row>
    <row r="1474" spans="22:22" x14ac:dyDescent="0.25">
      <c r="V1474" s="142"/>
    </row>
    <row r="1475" spans="22:22" x14ac:dyDescent="0.25">
      <c r="V1475" s="142"/>
    </row>
    <row r="1476" spans="22:22" x14ac:dyDescent="0.25">
      <c r="V1476" s="142"/>
    </row>
    <row r="1477" spans="22:22" x14ac:dyDescent="0.25">
      <c r="V1477" s="142"/>
    </row>
    <row r="1478" spans="22:22" x14ac:dyDescent="0.25">
      <c r="V1478" s="142"/>
    </row>
    <row r="1479" spans="22:22" x14ac:dyDescent="0.25">
      <c r="V1479" s="142"/>
    </row>
    <row r="1480" spans="22:22" x14ac:dyDescent="0.25">
      <c r="V1480" s="142"/>
    </row>
    <row r="1481" spans="22:22" x14ac:dyDescent="0.25">
      <c r="V1481" s="142"/>
    </row>
    <row r="1482" spans="22:22" x14ac:dyDescent="0.25">
      <c r="V1482" s="142"/>
    </row>
    <row r="1483" spans="22:22" x14ac:dyDescent="0.25">
      <c r="V1483" s="142"/>
    </row>
    <row r="1484" spans="22:22" x14ac:dyDescent="0.25">
      <c r="V1484" s="142"/>
    </row>
    <row r="1485" spans="22:22" x14ac:dyDescent="0.25">
      <c r="V1485" s="142"/>
    </row>
    <row r="1486" spans="22:22" x14ac:dyDescent="0.25">
      <c r="V1486" s="142"/>
    </row>
    <row r="1487" spans="22:22" x14ac:dyDescent="0.25">
      <c r="V1487" s="142"/>
    </row>
    <row r="1488" spans="22:22" x14ac:dyDescent="0.25">
      <c r="V1488" s="142"/>
    </row>
    <row r="1489" spans="22:22" x14ac:dyDescent="0.25">
      <c r="V1489" s="142"/>
    </row>
    <row r="1490" spans="22:22" x14ac:dyDescent="0.25">
      <c r="V1490" s="142"/>
    </row>
    <row r="1491" spans="22:22" x14ac:dyDescent="0.25">
      <c r="V1491" s="142"/>
    </row>
    <row r="1492" spans="22:22" x14ac:dyDescent="0.25">
      <c r="V1492" s="142"/>
    </row>
    <row r="1493" spans="22:22" x14ac:dyDescent="0.25">
      <c r="V1493" s="142"/>
    </row>
    <row r="1494" spans="22:22" x14ac:dyDescent="0.25">
      <c r="V1494" s="142"/>
    </row>
    <row r="1495" spans="22:22" x14ac:dyDescent="0.25">
      <c r="V1495" s="142"/>
    </row>
    <row r="1496" spans="22:22" x14ac:dyDescent="0.25">
      <c r="V1496" s="142"/>
    </row>
    <row r="1497" spans="22:22" x14ac:dyDescent="0.25">
      <c r="V1497" s="142"/>
    </row>
    <row r="1498" spans="22:22" x14ac:dyDescent="0.25">
      <c r="V1498" s="142"/>
    </row>
    <row r="1499" spans="22:22" x14ac:dyDescent="0.25">
      <c r="V1499" s="142"/>
    </row>
    <row r="1500" spans="22:22" x14ac:dyDescent="0.25">
      <c r="V1500" s="142"/>
    </row>
    <row r="1501" spans="22:22" x14ac:dyDescent="0.25">
      <c r="V1501" s="142"/>
    </row>
    <row r="1502" spans="22:22" x14ac:dyDescent="0.25">
      <c r="V1502" s="142"/>
    </row>
    <row r="1503" spans="22:22" x14ac:dyDescent="0.25">
      <c r="V1503" s="142"/>
    </row>
    <row r="1504" spans="22:22" x14ac:dyDescent="0.25">
      <c r="V1504" s="142"/>
    </row>
    <row r="1505" spans="22:22" x14ac:dyDescent="0.25">
      <c r="V1505" s="142"/>
    </row>
    <row r="1506" spans="22:22" x14ac:dyDescent="0.25">
      <c r="V1506" s="142"/>
    </row>
    <row r="1507" spans="22:22" x14ac:dyDescent="0.25">
      <c r="V1507" s="142"/>
    </row>
    <row r="1508" spans="22:22" x14ac:dyDescent="0.25">
      <c r="V1508" s="142"/>
    </row>
    <row r="1509" spans="22:22" x14ac:dyDescent="0.25">
      <c r="V1509" s="142"/>
    </row>
    <row r="1510" spans="22:22" x14ac:dyDescent="0.25">
      <c r="V1510" s="142"/>
    </row>
    <row r="1511" spans="22:22" x14ac:dyDescent="0.25">
      <c r="V1511" s="142"/>
    </row>
    <row r="1512" spans="22:22" x14ac:dyDescent="0.25">
      <c r="V1512" s="142"/>
    </row>
    <row r="1513" spans="22:22" x14ac:dyDescent="0.25">
      <c r="V1513" s="142"/>
    </row>
    <row r="1514" spans="22:22" x14ac:dyDescent="0.25">
      <c r="V1514" s="142"/>
    </row>
    <row r="1515" spans="22:22" x14ac:dyDescent="0.25">
      <c r="V1515" s="142"/>
    </row>
    <row r="1516" spans="22:22" x14ac:dyDescent="0.25">
      <c r="V1516" s="142"/>
    </row>
    <row r="1517" spans="22:22" x14ac:dyDescent="0.25">
      <c r="V1517" s="142"/>
    </row>
    <row r="1518" spans="22:22" x14ac:dyDescent="0.25">
      <c r="V1518" s="142"/>
    </row>
    <row r="1519" spans="22:22" x14ac:dyDescent="0.25">
      <c r="V1519" s="142"/>
    </row>
    <row r="1520" spans="22:22" x14ac:dyDescent="0.25">
      <c r="V1520" s="142"/>
    </row>
    <row r="1521" spans="22:22" x14ac:dyDescent="0.25">
      <c r="V1521" s="142"/>
    </row>
    <row r="1522" spans="22:22" x14ac:dyDescent="0.25">
      <c r="V1522" s="142"/>
    </row>
    <row r="1523" spans="22:22" x14ac:dyDescent="0.25">
      <c r="V1523" s="142"/>
    </row>
    <row r="1524" spans="22:22" x14ac:dyDescent="0.25">
      <c r="V1524" s="142"/>
    </row>
    <row r="1525" spans="22:22" x14ac:dyDescent="0.25">
      <c r="V1525" s="142"/>
    </row>
    <row r="1526" spans="22:22" x14ac:dyDescent="0.25">
      <c r="V1526" s="142"/>
    </row>
    <row r="1527" spans="22:22" x14ac:dyDescent="0.25">
      <c r="V1527" s="142"/>
    </row>
    <row r="1528" spans="22:22" x14ac:dyDescent="0.25">
      <c r="V1528" s="142"/>
    </row>
    <row r="1529" spans="22:22" x14ac:dyDescent="0.25">
      <c r="V1529" s="142"/>
    </row>
    <row r="1530" spans="22:22" x14ac:dyDescent="0.25">
      <c r="V1530" s="142"/>
    </row>
    <row r="1531" spans="22:22" x14ac:dyDescent="0.25">
      <c r="V1531" s="142"/>
    </row>
    <row r="1532" spans="22:22" x14ac:dyDescent="0.25">
      <c r="V1532" s="142"/>
    </row>
    <row r="1533" spans="22:22" x14ac:dyDescent="0.25">
      <c r="V1533" s="142"/>
    </row>
    <row r="1534" spans="22:22" x14ac:dyDescent="0.25">
      <c r="V1534" s="142"/>
    </row>
    <row r="1535" spans="22:22" x14ac:dyDescent="0.25">
      <c r="V1535" s="142"/>
    </row>
    <row r="1536" spans="22:22" x14ac:dyDescent="0.25">
      <c r="V1536" s="142"/>
    </row>
    <row r="1537" spans="22:22" x14ac:dyDescent="0.25">
      <c r="V1537" s="142"/>
    </row>
    <row r="1538" spans="22:22" x14ac:dyDescent="0.25">
      <c r="V1538" s="142"/>
    </row>
    <row r="1539" spans="22:22" x14ac:dyDescent="0.25">
      <c r="V1539" s="142"/>
    </row>
    <row r="1540" spans="22:22" x14ac:dyDescent="0.25">
      <c r="V1540" s="142"/>
    </row>
    <row r="1541" spans="22:22" x14ac:dyDescent="0.25">
      <c r="V1541" s="142"/>
    </row>
    <row r="1542" spans="22:22" x14ac:dyDescent="0.25">
      <c r="V1542" s="142"/>
    </row>
    <row r="1543" spans="22:22" x14ac:dyDescent="0.25">
      <c r="V1543" s="142"/>
    </row>
    <row r="1544" spans="22:22" x14ac:dyDescent="0.25">
      <c r="V1544" s="142"/>
    </row>
    <row r="1545" spans="22:22" x14ac:dyDescent="0.25">
      <c r="V1545" s="142"/>
    </row>
    <row r="1546" spans="22:22" x14ac:dyDescent="0.25">
      <c r="V1546" s="142"/>
    </row>
    <row r="1547" spans="22:22" x14ac:dyDescent="0.25">
      <c r="V1547" s="142"/>
    </row>
    <row r="1548" spans="22:22" x14ac:dyDescent="0.25">
      <c r="V1548" s="142"/>
    </row>
    <row r="1549" spans="22:22" x14ac:dyDescent="0.25">
      <c r="V1549" s="142"/>
    </row>
    <row r="1550" spans="22:22" x14ac:dyDescent="0.25">
      <c r="V1550" s="142"/>
    </row>
    <row r="1551" spans="22:22" x14ac:dyDescent="0.25">
      <c r="V1551" s="142"/>
    </row>
    <row r="1552" spans="22:22" x14ac:dyDescent="0.25">
      <c r="V1552" s="142"/>
    </row>
    <row r="1553" spans="22:22" x14ac:dyDescent="0.25">
      <c r="V1553" s="142"/>
    </row>
    <row r="1554" spans="22:22" x14ac:dyDescent="0.25">
      <c r="V1554" s="142"/>
    </row>
    <row r="1555" spans="22:22" x14ac:dyDescent="0.25">
      <c r="V1555" s="142"/>
    </row>
    <row r="1556" spans="22:22" x14ac:dyDescent="0.25">
      <c r="V1556" s="142"/>
    </row>
    <row r="1557" spans="22:22" x14ac:dyDescent="0.25">
      <c r="V1557" s="142"/>
    </row>
    <row r="1558" spans="22:22" x14ac:dyDescent="0.25">
      <c r="V1558" s="142"/>
    </row>
    <row r="1559" spans="22:22" x14ac:dyDescent="0.25">
      <c r="V1559" s="142"/>
    </row>
    <row r="1560" spans="22:22" x14ac:dyDescent="0.25">
      <c r="V1560" s="142"/>
    </row>
    <row r="1561" spans="22:22" x14ac:dyDescent="0.25">
      <c r="V1561" s="142"/>
    </row>
    <row r="1562" spans="22:22" x14ac:dyDescent="0.25">
      <c r="V1562" s="142"/>
    </row>
    <row r="1563" spans="22:22" x14ac:dyDescent="0.25">
      <c r="V1563" s="142"/>
    </row>
    <row r="1564" spans="22:22" x14ac:dyDescent="0.25">
      <c r="V1564" s="142"/>
    </row>
    <row r="1565" spans="22:22" x14ac:dyDescent="0.25">
      <c r="V1565" s="142"/>
    </row>
    <row r="1566" spans="22:22" x14ac:dyDescent="0.25">
      <c r="V1566" s="142"/>
    </row>
    <row r="1567" spans="22:22" x14ac:dyDescent="0.25">
      <c r="V1567" s="142"/>
    </row>
    <row r="1568" spans="22:22" x14ac:dyDescent="0.25">
      <c r="V1568" s="142"/>
    </row>
    <row r="1569" spans="22:22" x14ac:dyDescent="0.25">
      <c r="V1569" s="142"/>
    </row>
    <row r="1570" spans="22:22" x14ac:dyDescent="0.25">
      <c r="V1570" s="142"/>
    </row>
    <row r="1571" spans="22:22" x14ac:dyDescent="0.25">
      <c r="V1571" s="142"/>
    </row>
    <row r="1572" spans="22:22" x14ac:dyDescent="0.25">
      <c r="V1572" s="142"/>
    </row>
    <row r="1573" spans="22:22" x14ac:dyDescent="0.25">
      <c r="V1573" s="142"/>
    </row>
    <row r="1574" spans="22:22" x14ac:dyDescent="0.25">
      <c r="V1574" s="142"/>
    </row>
    <row r="1575" spans="22:22" x14ac:dyDescent="0.25">
      <c r="V1575" s="142"/>
    </row>
    <row r="1576" spans="22:22" x14ac:dyDescent="0.25">
      <c r="V1576" s="142"/>
    </row>
    <row r="1577" spans="22:22" x14ac:dyDescent="0.25">
      <c r="V1577" s="142"/>
    </row>
    <row r="1578" spans="22:22" x14ac:dyDescent="0.25">
      <c r="V1578" s="142"/>
    </row>
    <row r="1579" spans="22:22" x14ac:dyDescent="0.25">
      <c r="V1579" s="142"/>
    </row>
    <row r="1580" spans="22:22" x14ac:dyDescent="0.25">
      <c r="V1580" s="142"/>
    </row>
    <row r="1581" spans="22:22" x14ac:dyDescent="0.25">
      <c r="V1581" s="142"/>
    </row>
    <row r="1582" spans="22:22" x14ac:dyDescent="0.25">
      <c r="V1582" s="142"/>
    </row>
    <row r="1583" spans="22:22" x14ac:dyDescent="0.25">
      <c r="V1583" s="142"/>
    </row>
    <row r="1584" spans="22:22" x14ac:dyDescent="0.25">
      <c r="V1584" s="142"/>
    </row>
    <row r="1585" spans="22:22" x14ac:dyDescent="0.25">
      <c r="V1585" s="142"/>
    </row>
    <row r="1586" spans="22:22" x14ac:dyDescent="0.25">
      <c r="V1586" s="142"/>
    </row>
    <row r="1587" spans="22:22" x14ac:dyDescent="0.25">
      <c r="V1587" s="142"/>
    </row>
    <row r="1588" spans="22:22" x14ac:dyDescent="0.25">
      <c r="V1588" s="142"/>
    </row>
    <row r="1589" spans="22:22" x14ac:dyDescent="0.25">
      <c r="V1589" s="142"/>
    </row>
    <row r="1590" spans="22:22" x14ac:dyDescent="0.25">
      <c r="V1590" s="142"/>
    </row>
    <row r="1591" spans="22:22" x14ac:dyDescent="0.25">
      <c r="V1591" s="142"/>
    </row>
    <row r="1592" spans="22:22" x14ac:dyDescent="0.25">
      <c r="V1592" s="142"/>
    </row>
    <row r="1593" spans="22:22" x14ac:dyDescent="0.25">
      <c r="V1593" s="142"/>
    </row>
    <row r="1594" spans="22:22" x14ac:dyDescent="0.25">
      <c r="V1594" s="142"/>
    </row>
    <row r="1595" spans="22:22" x14ac:dyDescent="0.25">
      <c r="V1595" s="142"/>
    </row>
    <row r="1596" spans="22:22" x14ac:dyDescent="0.25">
      <c r="V1596" s="142"/>
    </row>
    <row r="1597" spans="22:22" x14ac:dyDescent="0.25">
      <c r="V1597" s="142"/>
    </row>
    <row r="1598" spans="22:22" x14ac:dyDescent="0.25">
      <c r="V1598" s="142"/>
    </row>
    <row r="1599" spans="22:22" x14ac:dyDescent="0.25">
      <c r="V1599" s="142"/>
    </row>
    <row r="1600" spans="22:22" x14ac:dyDescent="0.25">
      <c r="V1600" s="142"/>
    </row>
    <row r="1601" spans="22:22" x14ac:dyDescent="0.25">
      <c r="V1601" s="142"/>
    </row>
    <row r="1602" spans="22:22" x14ac:dyDescent="0.25">
      <c r="V1602" s="142"/>
    </row>
    <row r="1603" spans="22:22" x14ac:dyDescent="0.25">
      <c r="V1603" s="142"/>
    </row>
    <row r="1604" spans="22:22" x14ac:dyDescent="0.25">
      <c r="V1604" s="142"/>
    </row>
    <row r="1605" spans="22:22" x14ac:dyDescent="0.25">
      <c r="V1605" s="142"/>
    </row>
    <row r="1606" spans="22:22" x14ac:dyDescent="0.25">
      <c r="V1606" s="142"/>
    </row>
    <row r="1607" spans="22:22" x14ac:dyDescent="0.25">
      <c r="V1607" s="142"/>
    </row>
    <row r="1608" spans="22:22" x14ac:dyDescent="0.25">
      <c r="V1608" s="142"/>
    </row>
    <row r="1609" spans="22:22" x14ac:dyDescent="0.25">
      <c r="V1609" s="142"/>
    </row>
    <row r="1610" spans="22:22" x14ac:dyDescent="0.25">
      <c r="V1610" s="142"/>
    </row>
    <row r="1611" spans="22:22" x14ac:dyDescent="0.25">
      <c r="V1611" s="142"/>
    </row>
    <row r="1612" spans="22:22" x14ac:dyDescent="0.25">
      <c r="V1612" s="142"/>
    </row>
    <row r="1613" spans="22:22" x14ac:dyDescent="0.25">
      <c r="V1613" s="142"/>
    </row>
    <row r="1614" spans="22:22" x14ac:dyDescent="0.25">
      <c r="V1614" s="142"/>
    </row>
    <row r="1615" spans="22:22" x14ac:dyDescent="0.25">
      <c r="V1615" s="142"/>
    </row>
    <row r="1616" spans="22:22" x14ac:dyDescent="0.25">
      <c r="V1616" s="142"/>
    </row>
    <row r="1617" spans="22:22" x14ac:dyDescent="0.25">
      <c r="V1617" s="142"/>
    </row>
    <row r="1618" spans="22:22" x14ac:dyDescent="0.25">
      <c r="V1618" s="142"/>
    </row>
    <row r="1619" spans="22:22" x14ac:dyDescent="0.25">
      <c r="V1619" s="142"/>
    </row>
    <row r="1620" spans="22:22" x14ac:dyDescent="0.25">
      <c r="V1620" s="142"/>
    </row>
    <row r="1621" spans="22:22" x14ac:dyDescent="0.25">
      <c r="V1621" s="142"/>
    </row>
    <row r="1622" spans="22:22" x14ac:dyDescent="0.25">
      <c r="V1622" s="142"/>
    </row>
    <row r="1623" spans="22:22" x14ac:dyDescent="0.25">
      <c r="V1623" s="142"/>
    </row>
    <row r="1624" spans="22:22" x14ac:dyDescent="0.25">
      <c r="V1624" s="142"/>
    </row>
    <row r="1625" spans="22:22" x14ac:dyDescent="0.25">
      <c r="V1625" s="142"/>
    </row>
    <row r="1626" spans="22:22" x14ac:dyDescent="0.25">
      <c r="V1626" s="142"/>
    </row>
    <row r="1627" spans="22:22" x14ac:dyDescent="0.25">
      <c r="V1627" s="142"/>
    </row>
    <row r="1628" spans="22:22" x14ac:dyDescent="0.25">
      <c r="V1628" s="142"/>
    </row>
    <row r="1629" spans="22:22" x14ac:dyDescent="0.25">
      <c r="V1629" s="142"/>
    </row>
    <row r="1630" spans="22:22" x14ac:dyDescent="0.25">
      <c r="V1630" s="142"/>
    </row>
    <row r="1631" spans="22:22" x14ac:dyDescent="0.25">
      <c r="V1631" s="142"/>
    </row>
    <row r="1632" spans="22:22" x14ac:dyDescent="0.25">
      <c r="V1632" s="142"/>
    </row>
    <row r="1633" spans="22:22" x14ac:dyDescent="0.25">
      <c r="V1633" s="142"/>
    </row>
    <row r="1634" spans="22:22" x14ac:dyDescent="0.25">
      <c r="V1634" s="142"/>
    </row>
    <row r="1635" spans="22:22" x14ac:dyDescent="0.25">
      <c r="V1635" s="142"/>
    </row>
    <row r="1636" spans="22:22" x14ac:dyDescent="0.25">
      <c r="V1636" s="142"/>
    </row>
    <row r="1637" spans="22:22" x14ac:dyDescent="0.25">
      <c r="V1637" s="142"/>
    </row>
    <row r="1638" spans="22:22" x14ac:dyDescent="0.25">
      <c r="V1638" s="142"/>
    </row>
    <row r="1639" spans="22:22" x14ac:dyDescent="0.25">
      <c r="V1639" s="142"/>
    </row>
    <row r="1640" spans="22:22" x14ac:dyDescent="0.25">
      <c r="V1640" s="142"/>
    </row>
    <row r="1641" spans="22:22" x14ac:dyDescent="0.25">
      <c r="V1641" s="142"/>
    </row>
    <row r="1642" spans="22:22" x14ac:dyDescent="0.25">
      <c r="V1642" s="142"/>
    </row>
    <row r="1643" spans="22:22" x14ac:dyDescent="0.25">
      <c r="V1643" s="142"/>
    </row>
    <row r="1644" spans="22:22" x14ac:dyDescent="0.25">
      <c r="V1644" s="142"/>
    </row>
    <row r="1645" spans="22:22" x14ac:dyDescent="0.25">
      <c r="V1645" s="142"/>
    </row>
    <row r="1646" spans="22:22" x14ac:dyDescent="0.25">
      <c r="V1646" s="142"/>
    </row>
    <row r="1647" spans="22:22" x14ac:dyDescent="0.25">
      <c r="V1647" s="142"/>
    </row>
    <row r="1648" spans="22:22" x14ac:dyDescent="0.25">
      <c r="V1648" s="142"/>
    </row>
    <row r="1649" spans="22:22" x14ac:dyDescent="0.25">
      <c r="V1649" s="142"/>
    </row>
    <row r="1650" spans="22:22" x14ac:dyDescent="0.25">
      <c r="V1650" s="142"/>
    </row>
    <row r="1651" spans="22:22" x14ac:dyDescent="0.25">
      <c r="V1651" s="142"/>
    </row>
    <row r="1652" spans="22:22" x14ac:dyDescent="0.25">
      <c r="V1652" s="142"/>
    </row>
    <row r="1653" spans="22:22" x14ac:dyDescent="0.25">
      <c r="V1653" s="142"/>
    </row>
    <row r="1654" spans="22:22" x14ac:dyDescent="0.25">
      <c r="V1654" s="142"/>
    </row>
    <row r="1655" spans="22:22" x14ac:dyDescent="0.25">
      <c r="V1655" s="142"/>
    </row>
    <row r="1656" spans="22:22" x14ac:dyDescent="0.25">
      <c r="V1656" s="142"/>
    </row>
    <row r="1657" spans="22:22" x14ac:dyDescent="0.25">
      <c r="V1657" s="142"/>
    </row>
    <row r="1658" spans="22:22" x14ac:dyDescent="0.25">
      <c r="V1658" s="142"/>
    </row>
    <row r="1659" spans="22:22" x14ac:dyDescent="0.25">
      <c r="V1659" s="142"/>
    </row>
    <row r="1660" spans="22:22" x14ac:dyDescent="0.25">
      <c r="V1660" s="142"/>
    </row>
    <row r="1661" spans="22:22" x14ac:dyDescent="0.25">
      <c r="V1661" s="142"/>
    </row>
    <row r="1662" spans="22:22" x14ac:dyDescent="0.25">
      <c r="V1662" s="142"/>
    </row>
    <row r="1663" spans="22:22" x14ac:dyDescent="0.25">
      <c r="V1663" s="142"/>
    </row>
    <row r="1664" spans="22:22" x14ac:dyDescent="0.25">
      <c r="V1664" s="142"/>
    </row>
    <row r="1665" spans="22:22" x14ac:dyDescent="0.25">
      <c r="V1665" s="142"/>
    </row>
    <row r="1666" spans="22:22" x14ac:dyDescent="0.25">
      <c r="V1666" s="142"/>
    </row>
    <row r="1667" spans="22:22" x14ac:dyDescent="0.25">
      <c r="V1667" s="142"/>
    </row>
    <row r="1668" spans="22:22" x14ac:dyDescent="0.25">
      <c r="V1668" s="142"/>
    </row>
    <row r="1669" spans="22:22" x14ac:dyDescent="0.25">
      <c r="V1669" s="142"/>
    </row>
    <row r="1670" spans="22:22" x14ac:dyDescent="0.25">
      <c r="V1670" s="142"/>
    </row>
    <row r="1671" spans="22:22" x14ac:dyDescent="0.25">
      <c r="V1671" s="142"/>
    </row>
    <row r="1672" spans="22:22" x14ac:dyDescent="0.25">
      <c r="V1672" s="142"/>
    </row>
    <row r="1673" spans="22:22" x14ac:dyDescent="0.25">
      <c r="V1673" s="142"/>
    </row>
    <row r="1674" spans="22:22" x14ac:dyDescent="0.25">
      <c r="V1674" s="142"/>
    </row>
    <row r="1675" spans="22:22" x14ac:dyDescent="0.25">
      <c r="V1675" s="142"/>
    </row>
    <row r="1676" spans="22:22" x14ac:dyDescent="0.25">
      <c r="V1676" s="142"/>
    </row>
    <row r="1677" spans="22:22" x14ac:dyDescent="0.25">
      <c r="V1677" s="142"/>
    </row>
    <row r="1678" spans="22:22" x14ac:dyDescent="0.25">
      <c r="V1678" s="142"/>
    </row>
    <row r="1679" spans="22:22" x14ac:dyDescent="0.25">
      <c r="V1679" s="142"/>
    </row>
    <row r="1680" spans="22:22" x14ac:dyDescent="0.25">
      <c r="V1680" s="142"/>
    </row>
    <row r="1681" spans="22:22" x14ac:dyDescent="0.25">
      <c r="V1681" s="142"/>
    </row>
    <row r="1682" spans="22:22" x14ac:dyDescent="0.25">
      <c r="V1682" s="142"/>
    </row>
    <row r="1683" spans="22:22" x14ac:dyDescent="0.25">
      <c r="V1683" s="142"/>
    </row>
    <row r="1684" spans="22:22" x14ac:dyDescent="0.25">
      <c r="V1684" s="142"/>
    </row>
    <row r="1685" spans="22:22" x14ac:dyDescent="0.25">
      <c r="V1685" s="142"/>
    </row>
    <row r="1686" spans="22:22" x14ac:dyDescent="0.25">
      <c r="V1686" s="142"/>
    </row>
    <row r="1687" spans="22:22" x14ac:dyDescent="0.25">
      <c r="V1687" s="142"/>
    </row>
    <row r="1688" spans="22:22" x14ac:dyDescent="0.25">
      <c r="V1688" s="142"/>
    </row>
    <row r="1689" spans="22:22" x14ac:dyDescent="0.25">
      <c r="V1689" s="142"/>
    </row>
    <row r="1690" spans="22:22" x14ac:dyDescent="0.25">
      <c r="V1690" s="142"/>
    </row>
    <row r="1691" spans="22:22" x14ac:dyDescent="0.25">
      <c r="V1691" s="142"/>
    </row>
    <row r="1692" spans="22:22" x14ac:dyDescent="0.25">
      <c r="V1692" s="142"/>
    </row>
    <row r="1693" spans="22:22" x14ac:dyDescent="0.25">
      <c r="V1693" s="142"/>
    </row>
    <row r="1694" spans="22:22" x14ac:dyDescent="0.25">
      <c r="V1694" s="142"/>
    </row>
    <row r="1695" spans="22:22" x14ac:dyDescent="0.25">
      <c r="V1695" s="142"/>
    </row>
    <row r="1696" spans="22:22" x14ac:dyDescent="0.25">
      <c r="V1696" s="142"/>
    </row>
    <row r="1697" spans="22:22" x14ac:dyDescent="0.25">
      <c r="V1697" s="142"/>
    </row>
    <row r="1698" spans="22:22" x14ac:dyDescent="0.25">
      <c r="V1698" s="142"/>
    </row>
    <row r="1699" spans="22:22" x14ac:dyDescent="0.25">
      <c r="V1699" s="142"/>
    </row>
    <row r="1700" spans="22:22" x14ac:dyDescent="0.25">
      <c r="V1700" s="142"/>
    </row>
    <row r="1701" spans="22:22" x14ac:dyDescent="0.25">
      <c r="V1701" s="142"/>
    </row>
    <row r="1702" spans="22:22" x14ac:dyDescent="0.25">
      <c r="V1702" s="142"/>
    </row>
    <row r="1703" spans="22:22" x14ac:dyDescent="0.25">
      <c r="V1703" s="142"/>
    </row>
    <row r="1704" spans="22:22" x14ac:dyDescent="0.25">
      <c r="V1704" s="142"/>
    </row>
    <row r="1705" spans="22:22" x14ac:dyDescent="0.25">
      <c r="V1705" s="142"/>
    </row>
    <row r="1706" spans="22:22" x14ac:dyDescent="0.25">
      <c r="V1706" s="142"/>
    </row>
    <row r="1707" spans="22:22" x14ac:dyDescent="0.25">
      <c r="V1707" s="142"/>
    </row>
    <row r="1708" spans="22:22" x14ac:dyDescent="0.25">
      <c r="V1708" s="142"/>
    </row>
    <row r="1709" spans="22:22" x14ac:dyDescent="0.25">
      <c r="V1709" s="142"/>
    </row>
    <row r="1710" spans="22:22" x14ac:dyDescent="0.25">
      <c r="V1710" s="142"/>
    </row>
    <row r="1711" spans="22:22" x14ac:dyDescent="0.25">
      <c r="V1711" s="142"/>
    </row>
    <row r="1712" spans="22:22" x14ac:dyDescent="0.25">
      <c r="V1712" s="142"/>
    </row>
    <row r="1713" spans="22:22" x14ac:dyDescent="0.25">
      <c r="V1713" s="142"/>
    </row>
    <row r="1714" spans="22:22" x14ac:dyDescent="0.25">
      <c r="V1714" s="142"/>
    </row>
    <row r="1715" spans="22:22" x14ac:dyDescent="0.25">
      <c r="V1715" s="142"/>
    </row>
    <row r="1716" spans="22:22" x14ac:dyDescent="0.25">
      <c r="V1716" s="142"/>
    </row>
    <row r="1717" spans="22:22" x14ac:dyDescent="0.25">
      <c r="V1717" s="142"/>
    </row>
    <row r="1718" spans="22:22" x14ac:dyDescent="0.25">
      <c r="V1718" s="142"/>
    </row>
    <row r="1719" spans="22:22" x14ac:dyDescent="0.25">
      <c r="V1719" s="142"/>
    </row>
    <row r="1720" spans="22:22" x14ac:dyDescent="0.25">
      <c r="V1720" s="142"/>
    </row>
    <row r="1721" spans="22:22" x14ac:dyDescent="0.25">
      <c r="V1721" s="142"/>
    </row>
    <row r="1722" spans="22:22" x14ac:dyDescent="0.25">
      <c r="V1722" s="142"/>
    </row>
    <row r="1723" spans="22:22" x14ac:dyDescent="0.25">
      <c r="V1723" s="142"/>
    </row>
    <row r="1724" spans="22:22" x14ac:dyDescent="0.25">
      <c r="V1724" s="142"/>
    </row>
    <row r="1725" spans="22:22" x14ac:dyDescent="0.25">
      <c r="V1725" s="142"/>
    </row>
    <row r="1726" spans="22:22" x14ac:dyDescent="0.25">
      <c r="V1726" s="142"/>
    </row>
    <row r="1727" spans="22:22" x14ac:dyDescent="0.25">
      <c r="V1727" s="142"/>
    </row>
    <row r="1728" spans="22:22" x14ac:dyDescent="0.25">
      <c r="V1728" s="142"/>
    </row>
    <row r="1729" spans="22:22" x14ac:dyDescent="0.25">
      <c r="V1729" s="142"/>
    </row>
    <row r="1730" spans="22:22" x14ac:dyDescent="0.25">
      <c r="V1730" s="142"/>
    </row>
    <row r="1731" spans="22:22" x14ac:dyDescent="0.25">
      <c r="V1731" s="142"/>
    </row>
    <row r="1732" spans="22:22" x14ac:dyDescent="0.25">
      <c r="V1732" s="142"/>
    </row>
    <row r="1733" spans="22:22" x14ac:dyDescent="0.25">
      <c r="V1733" s="142"/>
    </row>
    <row r="1734" spans="22:22" x14ac:dyDescent="0.25">
      <c r="V1734" s="142"/>
    </row>
    <row r="1735" spans="22:22" x14ac:dyDescent="0.25">
      <c r="V1735" s="142"/>
    </row>
    <row r="1736" spans="22:22" x14ac:dyDescent="0.25">
      <c r="V1736" s="142"/>
    </row>
    <row r="1737" spans="22:22" x14ac:dyDescent="0.25">
      <c r="V1737" s="142"/>
    </row>
    <row r="1738" spans="22:22" x14ac:dyDescent="0.25">
      <c r="V1738" s="142"/>
    </row>
    <row r="1739" spans="22:22" x14ac:dyDescent="0.25">
      <c r="V1739" s="142"/>
    </row>
    <row r="1740" spans="22:22" x14ac:dyDescent="0.25">
      <c r="V1740" s="142"/>
    </row>
    <row r="1741" spans="22:22" x14ac:dyDescent="0.25">
      <c r="V1741" s="142"/>
    </row>
    <row r="1742" spans="22:22" x14ac:dyDescent="0.25">
      <c r="V1742" s="142"/>
    </row>
    <row r="1743" spans="22:22" x14ac:dyDescent="0.25">
      <c r="V1743" s="142"/>
    </row>
    <row r="1744" spans="22:22" x14ac:dyDescent="0.25">
      <c r="V1744" s="142"/>
    </row>
    <row r="1745" spans="22:22" x14ac:dyDescent="0.25">
      <c r="V1745" s="142"/>
    </row>
    <row r="1746" spans="22:22" x14ac:dyDescent="0.25">
      <c r="V1746" s="142"/>
    </row>
    <row r="1747" spans="22:22" x14ac:dyDescent="0.25">
      <c r="V1747" s="142"/>
    </row>
    <row r="1748" spans="22:22" x14ac:dyDescent="0.25">
      <c r="V1748" s="142"/>
    </row>
    <row r="1749" spans="22:22" x14ac:dyDescent="0.25">
      <c r="V1749" s="142"/>
    </row>
    <row r="1750" spans="22:22" x14ac:dyDescent="0.25">
      <c r="V1750" s="142"/>
    </row>
    <row r="1751" spans="22:22" x14ac:dyDescent="0.25">
      <c r="V1751" s="142"/>
    </row>
    <row r="1752" spans="22:22" x14ac:dyDescent="0.25">
      <c r="V1752" s="142"/>
    </row>
    <row r="1753" spans="22:22" x14ac:dyDescent="0.25">
      <c r="V1753" s="142"/>
    </row>
    <row r="1754" spans="22:22" x14ac:dyDescent="0.25">
      <c r="V1754" s="142"/>
    </row>
    <row r="1755" spans="22:22" x14ac:dyDescent="0.25">
      <c r="V1755" s="142"/>
    </row>
    <row r="1756" spans="22:22" x14ac:dyDescent="0.25">
      <c r="V1756" s="142"/>
    </row>
    <row r="1757" spans="22:22" x14ac:dyDescent="0.25">
      <c r="V1757" s="142"/>
    </row>
    <row r="1758" spans="22:22" x14ac:dyDescent="0.25">
      <c r="V1758" s="142"/>
    </row>
    <row r="1759" spans="22:22" x14ac:dyDescent="0.25">
      <c r="V1759" s="142"/>
    </row>
    <row r="1760" spans="22:22" x14ac:dyDescent="0.25">
      <c r="V1760" s="142"/>
    </row>
    <row r="1761" spans="22:22" x14ac:dyDescent="0.25">
      <c r="V1761" s="142"/>
    </row>
    <row r="1762" spans="22:22" x14ac:dyDescent="0.25">
      <c r="V1762" s="142"/>
    </row>
    <row r="1763" spans="22:22" x14ac:dyDescent="0.25">
      <c r="V1763" s="142"/>
    </row>
    <row r="1764" spans="22:22" x14ac:dyDescent="0.25">
      <c r="V1764" s="142"/>
    </row>
    <row r="1765" spans="22:22" x14ac:dyDescent="0.25">
      <c r="V1765" s="142"/>
    </row>
    <row r="1766" spans="22:22" x14ac:dyDescent="0.25">
      <c r="V1766" s="142"/>
    </row>
    <row r="1767" spans="22:22" x14ac:dyDescent="0.25">
      <c r="V1767" s="142"/>
    </row>
    <row r="1768" spans="22:22" x14ac:dyDescent="0.25">
      <c r="V1768" s="142"/>
    </row>
    <row r="1769" spans="22:22" x14ac:dyDescent="0.25">
      <c r="V1769" s="142"/>
    </row>
    <row r="1770" spans="22:22" x14ac:dyDescent="0.25">
      <c r="V1770" s="142"/>
    </row>
    <row r="1771" spans="22:22" x14ac:dyDescent="0.25">
      <c r="V1771" s="142"/>
    </row>
    <row r="1772" spans="22:22" x14ac:dyDescent="0.25">
      <c r="V1772" s="142"/>
    </row>
    <row r="1773" spans="22:22" x14ac:dyDescent="0.25">
      <c r="V1773" s="142"/>
    </row>
    <row r="1774" spans="22:22" x14ac:dyDescent="0.25">
      <c r="V1774" s="142"/>
    </row>
    <row r="1775" spans="22:22" x14ac:dyDescent="0.25">
      <c r="V1775" s="142"/>
    </row>
    <row r="1776" spans="22:22" x14ac:dyDescent="0.25">
      <c r="V1776" s="142"/>
    </row>
    <row r="1777" spans="22:22" x14ac:dyDescent="0.25">
      <c r="V1777" s="142"/>
    </row>
    <row r="1778" spans="22:22" x14ac:dyDescent="0.25">
      <c r="V1778" s="142"/>
    </row>
    <row r="1779" spans="22:22" x14ac:dyDescent="0.25">
      <c r="V1779" s="142"/>
    </row>
    <row r="1780" spans="22:22" x14ac:dyDescent="0.25">
      <c r="V1780" s="142"/>
    </row>
    <row r="1781" spans="22:22" x14ac:dyDescent="0.25">
      <c r="V1781" s="142"/>
    </row>
    <row r="1782" spans="22:22" x14ac:dyDescent="0.25">
      <c r="V1782" s="142"/>
    </row>
    <row r="1783" spans="22:22" x14ac:dyDescent="0.25">
      <c r="V1783" s="142"/>
    </row>
    <row r="1784" spans="22:22" x14ac:dyDescent="0.25">
      <c r="V1784" s="142"/>
    </row>
    <row r="1785" spans="22:22" x14ac:dyDescent="0.25">
      <c r="V1785" s="142"/>
    </row>
    <row r="1786" spans="22:22" x14ac:dyDescent="0.25">
      <c r="V1786" s="142"/>
    </row>
    <row r="1787" spans="22:22" x14ac:dyDescent="0.25">
      <c r="V1787" s="142"/>
    </row>
    <row r="1788" spans="22:22" x14ac:dyDescent="0.25">
      <c r="V1788" s="142"/>
    </row>
    <row r="1789" spans="22:22" x14ac:dyDescent="0.25">
      <c r="V1789" s="142"/>
    </row>
    <row r="1790" spans="22:22" x14ac:dyDescent="0.25">
      <c r="V1790" s="142"/>
    </row>
  </sheetData>
  <mergeCells count="27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38:F38"/>
    <mergeCell ref="A40:F40"/>
    <mergeCell ref="A42:F42"/>
    <mergeCell ref="A25:F25"/>
    <mergeCell ref="A27:F27"/>
    <mergeCell ref="A29:F29"/>
    <mergeCell ref="A31:F31"/>
    <mergeCell ref="A33:F33"/>
    <mergeCell ref="A35:F35"/>
  </mergeCells>
  <conditionalFormatting sqref="I21:K21 I27:K27 I35:K35 AE35 AE27 AE21 M35:Q35 W35 M27:Q27 W27 M21:Q21 W21 M42:Q42 W42">
    <cfRule type="cellIs" dxfId="117" priority="55" stopIfTrue="1" operator="greaterThanOrEqual">
      <formula>0</formula>
    </cfRule>
    <cfRule type="cellIs" dxfId="116" priority="56" stopIfTrue="1" operator="lessThan">
      <formula>0</formula>
    </cfRule>
  </conditionalFormatting>
  <conditionalFormatting sqref="T21 T27 T35">
    <cfRule type="cellIs" dxfId="115" priority="53" stopIfTrue="1" operator="greaterThanOrEqual">
      <formula>0</formula>
    </cfRule>
    <cfRule type="cellIs" dxfId="114" priority="54" stopIfTrue="1" operator="lessThan">
      <formula>0</formula>
    </cfRule>
  </conditionalFormatting>
  <conditionalFormatting sqref="S21 S27 S35">
    <cfRule type="cellIs" dxfId="113" priority="51" stopIfTrue="1" operator="greaterThanOrEqual">
      <formula>0</formula>
    </cfRule>
    <cfRule type="cellIs" dxfId="112" priority="52" stopIfTrue="1" operator="lessThan">
      <formula>0</formula>
    </cfRule>
  </conditionalFormatting>
  <conditionalFormatting sqref="R21 R27 R35">
    <cfRule type="cellIs" dxfId="111" priority="49" stopIfTrue="1" operator="greaterThanOrEqual">
      <formula>0</formula>
    </cfRule>
    <cfRule type="cellIs" dxfId="110" priority="50" stopIfTrue="1" operator="lessThan">
      <formula>0</formula>
    </cfRule>
  </conditionalFormatting>
  <conditionalFormatting sqref="AB21:AC21 AB27:AC27 AB35:AC35">
    <cfRule type="cellIs" dxfId="109" priority="47" stopIfTrue="1" operator="greaterThanOrEqual">
      <formula>0</formula>
    </cfRule>
    <cfRule type="cellIs" dxfId="108" priority="48" stopIfTrue="1" operator="lessThan">
      <formula>0</formula>
    </cfRule>
  </conditionalFormatting>
  <conditionalFormatting sqref="V21 V27 V35">
    <cfRule type="cellIs" dxfId="107" priority="43" stopIfTrue="1" operator="greaterThanOrEqual">
      <formula>0</formula>
    </cfRule>
    <cfRule type="cellIs" dxfId="106" priority="44" stopIfTrue="1" operator="lessThan">
      <formula>0</formula>
    </cfRule>
  </conditionalFormatting>
  <conditionalFormatting sqref="L21 L27 L35">
    <cfRule type="cellIs" dxfId="105" priority="45" stopIfTrue="1" operator="greaterThanOrEqual">
      <formula>0</formula>
    </cfRule>
    <cfRule type="cellIs" dxfId="104" priority="46" stopIfTrue="1" operator="lessThan">
      <formula>0</formula>
    </cfRule>
  </conditionalFormatting>
  <conditionalFormatting sqref="J42:K42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L42">
    <cfRule type="cellIs" dxfId="101" priority="39" stopIfTrue="1" operator="greaterThanOrEqual">
      <formula>0</formula>
    </cfRule>
    <cfRule type="cellIs" dxfId="100" priority="40" stopIfTrue="1" operator="lessThan">
      <formula>0</formula>
    </cfRule>
  </conditionalFormatting>
  <conditionalFormatting sqref="T42">
    <cfRule type="cellIs" dxfId="99" priority="37" stopIfTrue="1" operator="greaterThanOrEqual">
      <formula>0</formula>
    </cfRule>
    <cfRule type="cellIs" dxfId="98" priority="38" stopIfTrue="1" operator="lessThan">
      <formula>0</formula>
    </cfRule>
  </conditionalFormatting>
  <conditionalFormatting sqref="V42">
    <cfRule type="cellIs" dxfId="97" priority="35" stopIfTrue="1" operator="greaterThanOrEqual">
      <formula>0</formula>
    </cfRule>
    <cfRule type="cellIs" dxfId="96" priority="36" stopIfTrue="1" operator="lessThan">
      <formula>0</formula>
    </cfRule>
  </conditionalFormatting>
  <conditionalFormatting sqref="AE42">
    <cfRule type="cellIs" dxfId="95" priority="33" stopIfTrue="1" operator="greaterThanOrEqual">
      <formula>0</formula>
    </cfRule>
    <cfRule type="cellIs" dxfId="94" priority="34" stopIfTrue="1" operator="lessThan">
      <formula>0</formula>
    </cfRule>
  </conditionalFormatting>
  <conditionalFormatting sqref="S42">
    <cfRule type="cellIs" dxfId="93" priority="31" stopIfTrue="1" operator="greaterThanOrEqual">
      <formula>0</formula>
    </cfRule>
    <cfRule type="cellIs" dxfId="92" priority="32" stopIfTrue="1" operator="lessThan">
      <formula>0</formula>
    </cfRule>
  </conditionalFormatting>
  <conditionalFormatting sqref="R42">
    <cfRule type="cellIs" dxfId="91" priority="29" stopIfTrue="1" operator="greaterThanOrEqual">
      <formula>0</formula>
    </cfRule>
    <cfRule type="cellIs" dxfId="90" priority="30" stopIfTrue="1" operator="lessThan">
      <formula>0</formula>
    </cfRule>
  </conditionalFormatting>
  <conditionalFormatting sqref="AB42:AC42">
    <cfRule type="cellIs" dxfId="89" priority="27" stopIfTrue="1" operator="greaterThanOrEqual">
      <formula>0</formula>
    </cfRule>
    <cfRule type="cellIs" dxfId="88" priority="28" stopIfTrue="1" operator="lessThan">
      <formula>0</formula>
    </cfRule>
  </conditionalFormatting>
  <conditionalFormatting sqref="AA21 AA27 AA35">
    <cfRule type="cellIs" dxfId="87" priority="25" stopIfTrue="1" operator="greaterThanOrEqual">
      <formula>0</formula>
    </cfRule>
    <cfRule type="cellIs" dxfId="86" priority="26" stopIfTrue="1" operator="lessThan">
      <formula>0</formula>
    </cfRule>
  </conditionalFormatting>
  <conditionalFormatting sqref="AA42">
    <cfRule type="cellIs" dxfId="85" priority="23" stopIfTrue="1" operator="greaterThanOrEqual">
      <formula>0</formula>
    </cfRule>
    <cfRule type="cellIs" dxfId="84" priority="24" stopIfTrue="1" operator="lessThan">
      <formula>0</formula>
    </cfRule>
  </conditionalFormatting>
  <conditionalFormatting sqref="Y21 Y27 Y35">
    <cfRule type="cellIs" dxfId="83" priority="21" stopIfTrue="1" operator="greaterThanOrEqual">
      <formula>0</formula>
    </cfRule>
    <cfRule type="cellIs" dxfId="82" priority="22" stopIfTrue="1" operator="lessThan">
      <formula>0</formula>
    </cfRule>
  </conditionalFormatting>
  <conditionalFormatting sqref="Y42">
    <cfRule type="cellIs" dxfId="81" priority="19" stopIfTrue="1" operator="greaterThanOrEqual">
      <formula>0</formula>
    </cfRule>
    <cfRule type="cellIs" dxfId="80" priority="20" stopIfTrue="1" operator="lessThan">
      <formula>0</formula>
    </cfRule>
  </conditionalFormatting>
  <conditionalFormatting sqref="X21 X27 X35">
    <cfRule type="cellIs" dxfId="79" priority="17" stopIfTrue="1" operator="greaterThanOrEqual">
      <formula>0</formula>
    </cfRule>
    <cfRule type="cellIs" dxfId="78" priority="18" stopIfTrue="1" operator="lessThan">
      <formula>0</formula>
    </cfRule>
  </conditionalFormatting>
  <conditionalFormatting sqref="X42">
    <cfRule type="cellIs" dxfId="77" priority="15" stopIfTrue="1" operator="greaterThanOrEqual">
      <formula>0</formula>
    </cfRule>
    <cfRule type="cellIs" dxfId="76" priority="16" stopIfTrue="1" operator="lessThan">
      <formula>0</formula>
    </cfRule>
  </conditionalFormatting>
  <conditionalFormatting sqref="Z21 Z27 Z35">
    <cfRule type="cellIs" dxfId="75" priority="13" stopIfTrue="1" operator="greaterThanOrEqual">
      <formula>0</formula>
    </cfRule>
    <cfRule type="cellIs" dxfId="74" priority="14" stopIfTrue="1" operator="lessThan">
      <formula>0</formula>
    </cfRule>
  </conditionalFormatting>
  <conditionalFormatting sqref="Z42">
    <cfRule type="cellIs" dxfId="73" priority="11" stopIfTrue="1" operator="greaterThanOrEqual">
      <formula>0</formula>
    </cfRule>
    <cfRule type="cellIs" dxfId="72" priority="12" stopIfTrue="1" operator="lessThan">
      <formula>0</formula>
    </cfRule>
  </conditionalFormatting>
  <conditionalFormatting sqref="AD21 AD27 AD35">
    <cfRule type="cellIs" dxfId="71" priority="9" stopIfTrue="1" operator="greaterThanOrEqual">
      <formula>0</formula>
    </cfRule>
    <cfRule type="cellIs" dxfId="70" priority="10" stopIfTrue="1" operator="lessThan">
      <formula>0</formula>
    </cfRule>
  </conditionalFormatting>
  <conditionalFormatting sqref="AD42">
    <cfRule type="cellIs" dxfId="69" priority="7" stopIfTrue="1" operator="greaterThanOrEqual">
      <formula>0</formula>
    </cfRule>
    <cfRule type="cellIs" dxfId="68" priority="8" stopIfTrue="1" operator="lessThan">
      <formula>0</formula>
    </cfRule>
  </conditionalFormatting>
  <conditionalFormatting sqref="I42">
    <cfRule type="cellIs" dxfId="67" priority="5" stopIfTrue="1" operator="greaterThanOrEqual">
      <formula>0</formula>
    </cfRule>
    <cfRule type="cellIs" dxfId="66" priority="6" stopIfTrue="1" operator="lessThan">
      <formula>0</formula>
    </cfRule>
  </conditionalFormatting>
  <conditionalFormatting sqref="U21 U27 U35">
    <cfRule type="cellIs" dxfId="65" priority="3" stopIfTrue="1" operator="greaterThanOrEqual">
      <formula>0</formula>
    </cfRule>
    <cfRule type="cellIs" dxfId="64" priority="4" stopIfTrue="1" operator="lessThan">
      <formula>0</formula>
    </cfRule>
  </conditionalFormatting>
  <conditionalFormatting sqref="U42">
    <cfRule type="cellIs" dxfId="63" priority="1" stopIfTrue="1" operator="greaterThanOrEqual">
      <formula>0</formula>
    </cfRule>
    <cfRule type="cellIs" dxfId="62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D10" sqref="D10:D64"/>
    </sheetView>
  </sheetViews>
  <sheetFormatPr defaultRowHeight="15" x14ac:dyDescent="0.25"/>
  <cols>
    <col min="1" max="1" width="14.7109375" customWidth="1"/>
    <col min="2" max="2" width="27.85546875" customWidth="1"/>
    <col min="3" max="3" width="20.42578125" customWidth="1"/>
    <col min="4" max="4" width="22.7109375" customWidth="1"/>
  </cols>
  <sheetData>
    <row r="1" spans="1:4" ht="18" x14ac:dyDescent="0.25">
      <c r="A1" s="101" t="s">
        <v>59</v>
      </c>
    </row>
    <row r="2" spans="1:4" ht="15.75" x14ac:dyDescent="0.25">
      <c r="A2" s="350" t="s">
        <v>60</v>
      </c>
      <c r="B2" s="350"/>
      <c r="D2" s="116">
        <v>11843811.9</v>
      </c>
    </row>
    <row r="3" spans="1:4" ht="15.75" thickBot="1" x14ac:dyDescent="0.3"/>
    <row r="4" spans="1:4" ht="15.75" thickBot="1" x14ac:dyDescent="0.3">
      <c r="A4" s="102">
        <v>73</v>
      </c>
      <c r="B4" s="351" t="s">
        <v>34</v>
      </c>
      <c r="C4" s="352"/>
      <c r="D4" s="103">
        <f>SUM(D5:D7)+D8</f>
        <v>11843811.899999999</v>
      </c>
    </row>
    <row r="5" spans="1:4" x14ac:dyDescent="0.25">
      <c r="A5" s="104" t="s">
        <v>61</v>
      </c>
      <c r="B5" s="353" t="s">
        <v>62</v>
      </c>
      <c r="C5" s="354"/>
      <c r="D5" s="105">
        <v>0</v>
      </c>
    </row>
    <row r="6" spans="1:4" x14ac:dyDescent="0.25">
      <c r="A6" s="104" t="s">
        <v>63</v>
      </c>
      <c r="B6" s="355" t="s">
        <v>64</v>
      </c>
      <c r="C6" s="356"/>
      <c r="D6" s="105">
        <f>240+12041.67</f>
        <v>12281.67</v>
      </c>
    </row>
    <row r="7" spans="1:4" ht="15.75" thickBot="1" x14ac:dyDescent="0.3">
      <c r="A7" s="106" t="s">
        <v>65</v>
      </c>
      <c r="B7" s="357" t="s">
        <v>66</v>
      </c>
      <c r="C7" s="358"/>
      <c r="D7" s="107">
        <v>0</v>
      </c>
    </row>
    <row r="8" spans="1:4" ht="43.9" customHeight="1" thickBot="1" x14ac:dyDescent="0.3">
      <c r="A8" s="217" t="s">
        <v>67</v>
      </c>
      <c r="B8" s="359" t="s">
        <v>68</v>
      </c>
      <c r="C8" s="360"/>
      <c r="D8" s="218">
        <f>SUM(D10:D66)</f>
        <v>11831530.229999999</v>
      </c>
    </row>
    <row r="9" spans="1:4" ht="15.75" thickBot="1" x14ac:dyDescent="0.3">
      <c r="A9" s="109" t="s">
        <v>69</v>
      </c>
      <c r="B9" s="110" t="s">
        <v>70</v>
      </c>
      <c r="C9" s="111" t="s">
        <v>71</v>
      </c>
      <c r="D9" s="112" t="s">
        <v>72</v>
      </c>
    </row>
    <row r="10" spans="1:4" ht="25.5" x14ac:dyDescent="0.25">
      <c r="A10" s="113" t="s">
        <v>73</v>
      </c>
      <c r="B10" s="114" t="s">
        <v>74</v>
      </c>
      <c r="C10" s="115" t="s">
        <v>75</v>
      </c>
      <c r="D10" s="105">
        <v>251879.03</v>
      </c>
    </row>
    <row r="11" spans="1:4" ht="25.5" x14ac:dyDescent="0.25">
      <c r="A11" s="113" t="s">
        <v>76</v>
      </c>
      <c r="B11" s="114" t="s">
        <v>77</v>
      </c>
      <c r="C11" s="117" t="s">
        <v>75</v>
      </c>
      <c r="D11" s="105">
        <v>37434.800000000003</v>
      </c>
    </row>
    <row r="12" spans="1:4" x14ac:dyDescent="0.25">
      <c r="A12" s="113" t="s">
        <v>78</v>
      </c>
      <c r="B12" s="114" t="s">
        <v>79</v>
      </c>
      <c r="C12" s="115" t="s">
        <v>75</v>
      </c>
      <c r="D12" s="105">
        <f>3750+5138.94+161.39*3</f>
        <v>9373.1099999999988</v>
      </c>
    </row>
    <row r="13" spans="1:4" x14ac:dyDescent="0.25">
      <c r="A13" s="113" t="s">
        <v>80</v>
      </c>
      <c r="B13" s="114" t="s">
        <v>79</v>
      </c>
      <c r="C13" s="115" t="s">
        <v>75</v>
      </c>
      <c r="D13" s="105">
        <f>284</f>
        <v>284</v>
      </c>
    </row>
    <row r="14" spans="1:4" x14ac:dyDescent="0.25">
      <c r="A14" s="113" t="s">
        <v>81</v>
      </c>
      <c r="B14" s="114" t="s">
        <v>79</v>
      </c>
      <c r="C14" s="115" t="s">
        <v>75</v>
      </c>
      <c r="D14" s="105">
        <f>189.8</f>
        <v>189.8</v>
      </c>
    </row>
    <row r="15" spans="1:4" x14ac:dyDescent="0.25">
      <c r="A15" s="113" t="s">
        <v>82</v>
      </c>
      <c r="B15" s="114" t="s">
        <v>79</v>
      </c>
      <c r="C15" s="115" t="s">
        <v>75</v>
      </c>
      <c r="D15" s="105">
        <v>2800</v>
      </c>
    </row>
    <row r="16" spans="1:4" ht="25.5" x14ac:dyDescent="0.25">
      <c r="A16" s="119" t="s">
        <v>75</v>
      </c>
      <c r="B16" s="120" t="s">
        <v>83</v>
      </c>
      <c r="C16" s="121" t="s">
        <v>75</v>
      </c>
      <c r="D16" s="105">
        <v>9055968.6099999994</v>
      </c>
    </row>
    <row r="17" spans="1:4" ht="25.5" x14ac:dyDescent="0.25">
      <c r="A17" s="119" t="s">
        <v>75</v>
      </c>
      <c r="B17" s="120" t="s">
        <v>85</v>
      </c>
      <c r="C17" s="121" t="s">
        <v>75</v>
      </c>
      <c r="D17" s="105">
        <v>4450</v>
      </c>
    </row>
    <row r="18" spans="1:4" x14ac:dyDescent="0.25">
      <c r="A18" s="113" t="s">
        <v>86</v>
      </c>
      <c r="B18" s="114" t="s">
        <v>87</v>
      </c>
      <c r="C18" s="115" t="s">
        <v>75</v>
      </c>
      <c r="D18" s="105">
        <v>399419.79</v>
      </c>
    </row>
    <row r="19" spans="1:4" ht="25.5" x14ac:dyDescent="0.25">
      <c r="A19" s="113" t="s">
        <v>88</v>
      </c>
      <c r="B19" s="114" t="s">
        <v>87</v>
      </c>
      <c r="C19" s="115" t="s">
        <v>75</v>
      </c>
      <c r="D19" s="105">
        <v>17409.88</v>
      </c>
    </row>
    <row r="20" spans="1:4" ht="25.5" x14ac:dyDescent="0.25">
      <c r="A20" s="113" t="s">
        <v>89</v>
      </c>
      <c r="B20" s="114" t="s">
        <v>87</v>
      </c>
      <c r="C20" s="115" t="s">
        <v>75</v>
      </c>
      <c r="D20" s="105">
        <v>10140.5</v>
      </c>
    </row>
    <row r="21" spans="1:4" x14ac:dyDescent="0.25">
      <c r="A21" s="113" t="s">
        <v>90</v>
      </c>
      <c r="B21" s="114" t="s">
        <v>87</v>
      </c>
      <c r="C21" s="115" t="s">
        <v>75</v>
      </c>
      <c r="D21" s="105">
        <v>567668.93000000005</v>
      </c>
    </row>
    <row r="22" spans="1:4" x14ac:dyDescent="0.25">
      <c r="A22" s="113" t="s">
        <v>91</v>
      </c>
      <c r="B22" s="114" t="s">
        <v>87</v>
      </c>
      <c r="C22" s="115" t="s">
        <v>75</v>
      </c>
      <c r="D22" s="105">
        <v>13405.170000000002</v>
      </c>
    </row>
    <row r="23" spans="1:4" ht="25.5" x14ac:dyDescent="0.25">
      <c r="A23" s="113" t="s">
        <v>92</v>
      </c>
      <c r="B23" s="114" t="s">
        <v>87</v>
      </c>
      <c r="C23" s="115" t="s">
        <v>75</v>
      </c>
      <c r="D23" s="105">
        <v>26427.87</v>
      </c>
    </row>
    <row r="24" spans="1:4" ht="25.5" x14ac:dyDescent="0.25">
      <c r="A24" s="113" t="s">
        <v>93</v>
      </c>
      <c r="B24" s="114" t="s">
        <v>94</v>
      </c>
      <c r="C24" s="115" t="s">
        <v>75</v>
      </c>
      <c r="D24" s="105">
        <v>248</v>
      </c>
    </row>
    <row r="25" spans="1:4" ht="38.25" x14ac:dyDescent="0.25">
      <c r="A25" s="113" t="s">
        <v>184</v>
      </c>
      <c r="B25" s="114" t="s">
        <v>94</v>
      </c>
      <c r="C25" s="115" t="s">
        <v>75</v>
      </c>
      <c r="D25" s="105">
        <v>400</v>
      </c>
    </row>
    <row r="26" spans="1:4" ht="25.5" x14ac:dyDescent="0.25">
      <c r="A26" s="113" t="s">
        <v>99</v>
      </c>
      <c r="B26" s="114" t="s">
        <v>94</v>
      </c>
      <c r="C26" s="115" t="s">
        <v>75</v>
      </c>
      <c r="D26" s="105">
        <v>124</v>
      </c>
    </row>
    <row r="27" spans="1:4" ht="25.5" x14ac:dyDescent="0.25">
      <c r="A27" s="113" t="s">
        <v>96</v>
      </c>
      <c r="B27" s="114" t="s">
        <v>94</v>
      </c>
      <c r="C27" s="115" t="s">
        <v>75</v>
      </c>
      <c r="D27" s="105">
        <f>124*3</f>
        <v>372</v>
      </c>
    </row>
    <row r="28" spans="1:4" x14ac:dyDescent="0.25">
      <c r="A28" s="113" t="s">
        <v>95</v>
      </c>
      <c r="B28" s="114" t="s">
        <v>94</v>
      </c>
      <c r="C28" s="115" t="s">
        <v>75</v>
      </c>
      <c r="D28" s="105">
        <f>6197+750+16113+250</f>
        <v>23310</v>
      </c>
    </row>
    <row r="29" spans="1:4" x14ac:dyDescent="0.25">
      <c r="A29" s="113" t="s">
        <v>185</v>
      </c>
      <c r="B29" s="114" t="s">
        <v>186</v>
      </c>
      <c r="C29" s="115" t="s">
        <v>75</v>
      </c>
      <c r="D29" s="105">
        <v>500</v>
      </c>
    </row>
    <row r="30" spans="1:4" ht="25.5" x14ac:dyDescent="0.25">
      <c r="A30" s="113" t="s">
        <v>103</v>
      </c>
      <c r="B30" s="114" t="s">
        <v>104</v>
      </c>
      <c r="C30" s="115" t="s">
        <v>75</v>
      </c>
      <c r="D30" s="105">
        <f>(233.25*3)*4+250</f>
        <v>3049</v>
      </c>
    </row>
    <row r="31" spans="1:4" ht="25.5" x14ac:dyDescent="0.25">
      <c r="A31" s="113" t="s">
        <v>187</v>
      </c>
      <c r="B31" s="114" t="s">
        <v>94</v>
      </c>
      <c r="C31" s="115" t="s">
        <v>75</v>
      </c>
      <c r="D31" s="105">
        <f>3000+3000</f>
        <v>6000</v>
      </c>
    </row>
    <row r="32" spans="1:4" ht="25.5" x14ac:dyDescent="0.25">
      <c r="A32" s="113" t="s">
        <v>188</v>
      </c>
      <c r="B32" s="114" t="s">
        <v>104</v>
      </c>
      <c r="C32" s="219" t="s">
        <v>75</v>
      </c>
      <c r="D32" s="105">
        <v>2940</v>
      </c>
    </row>
    <row r="33" spans="1:4" ht="25.5" x14ac:dyDescent="0.25">
      <c r="A33" s="113" t="s">
        <v>105</v>
      </c>
      <c r="B33" s="114" t="s">
        <v>104</v>
      </c>
      <c r="C33" s="219" t="s">
        <v>75</v>
      </c>
      <c r="D33" s="105">
        <f>1734.26*4</f>
        <v>6937.04</v>
      </c>
    </row>
    <row r="34" spans="1:4" ht="38.25" x14ac:dyDescent="0.25">
      <c r="A34" s="113" t="s">
        <v>106</v>
      </c>
      <c r="B34" s="114" t="s">
        <v>94</v>
      </c>
      <c r="C34" s="219" t="s">
        <v>75</v>
      </c>
      <c r="D34" s="105">
        <f>2500*4</f>
        <v>10000</v>
      </c>
    </row>
    <row r="35" spans="1:4" x14ac:dyDescent="0.25">
      <c r="A35" s="113" t="s">
        <v>149</v>
      </c>
      <c r="B35" s="114" t="s">
        <v>186</v>
      </c>
      <c r="C35" s="115" t="s">
        <v>75</v>
      </c>
      <c r="D35" s="105">
        <v>500</v>
      </c>
    </row>
    <row r="36" spans="1:4" ht="25.5" x14ac:dyDescent="0.25">
      <c r="A36" s="113" t="s">
        <v>107</v>
      </c>
      <c r="B36" s="114" t="s">
        <v>189</v>
      </c>
      <c r="C36" s="219" t="s">
        <v>75</v>
      </c>
      <c r="D36" s="105">
        <f>3300+2200</f>
        <v>5500</v>
      </c>
    </row>
    <row r="37" spans="1:4" ht="25.5" x14ac:dyDescent="0.25">
      <c r="A37" s="113" t="s">
        <v>107</v>
      </c>
      <c r="B37" s="114" t="s">
        <v>109</v>
      </c>
      <c r="C37" s="219" t="s">
        <v>75</v>
      </c>
      <c r="D37" s="105">
        <f>2700+2700+2700+2700</f>
        <v>10800</v>
      </c>
    </row>
    <row r="38" spans="1:4" ht="25.5" x14ac:dyDescent="0.25">
      <c r="A38" s="113" t="s">
        <v>190</v>
      </c>
      <c r="B38" s="114" t="s">
        <v>104</v>
      </c>
      <c r="C38" s="219" t="s">
        <v>75</v>
      </c>
      <c r="D38" s="105">
        <v>1560</v>
      </c>
    </row>
    <row r="39" spans="1:4" ht="25.5" x14ac:dyDescent="0.25">
      <c r="A39" s="113" t="s">
        <v>191</v>
      </c>
      <c r="B39" s="114" t="s">
        <v>186</v>
      </c>
      <c r="C39" s="115" t="s">
        <v>75</v>
      </c>
      <c r="D39" s="105">
        <v>500</v>
      </c>
    </row>
    <row r="40" spans="1:4" x14ac:dyDescent="0.25">
      <c r="A40" s="220" t="s">
        <v>170</v>
      </c>
      <c r="B40" s="221" t="s">
        <v>171</v>
      </c>
      <c r="C40" s="222" t="s">
        <v>75</v>
      </c>
      <c r="D40" s="105">
        <f>6078.28000000001-4207.96</f>
        <v>1870.3200000000097</v>
      </c>
    </row>
    <row r="41" spans="1:4" x14ac:dyDescent="0.25">
      <c r="A41" s="113" t="s">
        <v>117</v>
      </c>
      <c r="B41" s="223" t="s">
        <v>118</v>
      </c>
      <c r="C41" s="224" t="s">
        <v>75</v>
      </c>
      <c r="D41" s="105">
        <v>9400</v>
      </c>
    </row>
    <row r="42" spans="1:4" x14ac:dyDescent="0.25">
      <c r="A42" s="225" t="s">
        <v>114</v>
      </c>
      <c r="B42" s="221" t="s">
        <v>115</v>
      </c>
      <c r="C42" s="219" t="s">
        <v>75</v>
      </c>
      <c r="D42" s="105">
        <v>3220</v>
      </c>
    </row>
    <row r="43" spans="1:4" x14ac:dyDescent="0.25">
      <c r="A43" s="225" t="s">
        <v>114</v>
      </c>
      <c r="B43" s="221" t="s">
        <v>116</v>
      </c>
      <c r="C43" s="219" t="s">
        <v>75</v>
      </c>
      <c r="D43" s="105">
        <v>3757.4</v>
      </c>
    </row>
    <row r="44" spans="1:4" x14ac:dyDescent="0.25">
      <c r="A44" s="225" t="s">
        <v>192</v>
      </c>
      <c r="B44" s="114" t="s">
        <v>193</v>
      </c>
      <c r="C44" s="226" t="s">
        <v>75</v>
      </c>
      <c r="D44" s="105">
        <v>3000</v>
      </c>
    </row>
    <row r="45" spans="1:4" ht="25.5" x14ac:dyDescent="0.25">
      <c r="A45" s="113" t="s">
        <v>75</v>
      </c>
      <c r="B45" s="135" t="s">
        <v>194</v>
      </c>
      <c r="C45" s="226" t="s">
        <v>75</v>
      </c>
      <c r="D45" s="105">
        <v>34900.769999999997</v>
      </c>
    </row>
    <row r="46" spans="1:4" ht="25.5" x14ac:dyDescent="0.25">
      <c r="A46" s="113" t="s">
        <v>75</v>
      </c>
      <c r="B46" s="134" t="s">
        <v>195</v>
      </c>
      <c r="C46" s="227" t="s">
        <v>196</v>
      </c>
      <c r="D46" s="105">
        <v>205401.58999999997</v>
      </c>
    </row>
    <row r="47" spans="1:4" ht="25.5" x14ac:dyDescent="0.25">
      <c r="A47" s="113" t="s">
        <v>75</v>
      </c>
      <c r="B47" s="114" t="s">
        <v>137</v>
      </c>
      <c r="C47" s="135" t="s">
        <v>138</v>
      </c>
      <c r="D47" s="105">
        <v>102276.50000000001</v>
      </c>
    </row>
    <row r="48" spans="1:4" ht="25.5" x14ac:dyDescent="0.25">
      <c r="A48" s="113" t="s">
        <v>75</v>
      </c>
      <c r="B48" s="114" t="s">
        <v>139</v>
      </c>
      <c r="C48" s="135" t="s">
        <v>139</v>
      </c>
      <c r="D48" s="105">
        <v>296179.20999999996</v>
      </c>
    </row>
    <row r="49" spans="1:4" ht="25.5" x14ac:dyDescent="0.25">
      <c r="A49" s="113" t="s">
        <v>75</v>
      </c>
      <c r="B49" s="135" t="s">
        <v>140</v>
      </c>
      <c r="C49" s="228" t="s">
        <v>141</v>
      </c>
      <c r="D49" s="105">
        <v>163615.72999999998</v>
      </c>
    </row>
    <row r="50" spans="1:4" x14ac:dyDescent="0.25">
      <c r="A50" s="225" t="s">
        <v>119</v>
      </c>
      <c r="B50" s="229" t="s">
        <v>165</v>
      </c>
      <c r="C50" s="230" t="s">
        <v>166</v>
      </c>
      <c r="D50" s="105">
        <v>-116.79000000000087</v>
      </c>
    </row>
    <row r="51" spans="1:4" x14ac:dyDescent="0.25">
      <c r="A51" s="225" t="s">
        <v>119</v>
      </c>
      <c r="B51" s="135" t="s">
        <v>186</v>
      </c>
      <c r="C51" s="231" t="s">
        <v>194</v>
      </c>
      <c r="D51" s="105">
        <v>100000</v>
      </c>
    </row>
    <row r="52" spans="1:4" x14ac:dyDescent="0.25">
      <c r="A52" s="113" t="s">
        <v>154</v>
      </c>
      <c r="B52" s="135" t="s">
        <v>197</v>
      </c>
      <c r="C52" s="232" t="s">
        <v>154</v>
      </c>
      <c r="D52" s="105">
        <f>7264.44*4</f>
        <v>29057.759999999998</v>
      </c>
    </row>
    <row r="53" spans="1:4" ht="25.5" x14ac:dyDescent="0.25">
      <c r="A53" s="113" t="s">
        <v>149</v>
      </c>
      <c r="B53" s="135" t="s">
        <v>152</v>
      </c>
      <c r="C53" s="233" t="s">
        <v>153</v>
      </c>
      <c r="D53" s="105">
        <v>45000</v>
      </c>
    </row>
    <row r="54" spans="1:4" ht="25.5" x14ac:dyDescent="0.25">
      <c r="A54" s="113" t="s">
        <v>147</v>
      </c>
      <c r="B54" s="135" t="s">
        <v>148</v>
      </c>
      <c r="C54" s="233" t="s">
        <v>147</v>
      </c>
      <c r="D54" s="105">
        <f>8417.95*4</f>
        <v>33671.800000000003</v>
      </c>
    </row>
    <row r="55" spans="1:4" ht="25.5" x14ac:dyDescent="0.25">
      <c r="A55" s="113" t="s">
        <v>110</v>
      </c>
      <c r="B55" s="135" t="s">
        <v>198</v>
      </c>
      <c r="C55" s="233" t="s">
        <v>199</v>
      </c>
      <c r="D55" s="105">
        <f>45000+1700+5000+15300</f>
        <v>67000</v>
      </c>
    </row>
    <row r="56" spans="1:4" ht="38.25" x14ac:dyDescent="0.25">
      <c r="A56" s="113" t="s">
        <v>200</v>
      </c>
      <c r="B56" s="135" t="s">
        <v>146</v>
      </c>
      <c r="C56" s="233" t="s">
        <v>201</v>
      </c>
      <c r="D56" s="105">
        <f>8389.49+4353.28+20000</f>
        <v>32742.77</v>
      </c>
    </row>
    <row r="57" spans="1:4" ht="38.25" x14ac:dyDescent="0.25">
      <c r="A57" s="113" t="s">
        <v>202</v>
      </c>
      <c r="B57" s="135" t="s">
        <v>143</v>
      </c>
      <c r="C57" s="233" t="s">
        <v>203</v>
      </c>
      <c r="D57" s="105">
        <f>55000+3000</f>
        <v>58000</v>
      </c>
    </row>
    <row r="58" spans="1:4" x14ac:dyDescent="0.25">
      <c r="A58" s="225" t="s">
        <v>160</v>
      </c>
      <c r="B58" s="221" t="s">
        <v>161</v>
      </c>
      <c r="C58" s="219" t="s">
        <v>161</v>
      </c>
      <c r="D58" s="105">
        <v>11400</v>
      </c>
    </row>
    <row r="59" spans="1:4" x14ac:dyDescent="0.25">
      <c r="A59" s="225" t="s">
        <v>131</v>
      </c>
      <c r="B59" s="114" t="s">
        <v>158</v>
      </c>
      <c r="C59" s="229" t="s">
        <v>159</v>
      </c>
      <c r="D59" s="105">
        <v>10876.119999999999</v>
      </c>
    </row>
    <row r="60" spans="1:4" x14ac:dyDescent="0.25">
      <c r="A60" s="137" t="s">
        <v>162</v>
      </c>
      <c r="B60" s="114" t="s">
        <v>163</v>
      </c>
      <c r="C60" s="219" t="s">
        <v>164</v>
      </c>
      <c r="D60" s="105">
        <v>9875.89</v>
      </c>
    </row>
    <row r="61" spans="1:4" x14ac:dyDescent="0.25">
      <c r="A61" s="225" t="s">
        <v>155</v>
      </c>
      <c r="B61" s="221" t="s">
        <v>156</v>
      </c>
      <c r="C61" s="219" t="s">
        <v>157</v>
      </c>
      <c r="D61" s="105">
        <v>42919.06</v>
      </c>
    </row>
    <row r="62" spans="1:4" x14ac:dyDescent="0.25">
      <c r="A62" s="234" t="s">
        <v>173</v>
      </c>
      <c r="B62" s="235" t="s">
        <v>174</v>
      </c>
      <c r="C62" s="236" t="s">
        <v>173</v>
      </c>
      <c r="D62" s="105">
        <v>40557.799999999996</v>
      </c>
    </row>
    <row r="63" spans="1:4" x14ac:dyDescent="0.25">
      <c r="A63" s="225" t="s">
        <v>204</v>
      </c>
      <c r="B63" s="134" t="s">
        <v>205</v>
      </c>
      <c r="C63" s="237" t="s">
        <v>206</v>
      </c>
      <c r="D63" s="105">
        <v>15283</v>
      </c>
    </row>
    <row r="64" spans="1:4" ht="15.75" thickBot="1" x14ac:dyDescent="0.3">
      <c r="A64" s="238" t="s">
        <v>167</v>
      </c>
      <c r="B64" s="239" t="s">
        <v>168</v>
      </c>
      <c r="C64" s="240" t="s">
        <v>169</v>
      </c>
      <c r="D64" s="105">
        <v>42049.77</v>
      </c>
    </row>
    <row r="65" spans="1:4" ht="15.75" thickTop="1" x14ac:dyDescent="0.25"/>
    <row r="71" spans="1:4" x14ac:dyDescent="0.25">
      <c r="A71" s="140"/>
      <c r="B71" s="140"/>
      <c r="D71" s="116"/>
    </row>
    <row r="72" spans="1:4" x14ac:dyDescent="0.25">
      <c r="D72" s="116"/>
    </row>
    <row r="73" spans="1:4" x14ac:dyDescent="0.25">
      <c r="D73" s="116"/>
    </row>
    <row r="75" spans="1:4" x14ac:dyDescent="0.25">
      <c r="D75" s="116"/>
    </row>
  </sheetData>
  <mergeCells count="6">
    <mergeCell ref="B8:C8"/>
    <mergeCell ref="A2:B2"/>
    <mergeCell ref="B4:C4"/>
    <mergeCell ref="B5:C5"/>
    <mergeCell ref="B6:C6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90"/>
  <sheetViews>
    <sheetView workbookViewId="0">
      <selection sqref="A1:XFD1048576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/>
    <col min="6" max="6" width="22.5703125" style="1" customWidth="1"/>
    <col min="7" max="7" width="4.42578125" style="1" customWidth="1"/>
    <col min="8" max="8" width="6.28515625" style="1" customWidth="1"/>
    <col min="9" max="9" width="14.7109375" style="1" customWidth="1"/>
    <col min="10" max="10" width="17.5703125" style="1" customWidth="1"/>
    <col min="11" max="19" width="16.85546875" style="141" customWidth="1"/>
    <col min="20" max="23" width="16.85546875" style="1" customWidth="1"/>
    <col min="24" max="24" width="16.85546875" style="216" customWidth="1"/>
    <col min="25" max="28" width="16.85546875" style="1" customWidth="1"/>
    <col min="29" max="29" width="14" style="1" customWidth="1"/>
    <col min="30" max="16384" width="9.140625" style="1"/>
  </cols>
  <sheetData>
    <row r="1" spans="1:31" ht="18" x14ac:dyDescent="0.25">
      <c r="A1" s="342" t="s">
        <v>207</v>
      </c>
      <c r="B1" s="342"/>
      <c r="C1" s="342"/>
      <c r="D1" s="342"/>
      <c r="E1" s="342"/>
      <c r="F1" s="342"/>
      <c r="G1" s="342"/>
      <c r="H1" s="343"/>
      <c r="I1" s="343"/>
      <c r="J1" s="343"/>
      <c r="X1" s="142"/>
    </row>
    <row r="2" spans="1:31" ht="15.75" x14ac:dyDescent="0.25">
      <c r="A2" s="344" t="s">
        <v>1</v>
      </c>
      <c r="B2" s="344"/>
      <c r="C2" s="344"/>
      <c r="D2" s="345"/>
      <c r="E2" s="345"/>
      <c r="F2" s="345"/>
      <c r="G2" s="345"/>
      <c r="H2" s="345"/>
      <c r="I2" s="345"/>
      <c r="R2" s="143"/>
      <c r="X2" s="142"/>
    </row>
    <row r="3" spans="1:31" ht="15.75" x14ac:dyDescent="0.25">
      <c r="A3" s="2"/>
      <c r="B3" s="2"/>
      <c r="C3" s="2"/>
      <c r="D3" s="3"/>
      <c r="E3" s="4"/>
      <c r="F3" s="4"/>
      <c r="G3" s="4"/>
      <c r="H3" s="4"/>
      <c r="I3" s="4"/>
      <c r="X3" s="142"/>
    </row>
    <row r="4" spans="1:31" s="13" customFormat="1" ht="56.25" customHeight="1" thickBot="1" x14ac:dyDescent="0.3">
      <c r="A4" s="5"/>
      <c r="B4" s="6"/>
      <c r="C4" s="6"/>
      <c r="D4" s="6"/>
      <c r="E4" s="6"/>
      <c r="F4" s="6"/>
      <c r="G4" s="7"/>
      <c r="H4" s="8" t="s">
        <v>2</v>
      </c>
      <c r="I4" s="241" t="s">
        <v>3</v>
      </c>
      <c r="J4" s="9" t="s">
        <v>4</v>
      </c>
      <c r="K4" s="144" t="s">
        <v>208</v>
      </c>
      <c r="L4" s="144" t="s">
        <v>7</v>
      </c>
      <c r="M4" s="144" t="s">
        <v>8</v>
      </c>
      <c r="N4" s="144" t="s">
        <v>9</v>
      </c>
      <c r="O4" s="144" t="s">
        <v>209</v>
      </c>
      <c r="P4" s="145" t="s">
        <v>210</v>
      </c>
      <c r="Q4" s="144" t="s">
        <v>211</v>
      </c>
      <c r="R4" s="144" t="s">
        <v>212</v>
      </c>
      <c r="S4" s="144" t="s">
        <v>15</v>
      </c>
      <c r="T4" s="10" t="s">
        <v>14</v>
      </c>
      <c r="U4" s="144" t="s">
        <v>12</v>
      </c>
      <c r="V4" s="10" t="s">
        <v>179</v>
      </c>
      <c r="W4" s="10" t="s">
        <v>213</v>
      </c>
      <c r="X4" s="145" t="s">
        <v>214</v>
      </c>
      <c r="Y4" s="10" t="s">
        <v>215</v>
      </c>
      <c r="Z4" s="10" t="s">
        <v>16</v>
      </c>
      <c r="AA4" s="10" t="s">
        <v>24</v>
      </c>
      <c r="AB4" s="144" t="s">
        <v>21</v>
      </c>
      <c r="AC4" s="12" t="s">
        <v>25</v>
      </c>
    </row>
    <row r="5" spans="1:31" s="13" customFormat="1" ht="15" customHeight="1" thickBot="1" x14ac:dyDescent="0.3">
      <c r="A5" s="346" t="s">
        <v>26</v>
      </c>
      <c r="B5" s="347"/>
      <c r="C5" s="347"/>
      <c r="D5" s="347"/>
      <c r="E5" s="347"/>
      <c r="F5" s="347"/>
      <c r="G5" s="347"/>
      <c r="H5" s="347"/>
      <c r="I5" s="242">
        <v>200.17</v>
      </c>
      <c r="J5" s="243">
        <f>I5-SUM(K5:AB5)</f>
        <v>174.43</v>
      </c>
      <c r="K5" s="243">
        <v>9.9600000000000009</v>
      </c>
      <c r="L5" s="243">
        <v>0.3</v>
      </c>
      <c r="M5" s="243">
        <v>3.44</v>
      </c>
      <c r="N5" s="243">
        <v>2.2599999999999998</v>
      </c>
      <c r="O5" s="242">
        <v>1.0900000000000001</v>
      </c>
      <c r="P5" s="243">
        <v>1.84</v>
      </c>
      <c r="Q5" s="242">
        <v>0.38</v>
      </c>
      <c r="R5" s="242">
        <v>0.13</v>
      </c>
      <c r="S5" s="244">
        <v>0.5</v>
      </c>
      <c r="T5" s="244">
        <v>0.63</v>
      </c>
      <c r="U5" s="244">
        <v>0.5</v>
      </c>
      <c r="V5" s="244">
        <v>0.8</v>
      </c>
      <c r="W5" s="244">
        <v>0.06</v>
      </c>
      <c r="X5" s="242">
        <v>0.22</v>
      </c>
      <c r="Y5" s="242">
        <v>1</v>
      </c>
      <c r="Z5" s="244">
        <v>1</v>
      </c>
      <c r="AA5" s="244">
        <v>0.5</v>
      </c>
      <c r="AB5" s="245">
        <v>1.1299999999999999</v>
      </c>
      <c r="AC5" s="246">
        <f>I5-SUM(J5:AB5)</f>
        <v>0</v>
      </c>
      <c r="AE5" s="247" t="s">
        <v>56</v>
      </c>
    </row>
    <row r="6" spans="1:31" x14ac:dyDescent="0.25">
      <c r="A6" s="348" t="s">
        <v>27</v>
      </c>
      <c r="B6" s="349"/>
      <c r="C6" s="349"/>
      <c r="D6" s="349"/>
      <c r="E6" s="349"/>
      <c r="F6" s="349"/>
      <c r="G6" s="19"/>
      <c r="H6" s="20"/>
      <c r="I6" s="149"/>
      <c r="J6" s="150"/>
      <c r="K6" s="151"/>
      <c r="L6" s="151"/>
      <c r="M6" s="151"/>
      <c r="N6" s="151"/>
      <c r="O6" s="151"/>
      <c r="P6" s="151"/>
      <c r="Q6" s="248"/>
      <c r="R6" s="248"/>
      <c r="S6" s="151"/>
      <c r="T6" s="21"/>
      <c r="U6" s="151"/>
      <c r="V6" s="21"/>
      <c r="W6" s="21"/>
      <c r="X6" s="152"/>
      <c r="Y6" s="151"/>
      <c r="Z6" s="21"/>
      <c r="AA6" s="21"/>
      <c r="AB6" s="21"/>
      <c r="AC6" s="23"/>
    </row>
    <row r="7" spans="1:31" ht="8.25" customHeight="1" x14ac:dyDescent="0.25">
      <c r="A7" s="24"/>
      <c r="B7" s="20"/>
      <c r="C7" s="20"/>
      <c r="D7" s="20"/>
      <c r="E7" s="20"/>
      <c r="F7" s="20"/>
      <c r="G7" s="25"/>
      <c r="H7" s="20"/>
      <c r="I7" s="153"/>
      <c r="J7" s="154"/>
      <c r="K7" s="155"/>
      <c r="L7" s="155"/>
      <c r="M7" s="155"/>
      <c r="N7" s="155"/>
      <c r="O7" s="155"/>
      <c r="P7" s="155"/>
      <c r="Q7" s="249"/>
      <c r="R7" s="249"/>
      <c r="S7" s="155"/>
      <c r="T7" s="26"/>
      <c r="U7" s="155"/>
      <c r="V7" s="26"/>
      <c r="W7" s="26"/>
      <c r="X7" s="156"/>
      <c r="Y7" s="155"/>
      <c r="Z7" s="26"/>
      <c r="AA7" s="26"/>
      <c r="AB7" s="26"/>
      <c r="AC7" s="28"/>
    </row>
    <row r="8" spans="1:31" x14ac:dyDescent="0.25">
      <c r="A8" s="324" t="s">
        <v>28</v>
      </c>
      <c r="B8" s="325"/>
      <c r="C8" s="325"/>
      <c r="D8" s="325"/>
      <c r="E8" s="325"/>
      <c r="F8" s="325"/>
      <c r="G8" s="29"/>
      <c r="H8" s="20"/>
      <c r="I8" s="153"/>
      <c r="J8" s="154"/>
      <c r="K8" s="155"/>
      <c r="L8" s="155"/>
      <c r="M8" s="155"/>
      <c r="N8" s="155"/>
      <c r="O8" s="155"/>
      <c r="P8" s="155"/>
      <c r="Q8" s="249"/>
      <c r="R8" s="249"/>
      <c r="S8" s="155"/>
      <c r="T8" s="26"/>
      <c r="U8" s="155"/>
      <c r="V8" s="159"/>
      <c r="W8" s="159"/>
      <c r="X8" s="156"/>
      <c r="Y8" s="155"/>
      <c r="Z8" s="26"/>
      <c r="AA8" s="26"/>
      <c r="AB8" s="26"/>
      <c r="AC8" s="28"/>
    </row>
    <row r="9" spans="1:31" x14ac:dyDescent="0.25">
      <c r="A9" s="30"/>
      <c r="B9" s="31" t="s">
        <v>29</v>
      </c>
      <c r="C9" s="32"/>
      <c r="D9" s="32"/>
      <c r="E9" s="32"/>
      <c r="F9" s="32"/>
      <c r="G9" s="33" t="s">
        <v>30</v>
      </c>
      <c r="H9" s="34">
        <v>9900</v>
      </c>
      <c r="I9" s="250">
        <f>I10-I13</f>
        <v>11907320.970000001</v>
      </c>
      <c r="J9" s="250">
        <f>J10-J13</f>
        <v>10404805.779999999</v>
      </c>
      <c r="K9" s="158">
        <f>K10-K13</f>
        <v>541793.10000000009</v>
      </c>
      <c r="L9" s="159">
        <f t="shared" ref="L9" si="0">L10-L13</f>
        <v>7661.3600000000006</v>
      </c>
      <c r="M9" s="159">
        <f>M10-M13</f>
        <v>307474.2</v>
      </c>
      <c r="N9" s="159">
        <f>N10-N13</f>
        <v>138152.99</v>
      </c>
      <c r="O9" s="159">
        <f t="shared" ref="O9:P9" si="1">O10-O13</f>
        <v>66764.19</v>
      </c>
      <c r="P9" s="251">
        <f t="shared" si="1"/>
        <v>96200.91</v>
      </c>
      <c r="Q9" s="251">
        <f>Q10-Q13</f>
        <v>6783.8899999999994</v>
      </c>
      <c r="R9" s="251">
        <f>R10-R13</f>
        <v>4752.28</v>
      </c>
      <c r="S9" s="159">
        <f>S10-S13</f>
        <v>27227.54</v>
      </c>
      <c r="T9" s="36">
        <f t="shared" ref="T9:AA9" si="2">T10-T13</f>
        <v>35872.6</v>
      </c>
      <c r="U9" s="159">
        <f t="shared" si="2"/>
        <v>33839.800000000003</v>
      </c>
      <c r="V9" s="159">
        <f t="shared" si="2"/>
        <v>38617.660000000003</v>
      </c>
      <c r="W9" s="159">
        <f t="shared" si="2"/>
        <v>3881.96</v>
      </c>
      <c r="X9" s="160">
        <f t="shared" si="2"/>
        <v>21194.36</v>
      </c>
      <c r="Y9" s="159">
        <f t="shared" si="2"/>
        <v>46805.97</v>
      </c>
      <c r="Z9" s="36">
        <f t="shared" si="2"/>
        <v>38481.949999999997</v>
      </c>
      <c r="AA9" s="36">
        <f t="shared" si="2"/>
        <v>36049.86</v>
      </c>
      <c r="AB9" s="252">
        <f>AB10-AB13</f>
        <v>50960.57</v>
      </c>
      <c r="AC9" s="38">
        <f t="shared" ref="AC9:AC19" si="3">I9-SUM(J9:AB9)</f>
        <v>0</v>
      </c>
    </row>
    <row r="10" spans="1:31" x14ac:dyDescent="0.25">
      <c r="A10" s="24"/>
      <c r="B10" s="39"/>
      <c r="C10" s="337" t="s">
        <v>31</v>
      </c>
      <c r="D10" s="337"/>
      <c r="E10" s="337"/>
      <c r="F10" s="337"/>
      <c r="G10" s="29"/>
      <c r="H10" s="34" t="s">
        <v>32</v>
      </c>
      <c r="I10" s="253">
        <f>I11+I12+600303.46</f>
        <v>14860856.370000001</v>
      </c>
      <c r="J10" s="175">
        <f t="shared" ref="J10:J19" si="4">I10-SUM(K10:AB10)</f>
        <v>13179120.68</v>
      </c>
      <c r="K10" s="163">
        <f t="shared" ref="K10:AB10" si="5">K11+K12</f>
        <v>601595.16</v>
      </c>
      <c r="L10" s="163">
        <f t="shared" si="5"/>
        <v>9323.2000000000007</v>
      </c>
      <c r="M10" s="163">
        <f t="shared" si="5"/>
        <v>325745.86</v>
      </c>
      <c r="N10" s="163">
        <f t="shared" si="5"/>
        <v>170370.13</v>
      </c>
      <c r="O10" s="163">
        <f t="shared" si="5"/>
        <v>75000</v>
      </c>
      <c r="P10" s="254">
        <f t="shared" si="5"/>
        <v>107500</v>
      </c>
      <c r="Q10" s="254">
        <f>Q11+Q12</f>
        <v>14370.91</v>
      </c>
      <c r="R10" s="254">
        <f>R11+R12</f>
        <v>4796.33</v>
      </c>
      <c r="S10" s="163">
        <f t="shared" si="5"/>
        <v>29564.62</v>
      </c>
      <c r="T10" s="42">
        <f t="shared" si="5"/>
        <v>40000</v>
      </c>
      <c r="U10" s="163">
        <f t="shared" si="5"/>
        <v>34790.04</v>
      </c>
      <c r="V10" s="42">
        <f>V11+V12</f>
        <v>50000</v>
      </c>
      <c r="W10" s="42">
        <f>W11+W12</f>
        <v>4166.66</v>
      </c>
      <c r="X10" s="164">
        <f t="shared" si="5"/>
        <v>22125.87</v>
      </c>
      <c r="Y10" s="163">
        <f t="shared" si="5"/>
        <v>51676.6</v>
      </c>
      <c r="Z10" s="42">
        <f t="shared" si="5"/>
        <v>44112.79</v>
      </c>
      <c r="AA10" s="42">
        <f t="shared" si="5"/>
        <v>44807.28</v>
      </c>
      <c r="AB10" s="255">
        <f t="shared" si="5"/>
        <v>51790.239999999998</v>
      </c>
      <c r="AC10" s="38">
        <f t="shared" si="3"/>
        <v>0</v>
      </c>
      <c r="AE10" s="1" t="s">
        <v>56</v>
      </c>
    </row>
    <row r="11" spans="1:31" x14ac:dyDescent="0.25">
      <c r="A11" s="24"/>
      <c r="B11" s="336"/>
      <c r="C11" s="337"/>
      <c r="D11" s="338" t="s">
        <v>33</v>
      </c>
      <c r="E11" s="337"/>
      <c r="F11" s="337"/>
      <c r="G11" s="29"/>
      <c r="H11" s="34">
        <v>70</v>
      </c>
      <c r="I11" s="175">
        <v>1753586.21</v>
      </c>
      <c r="J11" s="256">
        <f t="shared" si="4"/>
        <v>1753586.21</v>
      </c>
      <c r="K11" s="166">
        <v>0</v>
      </c>
      <c r="L11" s="167">
        <v>0</v>
      </c>
      <c r="M11" s="167">
        <v>0</v>
      </c>
      <c r="N11" s="167">
        <v>0</v>
      </c>
      <c r="O11" s="167">
        <v>0</v>
      </c>
      <c r="P11" s="257">
        <v>0</v>
      </c>
      <c r="Q11" s="257">
        <v>0</v>
      </c>
      <c r="R11" s="257">
        <v>0</v>
      </c>
      <c r="S11" s="167">
        <v>0</v>
      </c>
      <c r="T11" s="41">
        <v>0</v>
      </c>
      <c r="U11" s="167">
        <v>0</v>
      </c>
      <c r="V11" s="258">
        <v>0</v>
      </c>
      <c r="W11" s="93">
        <v>0</v>
      </c>
      <c r="X11" s="53">
        <v>0</v>
      </c>
      <c r="Y11" s="167">
        <v>0</v>
      </c>
      <c r="Z11" s="41">
        <v>0</v>
      </c>
      <c r="AA11" s="41">
        <v>0</v>
      </c>
      <c r="AB11" s="55">
        <v>0</v>
      </c>
      <c r="AC11" s="38">
        <f t="shared" si="3"/>
        <v>0</v>
      </c>
    </row>
    <row r="12" spans="1:31" x14ac:dyDescent="0.25">
      <c r="A12" s="24"/>
      <c r="B12" s="20"/>
      <c r="C12" s="20"/>
      <c r="D12" s="339" t="s">
        <v>34</v>
      </c>
      <c r="E12" s="340"/>
      <c r="F12" s="340"/>
      <c r="G12" s="45"/>
      <c r="H12" s="34">
        <v>73</v>
      </c>
      <c r="I12" s="174">
        <v>12506966.699999999</v>
      </c>
      <c r="J12" s="175">
        <f t="shared" si="4"/>
        <v>10825231.009999998</v>
      </c>
      <c r="K12" s="169">
        <v>601595.16</v>
      </c>
      <c r="L12" s="170">
        <v>9323.2000000000007</v>
      </c>
      <c r="M12" s="170">
        <v>325745.86</v>
      </c>
      <c r="N12" s="170">
        <f>3000+6666.67+160703.46</f>
        <v>170370.13</v>
      </c>
      <c r="O12" s="170">
        <v>75000</v>
      </c>
      <c r="P12" s="170">
        <f>100000+7500</f>
        <v>107500</v>
      </c>
      <c r="Q12" s="178">
        <v>14370.91</v>
      </c>
      <c r="R12" s="178">
        <f>3296.33+1500</f>
        <v>4796.33</v>
      </c>
      <c r="S12" s="170">
        <v>29564.62</v>
      </c>
      <c r="T12" s="48">
        <v>40000</v>
      </c>
      <c r="U12" s="170">
        <v>34790.04</v>
      </c>
      <c r="V12" s="41">
        <v>50000</v>
      </c>
      <c r="W12" s="41">
        <v>4166.66</v>
      </c>
      <c r="X12" s="51">
        <v>22125.87</v>
      </c>
      <c r="Y12" s="170">
        <v>51676.6</v>
      </c>
      <c r="Z12" s="48">
        <v>44112.79</v>
      </c>
      <c r="AA12" s="48">
        <v>44807.28</v>
      </c>
      <c r="AB12" s="57">
        <f>51790.24</f>
        <v>51790.239999999998</v>
      </c>
      <c r="AC12" s="38">
        <f t="shared" si="3"/>
        <v>0</v>
      </c>
    </row>
    <row r="13" spans="1:31" ht="25.5" customHeight="1" x14ac:dyDescent="0.25">
      <c r="A13" s="24"/>
      <c r="B13" s="49"/>
      <c r="C13" s="330" t="s">
        <v>35</v>
      </c>
      <c r="D13" s="341"/>
      <c r="E13" s="341"/>
      <c r="F13" s="341"/>
      <c r="G13" s="29"/>
      <c r="H13" s="34" t="s">
        <v>36</v>
      </c>
      <c r="I13" s="174">
        <f>715019.39+2238516.01</f>
        <v>2953535.4</v>
      </c>
      <c r="J13" s="175">
        <f t="shared" si="4"/>
        <v>2774314.9</v>
      </c>
      <c r="K13" s="171">
        <f>18789.27+3090.04+3908.14+28330.66+5683.95</f>
        <v>59802.06</v>
      </c>
      <c r="L13" s="170">
        <f>737.2+924.64</f>
        <v>1661.8400000000001</v>
      </c>
      <c r="M13" s="170">
        <f>13773.72+4497.94</f>
        <v>18271.66</v>
      </c>
      <c r="N13" s="170">
        <f>3423.79+7065.92+5950.9+15776.53</f>
        <v>32217.14</v>
      </c>
      <c r="O13" s="170">
        <f>1179.52+357.45+3758.66+2940.18</f>
        <v>8235.81</v>
      </c>
      <c r="P13" s="170">
        <f>2552.92+1208.22+8002.21-75.89-388.37</f>
        <v>11299.09</v>
      </c>
      <c r="Q13" s="178">
        <f>1326.74+1926.28+172.89+1127.76+3033.35</f>
        <v>7587.02</v>
      </c>
      <c r="R13" s="178">
        <v>44.05</v>
      </c>
      <c r="S13" s="170">
        <f>1008.04+1329.04</f>
        <v>2337.08</v>
      </c>
      <c r="T13" s="48">
        <f>3427.07+734.56-34.23</f>
        <v>4127.4000000000005</v>
      </c>
      <c r="U13" s="170">
        <f>950.24</f>
        <v>950.24</v>
      </c>
      <c r="V13" s="41">
        <f>4417.27+5236.16-25-187.43+1941.34</f>
        <v>11382.34</v>
      </c>
      <c r="W13" s="41">
        <f>105.23+0.78+39.43+3.84+135.42</f>
        <v>284.7</v>
      </c>
      <c r="X13" s="51">
        <f>769.98+161.53</f>
        <v>931.51</v>
      </c>
      <c r="Y13" s="170">
        <f>782.94+3236.92+850.77</f>
        <v>4870.63</v>
      </c>
      <c r="Z13" s="48">
        <f>5630.84</f>
        <v>5630.84</v>
      </c>
      <c r="AA13" s="51">
        <f>570.63+4029.92+15+4162.49-20.62</f>
        <v>8757.42</v>
      </c>
      <c r="AB13" s="259">
        <f>829.67</f>
        <v>829.67</v>
      </c>
      <c r="AC13" s="38">
        <f t="shared" si="3"/>
        <v>0</v>
      </c>
    </row>
    <row r="14" spans="1:31" ht="26.25" customHeight="1" x14ac:dyDescent="0.25">
      <c r="A14" s="24"/>
      <c r="B14" s="330" t="s">
        <v>37</v>
      </c>
      <c r="C14" s="330"/>
      <c r="D14" s="330"/>
      <c r="E14" s="330"/>
      <c r="F14" s="330"/>
      <c r="G14" s="29" t="s">
        <v>30</v>
      </c>
      <c r="H14" s="34">
        <v>62</v>
      </c>
      <c r="I14" s="175">
        <v>11326269.189999999</v>
      </c>
      <c r="J14" s="175">
        <f t="shared" si="4"/>
        <v>9847937.9399999995</v>
      </c>
      <c r="K14" s="173">
        <f>457315.03+80638.16+414.09</f>
        <v>538367.28</v>
      </c>
      <c r="L14" s="170">
        <f>15132.33+12.37</f>
        <v>15144.7</v>
      </c>
      <c r="M14" s="170">
        <f>290547.01+141.88</f>
        <v>290688.89</v>
      </c>
      <c r="N14" s="167">
        <f>130698.88+94.86</f>
        <v>130793.74</v>
      </c>
      <c r="O14" s="167">
        <f>43.72+70163.41</f>
        <v>70207.13</v>
      </c>
      <c r="P14" s="51">
        <f>88499.61+75.89</f>
        <v>88575.5</v>
      </c>
      <c r="Q14" s="167">
        <v>27536.7</v>
      </c>
      <c r="R14" s="167">
        <v>6384.68</v>
      </c>
      <c r="S14" s="167">
        <f>20.62+24303</f>
        <v>24323.62</v>
      </c>
      <c r="T14" s="41">
        <f>34247.23+34.23</f>
        <v>34281.460000000006</v>
      </c>
      <c r="U14" s="167">
        <f>28489.73+20.62</f>
        <v>28510.35</v>
      </c>
      <c r="V14" s="48">
        <f>35793.24+25</f>
        <v>35818.239999999998</v>
      </c>
      <c r="W14" s="51">
        <f>2622.86+2.47</f>
        <v>2625.33</v>
      </c>
      <c r="X14" s="51">
        <f>14067.55+9.07</f>
        <v>14076.619999999999</v>
      </c>
      <c r="Y14" s="167">
        <f>39120.83+41.24</f>
        <v>39162.07</v>
      </c>
      <c r="Z14" s="41">
        <f>41.24+44112.79</f>
        <v>44154.03</v>
      </c>
      <c r="AA14" s="41">
        <f>20.62+35818.5</f>
        <v>35839.120000000003</v>
      </c>
      <c r="AB14" s="259">
        <f>51795.18+46.61</f>
        <v>51841.79</v>
      </c>
      <c r="AC14" s="38">
        <f t="shared" si="3"/>
        <v>0</v>
      </c>
    </row>
    <row r="15" spans="1:31" ht="38.25" customHeight="1" x14ac:dyDescent="0.25">
      <c r="A15" s="24"/>
      <c r="B15" s="330" t="s">
        <v>38</v>
      </c>
      <c r="C15" s="330"/>
      <c r="D15" s="330"/>
      <c r="E15" s="330"/>
      <c r="F15" s="330"/>
      <c r="G15" s="29" t="s">
        <v>30</v>
      </c>
      <c r="H15" s="34">
        <v>630</v>
      </c>
      <c r="I15" s="174">
        <v>563491.13</v>
      </c>
      <c r="J15" s="260">
        <f t="shared" si="4"/>
        <v>535301.79872608278</v>
      </c>
      <c r="K15" s="169">
        <v>2119.13</v>
      </c>
      <c r="L15" s="170">
        <v>46.86</v>
      </c>
      <c r="M15" s="170">
        <f>16320.96+484.05</f>
        <v>16805.009999999998</v>
      </c>
      <c r="N15" s="170">
        <f>1352.56+5967.27</f>
        <v>7319.83</v>
      </c>
      <c r="O15" s="170">
        <v>35.08</v>
      </c>
      <c r="P15" s="170">
        <v>388.37</v>
      </c>
      <c r="Q15" s="178">
        <v>89.03</v>
      </c>
      <c r="R15" s="178">
        <v>16.53</v>
      </c>
      <c r="S15" s="170">
        <f>117.15</f>
        <v>117.15</v>
      </c>
      <c r="T15" s="170">
        <f>44037.7*0.63/200.17</f>
        <v>138.60094419743217</v>
      </c>
      <c r="U15" s="170">
        <v>117.15</v>
      </c>
      <c r="V15" s="170">
        <v>187.43</v>
      </c>
      <c r="W15" s="170">
        <v>14.06</v>
      </c>
      <c r="X15" s="170">
        <f>44037.7*0.22/200.17</f>
        <v>48.400329719738224</v>
      </c>
      <c r="Y15" s="170">
        <v>234.29</v>
      </c>
      <c r="Z15" s="48">
        <v>36.92</v>
      </c>
      <c r="AA15" s="170">
        <v>210.74</v>
      </c>
      <c r="AB15" s="178">
        <v>264.75</v>
      </c>
      <c r="AC15" s="38">
        <f t="shared" si="3"/>
        <v>0</v>
      </c>
      <c r="AE15" s="1" t="s">
        <v>56</v>
      </c>
    </row>
    <row r="16" spans="1:31" ht="39" customHeight="1" x14ac:dyDescent="0.25">
      <c r="A16" s="24"/>
      <c r="B16" s="330" t="s">
        <v>39</v>
      </c>
      <c r="C16" s="330"/>
      <c r="D16" s="330"/>
      <c r="E16" s="330"/>
      <c r="F16" s="330"/>
      <c r="G16" s="29" t="s">
        <v>30</v>
      </c>
      <c r="H16" s="34" t="s">
        <v>40</v>
      </c>
      <c r="I16" s="174">
        <v>0</v>
      </c>
      <c r="J16" s="175">
        <f t="shared" si="4"/>
        <v>-248.35</v>
      </c>
      <c r="K16" s="170">
        <v>0</v>
      </c>
      <c r="L16" s="170">
        <v>0</v>
      </c>
      <c r="M16" s="170">
        <v>0</v>
      </c>
      <c r="N16" s="170">
        <v>0</v>
      </c>
      <c r="O16" s="170">
        <v>248.35</v>
      </c>
      <c r="P16" s="170">
        <v>0</v>
      </c>
      <c r="Q16" s="178">
        <v>0</v>
      </c>
      <c r="R16" s="178">
        <v>0</v>
      </c>
      <c r="S16" s="170">
        <v>0</v>
      </c>
      <c r="T16" s="48">
        <v>0</v>
      </c>
      <c r="U16" s="170">
        <v>0</v>
      </c>
      <c r="V16" s="48">
        <v>0</v>
      </c>
      <c r="W16" s="48">
        <v>0</v>
      </c>
      <c r="X16" s="51">
        <v>0</v>
      </c>
      <c r="Y16" s="170">
        <v>0</v>
      </c>
      <c r="Z16" s="48">
        <v>0</v>
      </c>
      <c r="AA16" s="48">
        <v>0</v>
      </c>
      <c r="AB16" s="57">
        <v>0</v>
      </c>
      <c r="AC16" s="38">
        <f t="shared" si="3"/>
        <v>0</v>
      </c>
    </row>
    <row r="17" spans="1:29" ht="24.75" customHeight="1" x14ac:dyDescent="0.25">
      <c r="A17" s="24"/>
      <c r="B17" s="330" t="s">
        <v>41</v>
      </c>
      <c r="C17" s="330"/>
      <c r="D17" s="330"/>
      <c r="E17" s="330"/>
      <c r="F17" s="330"/>
      <c r="G17" s="29" t="s">
        <v>30</v>
      </c>
      <c r="H17" s="34" t="s">
        <v>42</v>
      </c>
      <c r="I17" s="174">
        <v>-7980.34</v>
      </c>
      <c r="J17" s="175">
        <f t="shared" si="4"/>
        <v>-7980.34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8">
        <v>0</v>
      </c>
      <c r="R17" s="178">
        <v>0</v>
      </c>
      <c r="S17" s="170">
        <v>0</v>
      </c>
      <c r="T17" s="48">
        <v>0</v>
      </c>
      <c r="U17" s="170">
        <v>0</v>
      </c>
      <c r="V17" s="48">
        <v>0</v>
      </c>
      <c r="W17" s="48">
        <v>0</v>
      </c>
      <c r="X17" s="51">
        <v>0</v>
      </c>
      <c r="Y17" s="170">
        <v>0</v>
      </c>
      <c r="Z17" s="48">
        <v>0</v>
      </c>
      <c r="AA17" s="48">
        <v>0</v>
      </c>
      <c r="AB17" s="57">
        <v>0</v>
      </c>
      <c r="AC17" s="38">
        <f t="shared" si="3"/>
        <v>0</v>
      </c>
    </row>
    <row r="18" spans="1:29" ht="12.75" customHeight="1" x14ac:dyDescent="0.25">
      <c r="A18" s="24"/>
      <c r="B18" s="331" t="s">
        <v>43</v>
      </c>
      <c r="C18" s="331"/>
      <c r="D18" s="331"/>
      <c r="E18" s="331"/>
      <c r="F18" s="331"/>
      <c r="G18" s="29"/>
      <c r="H18" s="34" t="s">
        <v>44</v>
      </c>
      <c r="I18" s="174">
        <v>183564.19</v>
      </c>
      <c r="J18" s="175">
        <f t="shared" si="4"/>
        <v>178222.82</v>
      </c>
      <c r="K18" s="170">
        <v>1306.69</v>
      </c>
      <c r="L18" s="170">
        <v>0</v>
      </c>
      <c r="M18" s="170">
        <v>50</v>
      </c>
      <c r="N18" s="170">
        <v>0</v>
      </c>
      <c r="O18" s="170">
        <v>1.91</v>
      </c>
      <c r="P18" s="170">
        <v>0</v>
      </c>
      <c r="Q18" s="178">
        <v>0</v>
      </c>
      <c r="R18" s="178">
        <v>0</v>
      </c>
      <c r="S18" s="170">
        <v>0</v>
      </c>
      <c r="T18" s="48">
        <v>0</v>
      </c>
      <c r="U18" s="170">
        <v>0</v>
      </c>
      <c r="V18" s="48">
        <v>0</v>
      </c>
      <c r="W18" s="48">
        <v>0</v>
      </c>
      <c r="X18" s="51">
        <v>0</v>
      </c>
      <c r="Y18" s="170">
        <f>353.97+3628.8</f>
        <v>3982.7700000000004</v>
      </c>
      <c r="Z18" s="48">
        <v>0</v>
      </c>
      <c r="AA18" s="48">
        <v>0</v>
      </c>
      <c r="AB18" s="172">
        <v>0</v>
      </c>
      <c r="AC18" s="38">
        <f t="shared" si="3"/>
        <v>0</v>
      </c>
    </row>
    <row r="19" spans="1:29" ht="24.75" customHeight="1" x14ac:dyDescent="0.25">
      <c r="A19" s="24"/>
      <c r="B19" s="330" t="s">
        <v>45</v>
      </c>
      <c r="C19" s="330"/>
      <c r="D19" s="330"/>
      <c r="E19" s="330"/>
      <c r="F19" s="330"/>
      <c r="G19" s="29" t="s">
        <v>46</v>
      </c>
      <c r="H19" s="34">
        <v>649</v>
      </c>
      <c r="I19" s="174">
        <v>0</v>
      </c>
      <c r="J19" s="261">
        <f t="shared" si="4"/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8">
        <v>0</v>
      </c>
      <c r="R19" s="178">
        <v>0</v>
      </c>
      <c r="S19" s="170">
        <v>0</v>
      </c>
      <c r="T19" s="48">
        <v>0</v>
      </c>
      <c r="U19" s="170">
        <v>0</v>
      </c>
      <c r="V19" s="48">
        <v>0</v>
      </c>
      <c r="W19" s="48">
        <v>0</v>
      </c>
      <c r="X19" s="51">
        <v>0</v>
      </c>
      <c r="Y19" s="170">
        <v>0</v>
      </c>
      <c r="Z19" s="48">
        <v>0</v>
      </c>
      <c r="AA19" s="48">
        <v>0</v>
      </c>
      <c r="AB19" s="57">
        <v>0</v>
      </c>
      <c r="AC19" s="38">
        <f t="shared" si="3"/>
        <v>0</v>
      </c>
    </row>
    <row r="20" spans="1:29" x14ac:dyDescent="0.25">
      <c r="A20" s="24"/>
      <c r="B20" s="58"/>
      <c r="C20" s="3"/>
      <c r="D20" s="39"/>
      <c r="E20" s="39"/>
      <c r="F20" s="39"/>
      <c r="G20" s="29"/>
      <c r="H20" s="34"/>
      <c r="I20" s="262"/>
      <c r="J20" s="263"/>
      <c r="K20" s="182"/>
      <c r="L20" s="182"/>
      <c r="M20" s="182"/>
      <c r="N20" s="182"/>
      <c r="O20" s="182"/>
      <c r="P20" s="182"/>
      <c r="Q20" s="264"/>
      <c r="R20" s="264"/>
      <c r="S20" s="182"/>
      <c r="T20" s="61"/>
      <c r="U20" s="182"/>
      <c r="V20" s="61"/>
      <c r="W20" s="61"/>
      <c r="X20" s="183"/>
      <c r="Y20" s="182"/>
      <c r="Z20" s="61"/>
      <c r="AA20" s="61"/>
      <c r="AB20" s="265"/>
      <c r="AC20" s="62"/>
    </row>
    <row r="21" spans="1:29" s="69" customFormat="1" x14ac:dyDescent="0.25">
      <c r="A21" s="332" t="s">
        <v>47</v>
      </c>
      <c r="B21" s="333"/>
      <c r="C21" s="333"/>
      <c r="D21" s="333"/>
      <c r="E21" s="333"/>
      <c r="F21" s="333"/>
      <c r="G21" s="63" t="s">
        <v>30</v>
      </c>
      <c r="H21" s="64">
        <v>9901</v>
      </c>
      <c r="I21" s="266">
        <f>I9-I14-I15-I16-I17-I18-I19</f>
        <v>-158023.19999999882</v>
      </c>
      <c r="J21" s="267">
        <f>J9-J14-J15-J16-J17-J18-J19</f>
        <v>-148428.08872608293</v>
      </c>
      <c r="K21" s="186">
        <f t="shared" ref="K21:M21" si="6">K9-K14-K15-K16-K17-K18-K19</f>
        <v>6.5028871176764369E-11</v>
      </c>
      <c r="L21" s="186">
        <f t="shared" si="6"/>
        <v>-7530.2</v>
      </c>
      <c r="M21" s="186">
        <f t="shared" si="6"/>
        <v>-69.700000000000728</v>
      </c>
      <c r="N21" s="186">
        <f>N9-N14-N15-N16-N17-N18-N19</f>
        <v>39.419999999985521</v>
      </c>
      <c r="O21" s="186">
        <f t="shared" ref="O21:P21" si="7">O9-O14-O15-O16-O17-O18-O19</f>
        <v>-3728.280000000002</v>
      </c>
      <c r="P21" s="186">
        <f t="shared" si="7"/>
        <v>7237.0400000000036</v>
      </c>
      <c r="Q21" s="268">
        <f>Q9-Q14-Q15-Q16-Q17-Q18-Q19</f>
        <v>-20841.84</v>
      </c>
      <c r="R21" s="268">
        <f>R9-R14-R15-R16-R17-R18-R19</f>
        <v>-1648.9300000000005</v>
      </c>
      <c r="S21" s="186">
        <f>S9-S14-S15-S16-S17-S18-S19</f>
        <v>2786.7700000000018</v>
      </c>
      <c r="T21" s="67">
        <f t="shared" ref="T21:AA21" si="8">T9-T14-T15-T16-T17-T18-T19</f>
        <v>1452.5390558025599</v>
      </c>
      <c r="U21" s="186">
        <f>U9-U14-U15-U16-U17-U18-U19</f>
        <v>5212.3000000000047</v>
      </c>
      <c r="V21" s="186">
        <f>V9-V14-V15-V16-V17-V18-V19</f>
        <v>2611.9900000000057</v>
      </c>
      <c r="W21" s="186">
        <f>W9-W14-W15-W16-W17-W18-W19</f>
        <v>1242.5700000000002</v>
      </c>
      <c r="X21" s="187">
        <f t="shared" ref="X21" si="9">X9-X14-X15-X16-X17-X18-X19</f>
        <v>7069.3396702802638</v>
      </c>
      <c r="Y21" s="186">
        <f>Y9-Y14-Y15-Y16-Y17-Y18-Y19</f>
        <v>3426.8400000000011</v>
      </c>
      <c r="Z21" s="67">
        <f>Z9-Z14-Z15-Z16-Z17-Z18-Z19</f>
        <v>-5709.0000000000018</v>
      </c>
      <c r="AA21" s="67">
        <f t="shared" si="8"/>
        <v>-2.0463630789890885E-12</v>
      </c>
      <c r="AB21" s="269">
        <f>AB9-AB14-AB15-AB16-AB17-AB18-AB19</f>
        <v>-1145.9700000000012</v>
      </c>
      <c r="AC21" s="68">
        <f>AC9-AC14-AC15-AC16-AC17-AC18-AC19</f>
        <v>0</v>
      </c>
    </row>
    <row r="22" spans="1:29" s="69" customFormat="1" x14ac:dyDescent="0.25">
      <c r="A22" s="70"/>
      <c r="B22" s="334"/>
      <c r="C22" s="335"/>
      <c r="D22" s="335"/>
      <c r="E22" s="335"/>
      <c r="F22" s="335"/>
      <c r="G22" s="63"/>
      <c r="H22" s="64"/>
      <c r="I22" s="270"/>
      <c r="J22" s="271"/>
      <c r="K22" s="190"/>
      <c r="L22" s="190"/>
      <c r="M22" s="190"/>
      <c r="N22" s="190"/>
      <c r="O22" s="190"/>
      <c r="P22" s="190"/>
      <c r="Q22" s="272"/>
      <c r="R22" s="272"/>
      <c r="S22" s="190"/>
      <c r="T22" s="73"/>
      <c r="U22" s="190"/>
      <c r="V22" s="73"/>
      <c r="W22" s="73"/>
      <c r="X22" s="191"/>
      <c r="Y22" s="190"/>
      <c r="Z22" s="73"/>
      <c r="AA22" s="73"/>
      <c r="AB22" s="273"/>
      <c r="AC22" s="74"/>
    </row>
    <row r="23" spans="1:29" x14ac:dyDescent="0.25">
      <c r="A23" s="75" t="s">
        <v>48</v>
      </c>
      <c r="B23" s="76"/>
      <c r="C23" s="76"/>
      <c r="D23" s="76"/>
      <c r="E23" s="76"/>
      <c r="F23" s="76"/>
      <c r="G23" s="25"/>
      <c r="H23" s="34">
        <v>75</v>
      </c>
      <c r="I23" s="253">
        <v>23806.17</v>
      </c>
      <c r="J23" s="175">
        <f>I23-SUM(K23:AB23)</f>
        <v>23806.17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254">
        <v>0</v>
      </c>
      <c r="R23" s="254">
        <v>0</v>
      </c>
      <c r="S23" s="163">
        <v>0</v>
      </c>
      <c r="T23" s="42">
        <v>0</v>
      </c>
      <c r="U23" s="163">
        <v>0</v>
      </c>
      <c r="V23" s="42">
        <v>0</v>
      </c>
      <c r="W23" s="42">
        <v>0</v>
      </c>
      <c r="X23" s="164">
        <v>0</v>
      </c>
      <c r="Y23" s="163">
        <v>0</v>
      </c>
      <c r="Z23" s="42">
        <v>0</v>
      </c>
      <c r="AA23" s="42">
        <v>0</v>
      </c>
      <c r="AB23" s="255">
        <v>0</v>
      </c>
      <c r="AC23" s="77">
        <f>I23-SUM(J23:AB23)</f>
        <v>0</v>
      </c>
    </row>
    <row r="24" spans="1:29" x14ac:dyDescent="0.25">
      <c r="A24" s="75"/>
      <c r="B24" s="76"/>
      <c r="C24" s="76"/>
      <c r="D24" s="76"/>
      <c r="E24" s="76"/>
      <c r="F24" s="76"/>
      <c r="G24" s="25"/>
      <c r="H24" s="34"/>
      <c r="I24" s="270"/>
      <c r="J24" s="271"/>
      <c r="K24" s="190"/>
      <c r="L24" s="190"/>
      <c r="M24" s="190"/>
      <c r="N24" s="190"/>
      <c r="O24" s="190"/>
      <c r="P24" s="190"/>
      <c r="Q24" s="272"/>
      <c r="R24" s="272"/>
      <c r="S24" s="190"/>
      <c r="T24" s="73"/>
      <c r="U24" s="190"/>
      <c r="V24" s="73"/>
      <c r="W24" s="73"/>
      <c r="X24" s="191"/>
      <c r="Y24" s="190"/>
      <c r="Z24" s="73"/>
      <c r="AA24" s="73"/>
      <c r="AB24" s="273"/>
      <c r="AC24" s="77"/>
    </row>
    <row r="25" spans="1:29" x14ac:dyDescent="0.25">
      <c r="A25" s="324" t="s">
        <v>49</v>
      </c>
      <c r="B25" s="325"/>
      <c r="C25" s="325"/>
      <c r="D25" s="325"/>
      <c r="E25" s="325"/>
      <c r="F25" s="325"/>
      <c r="G25" s="25"/>
      <c r="H25" s="34">
        <v>65</v>
      </c>
      <c r="I25" s="274">
        <v>70172.33</v>
      </c>
      <c r="J25" s="175">
        <f>I25-SUM(K25:AB25)</f>
        <v>70172.33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275">
        <v>0</v>
      </c>
      <c r="R25" s="275">
        <v>0</v>
      </c>
      <c r="S25" s="193">
        <v>0</v>
      </c>
      <c r="T25" s="79">
        <v>0</v>
      </c>
      <c r="U25" s="193">
        <v>0</v>
      </c>
      <c r="V25" s="79">
        <v>0</v>
      </c>
      <c r="W25" s="79">
        <v>0</v>
      </c>
      <c r="X25" s="194">
        <v>0</v>
      </c>
      <c r="Y25" s="193">
        <v>0</v>
      </c>
      <c r="Z25" s="79">
        <v>0</v>
      </c>
      <c r="AA25" s="79">
        <v>0</v>
      </c>
      <c r="AB25" s="276">
        <v>0</v>
      </c>
      <c r="AC25" s="77">
        <f>I25-SUM(J25:AB25)</f>
        <v>0</v>
      </c>
    </row>
    <row r="26" spans="1:29" x14ac:dyDescent="0.25">
      <c r="A26" s="30"/>
      <c r="B26" s="32"/>
      <c r="C26" s="32"/>
      <c r="D26" s="32"/>
      <c r="E26" s="32"/>
      <c r="F26" s="32"/>
      <c r="G26" s="25"/>
      <c r="H26" s="34"/>
      <c r="I26" s="277"/>
      <c r="J26" s="278"/>
      <c r="K26" s="197"/>
      <c r="L26" s="197"/>
      <c r="M26" s="197"/>
      <c r="N26" s="197"/>
      <c r="O26" s="197"/>
      <c r="P26" s="197"/>
      <c r="Q26" s="279"/>
      <c r="R26" s="279"/>
      <c r="S26" s="197"/>
      <c r="T26" s="82"/>
      <c r="U26" s="197"/>
      <c r="V26" s="82"/>
      <c r="W26" s="82"/>
      <c r="X26" s="198"/>
      <c r="Y26" s="197"/>
      <c r="Z26" s="82"/>
      <c r="AA26" s="82"/>
      <c r="AB26" s="280"/>
      <c r="AC26" s="83"/>
    </row>
    <row r="27" spans="1:29" x14ac:dyDescent="0.25">
      <c r="A27" s="328" t="s">
        <v>50</v>
      </c>
      <c r="B27" s="329"/>
      <c r="C27" s="329"/>
      <c r="D27" s="329"/>
      <c r="E27" s="329"/>
      <c r="F27" s="329"/>
      <c r="G27" s="84" t="s">
        <v>30</v>
      </c>
      <c r="H27" s="34">
        <v>9902</v>
      </c>
      <c r="I27" s="266">
        <f t="shared" ref="I27:M27" si="10">I21+I23-I25</f>
        <v>-204389.35999999882</v>
      </c>
      <c r="J27" s="267">
        <f>J21+J23-J25</f>
        <v>-194794.24872608294</v>
      </c>
      <c r="K27" s="186">
        <f t="shared" si="10"/>
        <v>6.5028871176764369E-11</v>
      </c>
      <c r="L27" s="186">
        <f t="shared" si="10"/>
        <v>-7530.2</v>
      </c>
      <c r="M27" s="186">
        <f t="shared" si="10"/>
        <v>-69.700000000000728</v>
      </c>
      <c r="N27" s="186">
        <f>N21+N23-N25</f>
        <v>39.419999999985521</v>
      </c>
      <c r="O27" s="186">
        <f t="shared" ref="O27:P27" si="11">O21+O23-O25</f>
        <v>-3728.280000000002</v>
      </c>
      <c r="P27" s="186">
        <f t="shared" si="11"/>
        <v>7237.0400000000036</v>
      </c>
      <c r="Q27" s="268">
        <f>Q21+Q23-Q25</f>
        <v>-20841.84</v>
      </c>
      <c r="R27" s="268">
        <f>R21+R23-R25</f>
        <v>-1648.9300000000005</v>
      </c>
      <c r="S27" s="186">
        <f>S21+S23-S25</f>
        <v>2786.7700000000018</v>
      </c>
      <c r="T27" s="67">
        <f t="shared" ref="T27:AA27" si="12">T21+T23-T25</f>
        <v>1452.5390558025599</v>
      </c>
      <c r="U27" s="186">
        <f>U21+U23-U25</f>
        <v>5212.3000000000047</v>
      </c>
      <c r="V27" s="67">
        <f t="shared" si="12"/>
        <v>2611.9900000000057</v>
      </c>
      <c r="W27" s="67">
        <f t="shared" si="12"/>
        <v>1242.5700000000002</v>
      </c>
      <c r="X27" s="187">
        <f t="shared" si="12"/>
        <v>7069.3396702802638</v>
      </c>
      <c r="Y27" s="186">
        <f>Y21+Y23-Y25</f>
        <v>3426.8400000000011</v>
      </c>
      <c r="Z27" s="67">
        <f>Z21+Z23-Z25</f>
        <v>-5709.0000000000018</v>
      </c>
      <c r="AA27" s="67">
        <f t="shared" si="12"/>
        <v>-2.0463630789890885E-12</v>
      </c>
      <c r="AB27" s="269">
        <f>AB21+AB23-AB25</f>
        <v>-1145.9700000000012</v>
      </c>
      <c r="AC27" s="68">
        <f>AC21+AC23-AC25</f>
        <v>0</v>
      </c>
    </row>
    <row r="28" spans="1:29" x14ac:dyDescent="0.25">
      <c r="A28" s="24"/>
      <c r="B28" s="20"/>
      <c r="C28" s="20"/>
      <c r="D28" s="20"/>
      <c r="E28" s="20"/>
      <c r="F28" s="20"/>
      <c r="G28" s="25"/>
      <c r="H28" s="34"/>
      <c r="I28" s="281"/>
      <c r="J28" s="263"/>
      <c r="K28" s="182"/>
      <c r="L28" s="182"/>
      <c r="M28" s="182"/>
      <c r="N28" s="182"/>
      <c r="O28" s="182"/>
      <c r="P28" s="182"/>
      <c r="Q28" s="264"/>
      <c r="R28" s="264"/>
      <c r="S28" s="182"/>
      <c r="T28" s="61"/>
      <c r="U28" s="182"/>
      <c r="V28" s="61"/>
      <c r="W28" s="61"/>
      <c r="X28" s="183"/>
      <c r="Y28" s="182"/>
      <c r="Z28" s="61"/>
      <c r="AA28" s="61"/>
      <c r="AB28" s="265"/>
      <c r="AC28" s="62"/>
    </row>
    <row r="29" spans="1:29" x14ac:dyDescent="0.25">
      <c r="A29" s="324" t="s">
        <v>51</v>
      </c>
      <c r="B29" s="325"/>
      <c r="C29" s="325"/>
      <c r="D29" s="325"/>
      <c r="E29" s="325"/>
      <c r="F29" s="325"/>
      <c r="G29" s="25"/>
      <c r="H29" s="34">
        <v>76</v>
      </c>
      <c r="I29" s="253">
        <v>5590.99</v>
      </c>
      <c r="J29" s="261">
        <f>I29-SUM(K29:AB29)</f>
        <v>5590.99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254">
        <v>0</v>
      </c>
      <c r="R29" s="254">
        <v>0</v>
      </c>
      <c r="S29" s="163">
        <v>0</v>
      </c>
      <c r="T29" s="42">
        <v>0</v>
      </c>
      <c r="U29" s="163">
        <v>0</v>
      </c>
      <c r="V29" s="42">
        <v>0</v>
      </c>
      <c r="W29" s="42">
        <v>0</v>
      </c>
      <c r="X29" s="164">
        <v>0</v>
      </c>
      <c r="Y29" s="163">
        <v>0</v>
      </c>
      <c r="Z29" s="42">
        <v>0</v>
      </c>
      <c r="AA29" s="42">
        <v>0</v>
      </c>
      <c r="AB29" s="255">
        <v>0</v>
      </c>
      <c r="AC29" s="77">
        <f>I29-SUM(J29:AB29)</f>
        <v>0</v>
      </c>
    </row>
    <row r="30" spans="1:29" x14ac:dyDescent="0.25">
      <c r="A30" s="30"/>
      <c r="B30" s="32"/>
      <c r="C30" s="32"/>
      <c r="D30" s="32"/>
      <c r="E30" s="32"/>
      <c r="F30" s="32"/>
      <c r="G30" s="25"/>
      <c r="H30" s="34"/>
      <c r="I30" s="270"/>
      <c r="J30" s="271"/>
      <c r="K30" s="190"/>
      <c r="L30" s="190"/>
      <c r="M30" s="190"/>
      <c r="N30" s="190"/>
      <c r="O30" s="190"/>
      <c r="P30" s="190"/>
      <c r="Q30" s="272"/>
      <c r="R30" s="272"/>
      <c r="S30" s="190"/>
      <c r="T30" s="73"/>
      <c r="U30" s="190"/>
      <c r="V30" s="73"/>
      <c r="W30" s="73"/>
      <c r="X30" s="191"/>
      <c r="Y30" s="190"/>
      <c r="Z30" s="73"/>
      <c r="AA30" s="73"/>
      <c r="AB30" s="273"/>
      <c r="AC30" s="77"/>
    </row>
    <row r="31" spans="1:29" x14ac:dyDescent="0.25">
      <c r="A31" s="324" t="s">
        <v>52</v>
      </c>
      <c r="B31" s="325"/>
      <c r="C31" s="325"/>
      <c r="D31" s="325"/>
      <c r="E31" s="325"/>
      <c r="F31" s="325"/>
      <c r="G31" s="25"/>
      <c r="H31" s="34">
        <v>66</v>
      </c>
      <c r="I31" s="274">
        <v>17881.669999999998</v>
      </c>
      <c r="J31" s="274">
        <f>I31-SUM(K31:AB31)</f>
        <v>17881.669999999998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275">
        <v>0</v>
      </c>
      <c r="R31" s="275">
        <v>0</v>
      </c>
      <c r="S31" s="193">
        <v>0</v>
      </c>
      <c r="T31" s="79">
        <v>0</v>
      </c>
      <c r="U31" s="193">
        <v>0</v>
      </c>
      <c r="V31" s="79">
        <v>0</v>
      </c>
      <c r="W31" s="79">
        <v>0</v>
      </c>
      <c r="X31" s="194">
        <v>0</v>
      </c>
      <c r="Y31" s="193">
        <v>0</v>
      </c>
      <c r="Z31" s="79">
        <v>0</v>
      </c>
      <c r="AA31" s="79">
        <v>0</v>
      </c>
      <c r="AB31" s="276">
        <v>0</v>
      </c>
      <c r="AC31" s="77">
        <f>I31-SUM(J31:AB31)</f>
        <v>0</v>
      </c>
    </row>
    <row r="32" spans="1:29" x14ac:dyDescent="0.25">
      <c r="A32" s="30"/>
      <c r="B32" s="32"/>
      <c r="C32" s="32"/>
      <c r="D32" s="32"/>
      <c r="E32" s="32"/>
      <c r="F32" s="32"/>
      <c r="G32" s="25"/>
      <c r="H32" s="34"/>
      <c r="I32" s="281"/>
      <c r="J32" s="281"/>
      <c r="K32" s="182"/>
      <c r="L32" s="182"/>
      <c r="M32" s="182"/>
      <c r="N32" s="182"/>
      <c r="O32" s="182"/>
      <c r="P32" s="182"/>
      <c r="Q32" s="264"/>
      <c r="R32" s="264"/>
      <c r="S32" s="182"/>
      <c r="T32" s="61"/>
      <c r="U32" s="182"/>
      <c r="V32" s="61"/>
      <c r="W32" s="61"/>
      <c r="X32" s="183"/>
      <c r="Y32" s="182"/>
      <c r="Z32" s="61"/>
      <c r="AA32" s="61"/>
      <c r="AB32" s="265"/>
      <c r="AC32" s="38"/>
    </row>
    <row r="33" spans="1:29" x14ac:dyDescent="0.25">
      <c r="A33" s="324" t="s">
        <v>53</v>
      </c>
      <c r="B33" s="325"/>
      <c r="C33" s="325"/>
      <c r="D33" s="325"/>
      <c r="E33" s="325"/>
      <c r="F33" s="325"/>
      <c r="G33" s="25"/>
      <c r="H33" s="34">
        <v>67</v>
      </c>
      <c r="I33" s="274">
        <v>0</v>
      </c>
      <c r="J33" s="253">
        <f>I33-SUM(K33:AB33)</f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275">
        <v>0</v>
      </c>
      <c r="R33" s="275">
        <v>0</v>
      </c>
      <c r="S33" s="193">
        <v>0</v>
      </c>
      <c r="T33" s="79">
        <v>0</v>
      </c>
      <c r="U33" s="193">
        <v>0</v>
      </c>
      <c r="V33" s="79">
        <v>0</v>
      </c>
      <c r="W33" s="79">
        <v>0</v>
      </c>
      <c r="X33" s="194">
        <v>0</v>
      </c>
      <c r="Y33" s="193">
        <v>0</v>
      </c>
      <c r="Z33" s="79">
        <v>0</v>
      </c>
      <c r="AA33" s="79">
        <v>0</v>
      </c>
      <c r="AB33" s="276">
        <v>0</v>
      </c>
      <c r="AC33" s="77">
        <f>I33-SUM(J33:AB33)</f>
        <v>0</v>
      </c>
    </row>
    <row r="34" spans="1:29" x14ac:dyDescent="0.25">
      <c r="A34" s="24"/>
      <c r="B34" s="20"/>
      <c r="C34" s="20"/>
      <c r="D34" s="20"/>
      <c r="E34" s="20"/>
      <c r="F34" s="20"/>
      <c r="G34" s="25"/>
      <c r="H34" s="34"/>
      <c r="I34" s="281"/>
      <c r="J34" s="263"/>
      <c r="K34" s="182"/>
      <c r="L34" s="182"/>
      <c r="M34" s="182"/>
      <c r="N34" s="182"/>
      <c r="O34" s="182"/>
      <c r="P34" s="182"/>
      <c r="Q34" s="264"/>
      <c r="R34" s="264"/>
      <c r="S34" s="182"/>
      <c r="T34" s="61"/>
      <c r="U34" s="182"/>
      <c r="V34" s="61"/>
      <c r="W34" s="61"/>
      <c r="X34" s="183"/>
      <c r="Y34" s="182"/>
      <c r="Z34" s="61"/>
      <c r="AA34" s="61"/>
      <c r="AB34" s="265"/>
      <c r="AC34" s="62"/>
    </row>
    <row r="35" spans="1:29" s="69" customFormat="1" x14ac:dyDescent="0.25">
      <c r="A35" s="326" t="s">
        <v>54</v>
      </c>
      <c r="B35" s="327"/>
      <c r="C35" s="327"/>
      <c r="D35" s="327"/>
      <c r="E35" s="327"/>
      <c r="F35" s="327"/>
      <c r="G35" s="85" t="s">
        <v>30</v>
      </c>
      <c r="H35" s="64">
        <v>9904</v>
      </c>
      <c r="I35" s="266">
        <f>I27+I29-I31-I33</f>
        <v>-216680.03999999881</v>
      </c>
      <c r="J35" s="267">
        <f>J27+J29-J31-J33</f>
        <v>-207084.92872608296</v>
      </c>
      <c r="K35" s="186">
        <f t="shared" ref="K35:M35" si="13">K27+K29-K31</f>
        <v>6.5028871176764369E-11</v>
      </c>
      <c r="L35" s="186">
        <f t="shared" si="13"/>
        <v>-7530.2</v>
      </c>
      <c r="M35" s="186">
        <f t="shared" si="13"/>
        <v>-69.700000000000728</v>
      </c>
      <c r="N35" s="186">
        <f>N27+N29-N31</f>
        <v>39.419999999985521</v>
      </c>
      <c r="O35" s="186">
        <f t="shared" ref="O35:X35" si="14">O27+O29-O31</f>
        <v>-3728.280000000002</v>
      </c>
      <c r="P35" s="186">
        <f t="shared" si="14"/>
        <v>7237.0400000000036</v>
      </c>
      <c r="Q35" s="268">
        <f t="shared" si="14"/>
        <v>-20841.84</v>
      </c>
      <c r="R35" s="268">
        <f t="shared" si="14"/>
        <v>-1648.9300000000005</v>
      </c>
      <c r="S35" s="186">
        <f t="shared" si="14"/>
        <v>2786.7700000000018</v>
      </c>
      <c r="T35" s="67">
        <f t="shared" si="14"/>
        <v>1452.5390558025599</v>
      </c>
      <c r="U35" s="186">
        <f t="shared" si="14"/>
        <v>5212.3000000000047</v>
      </c>
      <c r="V35" s="67">
        <f t="shared" si="14"/>
        <v>2611.9900000000057</v>
      </c>
      <c r="W35" s="67">
        <f t="shared" si="14"/>
        <v>1242.5700000000002</v>
      </c>
      <c r="X35" s="187">
        <f t="shared" si="14"/>
        <v>7069.3396702802638</v>
      </c>
      <c r="Y35" s="186">
        <f>Y27+Y29-Y31</f>
        <v>3426.8400000000011</v>
      </c>
      <c r="Z35" s="67">
        <f>Z27+Z29-Z31</f>
        <v>-5709.0000000000018</v>
      </c>
      <c r="AA35" s="186">
        <f t="shared" ref="AA35" si="15">AA27+AA29-AA31</f>
        <v>-2.0463630789890885E-12</v>
      </c>
      <c r="AB35" s="269">
        <f>AB27+AB29-AB31</f>
        <v>-1145.9700000000012</v>
      </c>
      <c r="AC35" s="68">
        <f>AC27+AC29-AC31</f>
        <v>0</v>
      </c>
    </row>
    <row r="36" spans="1:29" ht="8.25" customHeight="1" thickBot="1" x14ac:dyDescent="0.3">
      <c r="A36" s="86"/>
      <c r="B36" s="87"/>
      <c r="C36" s="87"/>
      <c r="D36" s="87"/>
      <c r="E36" s="87"/>
      <c r="F36" s="87"/>
      <c r="G36" s="88"/>
      <c r="H36" s="89"/>
      <c r="I36" s="282"/>
      <c r="J36" s="283"/>
      <c r="K36" s="202"/>
      <c r="L36" s="202"/>
      <c r="M36" s="202"/>
      <c r="N36" s="202"/>
      <c r="O36" s="202"/>
      <c r="P36" s="202"/>
      <c r="Q36" s="284"/>
      <c r="R36" s="284"/>
      <c r="S36" s="202"/>
      <c r="T36" s="78"/>
      <c r="U36" s="202"/>
      <c r="V36" s="78"/>
      <c r="W36" s="78"/>
      <c r="X36" s="203"/>
      <c r="Y36" s="202"/>
      <c r="Z36" s="78"/>
      <c r="AA36" s="78"/>
      <c r="AB36" s="285"/>
      <c r="AC36" s="91"/>
    </row>
    <row r="37" spans="1:29" x14ac:dyDescent="0.25">
      <c r="G37" s="25"/>
      <c r="H37" s="92"/>
      <c r="I37" s="286"/>
      <c r="J37" s="286"/>
      <c r="K37" s="205"/>
      <c r="L37" s="205"/>
      <c r="M37" s="205"/>
      <c r="N37" s="205"/>
      <c r="O37" s="205"/>
      <c r="P37" s="205"/>
      <c r="Q37" s="287"/>
      <c r="R37" s="287"/>
      <c r="S37" s="205"/>
      <c r="T37" s="93"/>
      <c r="U37" s="205"/>
      <c r="V37" s="93"/>
      <c r="W37" s="93"/>
      <c r="X37" s="206"/>
      <c r="Y37" s="205"/>
      <c r="Z37" s="93"/>
      <c r="AA37" s="93"/>
      <c r="AB37" s="288"/>
      <c r="AC37" s="95"/>
    </row>
    <row r="38" spans="1:29" x14ac:dyDescent="0.25">
      <c r="A38" s="324" t="s">
        <v>55</v>
      </c>
      <c r="B38" s="325"/>
      <c r="C38" s="325"/>
      <c r="D38" s="325"/>
      <c r="E38" s="325"/>
      <c r="F38" s="325"/>
      <c r="G38" s="25"/>
      <c r="H38" s="34">
        <v>69</v>
      </c>
      <c r="I38" s="289">
        <v>24800</v>
      </c>
      <c r="J38" s="274">
        <f>I38-SUM(K38:AB38)</f>
        <v>24800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275">
        <v>0</v>
      </c>
      <c r="R38" s="193">
        <v>0</v>
      </c>
      <c r="S38" s="193">
        <v>0</v>
      </c>
      <c r="T38" s="79">
        <v>0</v>
      </c>
      <c r="U38" s="193">
        <v>0</v>
      </c>
      <c r="V38" s="79">
        <v>0</v>
      </c>
      <c r="W38" s="79">
        <v>0</v>
      </c>
      <c r="X38" s="194">
        <v>0</v>
      </c>
      <c r="Y38" s="193">
        <v>0</v>
      </c>
      <c r="Z38" s="79">
        <v>0</v>
      </c>
      <c r="AA38" s="79">
        <v>0</v>
      </c>
      <c r="AB38" s="276">
        <v>0</v>
      </c>
      <c r="AC38" s="77">
        <f>I38-SUM(J38:AB38)</f>
        <v>0</v>
      </c>
    </row>
    <row r="39" spans="1:29" x14ac:dyDescent="0.25">
      <c r="A39" s="30"/>
      <c r="B39" s="32"/>
      <c r="C39" s="32"/>
      <c r="D39" s="32"/>
      <c r="E39" s="32"/>
      <c r="F39" s="32"/>
      <c r="G39" s="25"/>
      <c r="H39" s="34"/>
      <c r="I39" s="290" t="s">
        <v>56</v>
      </c>
      <c r="J39" s="291"/>
      <c r="K39" s="182"/>
      <c r="L39" s="182"/>
      <c r="M39" s="182"/>
      <c r="N39" s="182"/>
      <c r="O39" s="182"/>
      <c r="P39" s="182"/>
      <c r="Q39" s="264"/>
      <c r="R39" s="182"/>
      <c r="S39" s="182"/>
      <c r="T39" s="61"/>
      <c r="U39" s="182"/>
      <c r="V39" s="61"/>
      <c r="W39" s="61"/>
      <c r="X39" s="183"/>
      <c r="Y39" s="182"/>
      <c r="Z39" s="61"/>
      <c r="AA39" s="61"/>
      <c r="AB39" s="265"/>
      <c r="AC39" s="38"/>
    </row>
    <row r="40" spans="1:29" x14ac:dyDescent="0.25">
      <c r="A40" s="324" t="s">
        <v>57</v>
      </c>
      <c r="B40" s="325"/>
      <c r="C40" s="325"/>
      <c r="D40" s="325"/>
      <c r="E40" s="325"/>
      <c r="F40" s="325"/>
      <c r="G40" s="25"/>
      <c r="H40" s="34">
        <v>79</v>
      </c>
      <c r="I40" s="289">
        <f>241480.04-46783.73</f>
        <v>194696.31</v>
      </c>
      <c r="J40" s="274">
        <f>I40-SUM(K40:AB40)</f>
        <v>194696.31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275">
        <v>0</v>
      </c>
      <c r="R40" s="193">
        <v>0</v>
      </c>
      <c r="S40" s="193">
        <v>0</v>
      </c>
      <c r="T40" s="79">
        <v>0</v>
      </c>
      <c r="U40" s="193">
        <v>0</v>
      </c>
      <c r="V40" s="79">
        <v>0</v>
      </c>
      <c r="W40" s="79">
        <v>0</v>
      </c>
      <c r="X40" s="194">
        <v>0</v>
      </c>
      <c r="Y40" s="193">
        <v>0</v>
      </c>
      <c r="Z40" s="79">
        <v>0</v>
      </c>
      <c r="AA40" s="79">
        <v>0</v>
      </c>
      <c r="AB40" s="276">
        <v>0</v>
      </c>
      <c r="AC40" s="77">
        <f>I40-SUM(J40:AB40)</f>
        <v>0</v>
      </c>
    </row>
    <row r="41" spans="1:29" x14ac:dyDescent="0.25">
      <c r="A41" s="24"/>
      <c r="B41" s="20"/>
      <c r="C41" s="20"/>
      <c r="D41" s="20"/>
      <c r="E41" s="20"/>
      <c r="F41" s="20"/>
      <c r="G41" s="25"/>
      <c r="H41" s="34"/>
      <c r="I41" s="262"/>
      <c r="J41" s="263"/>
      <c r="K41" s="182"/>
      <c r="L41" s="182"/>
      <c r="M41" s="182"/>
      <c r="N41" s="182"/>
      <c r="O41" s="182"/>
      <c r="P41" s="182"/>
      <c r="Q41" s="264"/>
      <c r="R41" s="182"/>
      <c r="S41" s="182"/>
      <c r="T41" s="61"/>
      <c r="U41" s="182"/>
      <c r="V41" s="61"/>
      <c r="W41" s="61"/>
      <c r="X41" s="183"/>
      <c r="Y41" s="182"/>
      <c r="Z41" s="61"/>
      <c r="AA41" s="61"/>
      <c r="AB41" s="265"/>
      <c r="AC41" s="62"/>
    </row>
    <row r="42" spans="1:29" x14ac:dyDescent="0.25">
      <c r="A42" s="326" t="s">
        <v>58</v>
      </c>
      <c r="B42" s="327"/>
      <c r="C42" s="327"/>
      <c r="D42" s="327"/>
      <c r="E42" s="327"/>
      <c r="F42" s="327"/>
      <c r="G42" s="85"/>
      <c r="H42" s="64"/>
      <c r="I42" s="292">
        <f>I35-I38+I40</f>
        <v>-46783.729999998817</v>
      </c>
      <c r="J42" s="293">
        <f>J35-J38+J40</f>
        <v>-37188.618726082961</v>
      </c>
      <c r="K42" s="186">
        <f t="shared" ref="K42:AC42" si="16">K35</f>
        <v>6.5028871176764369E-11</v>
      </c>
      <c r="L42" s="186">
        <f t="shared" si="16"/>
        <v>-7530.2</v>
      </c>
      <c r="M42" s="186">
        <f t="shared" si="16"/>
        <v>-69.700000000000728</v>
      </c>
      <c r="N42" s="186">
        <f t="shared" si="16"/>
        <v>39.419999999985521</v>
      </c>
      <c r="O42" s="186">
        <f t="shared" si="16"/>
        <v>-3728.280000000002</v>
      </c>
      <c r="P42" s="186">
        <f t="shared" si="16"/>
        <v>7237.0400000000036</v>
      </c>
      <c r="Q42" s="268">
        <f>Q35</f>
        <v>-20841.84</v>
      </c>
      <c r="R42" s="186">
        <f>R35</f>
        <v>-1648.9300000000005</v>
      </c>
      <c r="S42" s="186">
        <f>S35</f>
        <v>2786.7700000000018</v>
      </c>
      <c r="T42" s="67">
        <f t="shared" si="16"/>
        <v>1452.5390558025599</v>
      </c>
      <c r="U42" s="186">
        <f>U35</f>
        <v>5212.3000000000047</v>
      </c>
      <c r="V42" s="67">
        <f t="shared" si="16"/>
        <v>2611.9900000000057</v>
      </c>
      <c r="W42" s="67">
        <f t="shared" si="16"/>
        <v>1242.5700000000002</v>
      </c>
      <c r="X42" s="187">
        <f>X35</f>
        <v>7069.3396702802638</v>
      </c>
      <c r="Y42" s="186">
        <f>Y35</f>
        <v>3426.8400000000011</v>
      </c>
      <c r="Z42" s="67">
        <f>Z35</f>
        <v>-5709.0000000000018</v>
      </c>
      <c r="AA42" s="67">
        <f t="shared" si="16"/>
        <v>-2.0463630789890885E-12</v>
      </c>
      <c r="AB42" s="269">
        <f>AB35</f>
        <v>-1145.9700000000012</v>
      </c>
      <c r="AC42" s="68">
        <f t="shared" si="16"/>
        <v>0</v>
      </c>
    </row>
    <row r="43" spans="1:29" ht="15.75" thickBot="1" x14ac:dyDescent="0.3">
      <c r="A43" s="86"/>
      <c r="B43" s="87"/>
      <c r="C43" s="87"/>
      <c r="D43" s="87"/>
      <c r="E43" s="87"/>
      <c r="F43" s="87"/>
      <c r="G43" s="88"/>
      <c r="H43" s="89"/>
      <c r="I43" s="285"/>
      <c r="J43" s="285"/>
      <c r="K43" s="202"/>
      <c r="L43" s="202"/>
      <c r="M43" s="202"/>
      <c r="N43" s="202"/>
      <c r="O43" s="202"/>
      <c r="P43" s="202"/>
      <c r="Q43" s="284"/>
      <c r="R43" s="284"/>
      <c r="S43" s="202"/>
      <c r="T43" s="78"/>
      <c r="U43" s="202"/>
      <c r="V43" s="78"/>
      <c r="W43" s="78"/>
      <c r="X43" s="203"/>
      <c r="Y43" s="202"/>
      <c r="Z43" s="78"/>
      <c r="AA43" s="78"/>
      <c r="AB43" s="285"/>
      <c r="AC43" s="91"/>
    </row>
    <row r="44" spans="1:29" x14ac:dyDescent="0.25">
      <c r="I44" s="99"/>
      <c r="J44" s="99"/>
      <c r="K44" s="212"/>
      <c r="L44" s="212"/>
      <c r="M44" s="212"/>
      <c r="N44" s="212"/>
      <c r="O44" s="212"/>
      <c r="P44" s="212"/>
      <c r="Q44" s="212"/>
      <c r="R44" s="212"/>
      <c r="S44" s="212"/>
      <c r="T44" s="99"/>
      <c r="U44" s="99"/>
      <c r="V44" s="99"/>
      <c r="W44" s="99"/>
      <c r="X44" s="213"/>
      <c r="Y44" s="99"/>
      <c r="Z44" s="99"/>
      <c r="AA44" s="99"/>
      <c r="AB44" s="294"/>
    </row>
    <row r="45" spans="1:29" x14ac:dyDescent="0.25">
      <c r="N45" s="214" t="s">
        <v>56</v>
      </c>
      <c r="X45" s="142"/>
      <c r="AB45" s="294"/>
    </row>
    <row r="46" spans="1:29" x14ac:dyDescent="0.25">
      <c r="X46" s="142"/>
    </row>
    <row r="47" spans="1:29" x14ac:dyDescent="0.25">
      <c r="X47" s="142"/>
    </row>
    <row r="48" spans="1:29" x14ac:dyDescent="0.25">
      <c r="X48" s="142"/>
    </row>
    <row r="49" spans="24:24" x14ac:dyDescent="0.25">
      <c r="X49" s="142"/>
    </row>
    <row r="50" spans="24:24" x14ac:dyDescent="0.25">
      <c r="X50" s="142"/>
    </row>
    <row r="51" spans="24:24" x14ac:dyDescent="0.25">
      <c r="X51" s="142"/>
    </row>
    <row r="52" spans="24:24" x14ac:dyDescent="0.25">
      <c r="X52" s="142"/>
    </row>
    <row r="53" spans="24:24" x14ac:dyDescent="0.25">
      <c r="X53" s="142"/>
    </row>
    <row r="54" spans="24:24" x14ac:dyDescent="0.25">
      <c r="X54" s="142"/>
    </row>
    <row r="55" spans="24:24" x14ac:dyDescent="0.25">
      <c r="X55" s="142"/>
    </row>
    <row r="56" spans="24:24" x14ac:dyDescent="0.25">
      <c r="X56" s="142"/>
    </row>
    <row r="57" spans="24:24" x14ac:dyDescent="0.25">
      <c r="X57" s="142"/>
    </row>
    <row r="58" spans="24:24" x14ac:dyDescent="0.25">
      <c r="X58" s="142"/>
    </row>
    <row r="59" spans="24:24" x14ac:dyDescent="0.25">
      <c r="X59" s="142"/>
    </row>
    <row r="60" spans="24:24" x14ac:dyDescent="0.25">
      <c r="X60" s="142"/>
    </row>
    <row r="61" spans="24:24" x14ac:dyDescent="0.25">
      <c r="X61" s="142"/>
    </row>
    <row r="62" spans="24:24" x14ac:dyDescent="0.25">
      <c r="X62" s="142"/>
    </row>
    <row r="63" spans="24:24" x14ac:dyDescent="0.25">
      <c r="X63" s="142"/>
    </row>
    <row r="64" spans="24:24" x14ac:dyDescent="0.25">
      <c r="X64" s="142"/>
    </row>
    <row r="65" spans="24:24" x14ac:dyDescent="0.25">
      <c r="X65" s="142"/>
    </row>
    <row r="66" spans="24:24" x14ac:dyDescent="0.25">
      <c r="X66" s="142"/>
    </row>
    <row r="67" spans="24:24" x14ac:dyDescent="0.25">
      <c r="X67" s="142"/>
    </row>
    <row r="68" spans="24:24" x14ac:dyDescent="0.25">
      <c r="X68" s="142"/>
    </row>
    <row r="69" spans="24:24" x14ac:dyDescent="0.25">
      <c r="X69" s="142"/>
    </row>
    <row r="70" spans="24:24" x14ac:dyDescent="0.25">
      <c r="X70" s="142"/>
    </row>
    <row r="71" spans="24:24" x14ac:dyDescent="0.25">
      <c r="X71" s="142"/>
    </row>
    <row r="72" spans="24:24" x14ac:dyDescent="0.25">
      <c r="X72" s="142"/>
    </row>
    <row r="73" spans="24:24" x14ac:dyDescent="0.25">
      <c r="X73" s="142"/>
    </row>
    <row r="74" spans="24:24" x14ac:dyDescent="0.25">
      <c r="X74" s="142"/>
    </row>
    <row r="75" spans="24:24" x14ac:dyDescent="0.25">
      <c r="X75" s="142"/>
    </row>
    <row r="76" spans="24:24" x14ac:dyDescent="0.25">
      <c r="X76" s="142"/>
    </row>
    <row r="77" spans="24:24" x14ac:dyDescent="0.25">
      <c r="X77" s="142"/>
    </row>
    <row r="78" spans="24:24" x14ac:dyDescent="0.25">
      <c r="X78" s="142"/>
    </row>
    <row r="79" spans="24:24" x14ac:dyDescent="0.25">
      <c r="X79" s="142"/>
    </row>
    <row r="80" spans="24:24" x14ac:dyDescent="0.25">
      <c r="X80" s="142"/>
    </row>
    <row r="81" spans="24:24" x14ac:dyDescent="0.25">
      <c r="X81" s="142"/>
    </row>
    <row r="82" spans="24:24" x14ac:dyDescent="0.25">
      <c r="X82" s="142"/>
    </row>
    <row r="83" spans="24:24" x14ac:dyDescent="0.25">
      <c r="X83" s="142"/>
    </row>
    <row r="84" spans="24:24" x14ac:dyDescent="0.25">
      <c r="X84" s="142"/>
    </row>
    <row r="85" spans="24:24" x14ac:dyDescent="0.25">
      <c r="X85" s="142"/>
    </row>
    <row r="86" spans="24:24" x14ac:dyDescent="0.25">
      <c r="X86" s="142"/>
    </row>
    <row r="87" spans="24:24" x14ac:dyDescent="0.25">
      <c r="X87" s="142"/>
    </row>
    <row r="88" spans="24:24" x14ac:dyDescent="0.25">
      <c r="X88" s="142"/>
    </row>
    <row r="89" spans="24:24" x14ac:dyDescent="0.25">
      <c r="X89" s="142"/>
    </row>
    <row r="90" spans="24:24" x14ac:dyDescent="0.25">
      <c r="X90" s="142"/>
    </row>
    <row r="91" spans="24:24" x14ac:dyDescent="0.25">
      <c r="X91" s="142"/>
    </row>
    <row r="92" spans="24:24" x14ac:dyDescent="0.25">
      <c r="X92" s="142"/>
    </row>
    <row r="93" spans="24:24" x14ac:dyDescent="0.25">
      <c r="X93" s="142"/>
    </row>
    <row r="94" spans="24:24" x14ac:dyDescent="0.25">
      <c r="X94" s="142"/>
    </row>
    <row r="95" spans="24:24" x14ac:dyDescent="0.25">
      <c r="X95" s="142"/>
    </row>
    <row r="96" spans="24:24" x14ac:dyDescent="0.25">
      <c r="X96" s="142"/>
    </row>
    <row r="97" spans="24:24" x14ac:dyDescent="0.25">
      <c r="X97" s="142"/>
    </row>
    <row r="98" spans="24:24" x14ac:dyDescent="0.25">
      <c r="X98" s="142"/>
    </row>
    <row r="99" spans="24:24" x14ac:dyDescent="0.25">
      <c r="X99" s="142"/>
    </row>
    <row r="100" spans="24:24" x14ac:dyDescent="0.25">
      <c r="X100" s="142"/>
    </row>
    <row r="101" spans="24:24" x14ac:dyDescent="0.25">
      <c r="X101" s="142"/>
    </row>
    <row r="102" spans="24:24" x14ac:dyDescent="0.25">
      <c r="X102" s="142"/>
    </row>
    <row r="103" spans="24:24" x14ac:dyDescent="0.25">
      <c r="X103" s="142"/>
    </row>
    <row r="104" spans="24:24" x14ac:dyDescent="0.25">
      <c r="X104" s="142"/>
    </row>
    <row r="105" spans="24:24" x14ac:dyDescent="0.25">
      <c r="X105" s="142"/>
    </row>
    <row r="106" spans="24:24" x14ac:dyDescent="0.25">
      <c r="X106" s="142"/>
    </row>
    <row r="107" spans="24:24" x14ac:dyDescent="0.25">
      <c r="X107" s="142"/>
    </row>
    <row r="108" spans="24:24" x14ac:dyDescent="0.25">
      <c r="X108" s="142"/>
    </row>
    <row r="109" spans="24:24" x14ac:dyDescent="0.25">
      <c r="X109" s="142"/>
    </row>
    <row r="110" spans="24:24" x14ac:dyDescent="0.25">
      <c r="X110" s="142"/>
    </row>
    <row r="111" spans="24:24" x14ac:dyDescent="0.25">
      <c r="X111" s="142"/>
    </row>
    <row r="112" spans="24:24" x14ac:dyDescent="0.25">
      <c r="X112" s="142"/>
    </row>
    <row r="113" spans="24:24" x14ac:dyDescent="0.25">
      <c r="X113" s="142"/>
    </row>
    <row r="114" spans="24:24" x14ac:dyDescent="0.25">
      <c r="X114" s="142"/>
    </row>
    <row r="115" spans="24:24" x14ac:dyDescent="0.25">
      <c r="X115" s="142"/>
    </row>
    <row r="116" spans="24:24" x14ac:dyDescent="0.25">
      <c r="X116" s="142"/>
    </row>
    <row r="117" spans="24:24" x14ac:dyDescent="0.25">
      <c r="X117" s="142"/>
    </row>
    <row r="118" spans="24:24" x14ac:dyDescent="0.25">
      <c r="X118" s="142"/>
    </row>
    <row r="119" spans="24:24" x14ac:dyDescent="0.25">
      <c r="X119" s="142"/>
    </row>
    <row r="120" spans="24:24" x14ac:dyDescent="0.25">
      <c r="X120" s="142"/>
    </row>
    <row r="121" spans="24:24" x14ac:dyDescent="0.25">
      <c r="X121" s="142"/>
    </row>
    <row r="122" spans="24:24" x14ac:dyDescent="0.25">
      <c r="X122" s="142"/>
    </row>
    <row r="123" spans="24:24" x14ac:dyDescent="0.25">
      <c r="X123" s="142"/>
    </row>
    <row r="124" spans="24:24" x14ac:dyDescent="0.25">
      <c r="X124" s="142"/>
    </row>
    <row r="125" spans="24:24" x14ac:dyDescent="0.25">
      <c r="X125" s="142"/>
    </row>
    <row r="126" spans="24:24" x14ac:dyDescent="0.25">
      <c r="X126" s="142"/>
    </row>
    <row r="127" spans="24:24" x14ac:dyDescent="0.25">
      <c r="X127" s="142"/>
    </row>
    <row r="128" spans="24:24" x14ac:dyDescent="0.25">
      <c r="X128" s="142"/>
    </row>
    <row r="129" spans="24:24" x14ac:dyDescent="0.25">
      <c r="X129" s="142"/>
    </row>
    <row r="130" spans="24:24" x14ac:dyDescent="0.25">
      <c r="X130" s="142"/>
    </row>
    <row r="131" spans="24:24" x14ac:dyDescent="0.25">
      <c r="X131" s="142"/>
    </row>
    <row r="132" spans="24:24" x14ac:dyDescent="0.25">
      <c r="X132" s="142"/>
    </row>
    <row r="133" spans="24:24" x14ac:dyDescent="0.25">
      <c r="X133" s="142"/>
    </row>
    <row r="134" spans="24:24" x14ac:dyDescent="0.25">
      <c r="X134" s="142"/>
    </row>
    <row r="135" spans="24:24" x14ac:dyDescent="0.25">
      <c r="X135" s="142"/>
    </row>
    <row r="136" spans="24:24" x14ac:dyDescent="0.25">
      <c r="X136" s="142"/>
    </row>
    <row r="137" spans="24:24" x14ac:dyDescent="0.25">
      <c r="X137" s="142"/>
    </row>
    <row r="138" spans="24:24" x14ac:dyDescent="0.25">
      <c r="X138" s="142"/>
    </row>
    <row r="139" spans="24:24" x14ac:dyDescent="0.25">
      <c r="X139" s="142"/>
    </row>
    <row r="140" spans="24:24" x14ac:dyDescent="0.25">
      <c r="X140" s="142"/>
    </row>
    <row r="141" spans="24:24" x14ac:dyDescent="0.25">
      <c r="X141" s="142"/>
    </row>
    <row r="142" spans="24:24" x14ac:dyDescent="0.25">
      <c r="X142" s="142"/>
    </row>
    <row r="143" spans="24:24" x14ac:dyDescent="0.25">
      <c r="X143" s="142"/>
    </row>
    <row r="144" spans="24:24" x14ac:dyDescent="0.25">
      <c r="X144" s="142"/>
    </row>
    <row r="145" spans="24:24" x14ac:dyDescent="0.25">
      <c r="X145" s="142"/>
    </row>
    <row r="146" spans="24:24" x14ac:dyDescent="0.25">
      <c r="X146" s="142"/>
    </row>
    <row r="147" spans="24:24" x14ac:dyDescent="0.25">
      <c r="X147" s="142"/>
    </row>
    <row r="148" spans="24:24" x14ac:dyDescent="0.25">
      <c r="X148" s="142"/>
    </row>
    <row r="149" spans="24:24" x14ac:dyDescent="0.25">
      <c r="X149" s="142"/>
    </row>
    <row r="150" spans="24:24" x14ac:dyDescent="0.25">
      <c r="X150" s="142"/>
    </row>
    <row r="151" spans="24:24" x14ac:dyDescent="0.25">
      <c r="X151" s="142"/>
    </row>
    <row r="152" spans="24:24" x14ac:dyDescent="0.25">
      <c r="X152" s="142"/>
    </row>
    <row r="153" spans="24:24" x14ac:dyDescent="0.25">
      <c r="X153" s="142"/>
    </row>
    <row r="154" spans="24:24" x14ac:dyDescent="0.25">
      <c r="X154" s="142"/>
    </row>
    <row r="155" spans="24:24" x14ac:dyDescent="0.25">
      <c r="X155" s="142"/>
    </row>
    <row r="156" spans="24:24" x14ac:dyDescent="0.25">
      <c r="X156" s="142"/>
    </row>
    <row r="157" spans="24:24" x14ac:dyDescent="0.25">
      <c r="X157" s="142"/>
    </row>
    <row r="158" spans="24:24" x14ac:dyDescent="0.25">
      <c r="X158" s="142"/>
    </row>
    <row r="159" spans="24:24" x14ac:dyDescent="0.25">
      <c r="X159" s="142"/>
    </row>
    <row r="160" spans="24:24" x14ac:dyDescent="0.25">
      <c r="X160" s="142"/>
    </row>
    <row r="161" spans="24:24" x14ac:dyDescent="0.25">
      <c r="X161" s="142"/>
    </row>
    <row r="162" spans="24:24" x14ac:dyDescent="0.25">
      <c r="X162" s="142"/>
    </row>
    <row r="163" spans="24:24" x14ac:dyDescent="0.25">
      <c r="X163" s="142"/>
    </row>
    <row r="164" spans="24:24" x14ac:dyDescent="0.25">
      <c r="X164" s="142"/>
    </row>
    <row r="165" spans="24:24" x14ac:dyDescent="0.25">
      <c r="X165" s="142"/>
    </row>
    <row r="166" spans="24:24" x14ac:dyDescent="0.25">
      <c r="X166" s="142"/>
    </row>
    <row r="167" spans="24:24" x14ac:dyDescent="0.25">
      <c r="X167" s="142"/>
    </row>
    <row r="168" spans="24:24" x14ac:dyDescent="0.25">
      <c r="X168" s="142"/>
    </row>
    <row r="169" spans="24:24" x14ac:dyDescent="0.25">
      <c r="X169" s="142"/>
    </row>
    <row r="170" spans="24:24" x14ac:dyDescent="0.25">
      <c r="X170" s="142"/>
    </row>
    <row r="171" spans="24:24" x14ac:dyDescent="0.25">
      <c r="X171" s="142"/>
    </row>
    <row r="172" spans="24:24" x14ac:dyDescent="0.25">
      <c r="X172" s="142"/>
    </row>
    <row r="173" spans="24:24" x14ac:dyDescent="0.25">
      <c r="X173" s="142"/>
    </row>
    <row r="174" spans="24:24" x14ac:dyDescent="0.25">
      <c r="X174" s="142"/>
    </row>
    <row r="175" spans="24:24" x14ac:dyDescent="0.25">
      <c r="X175" s="142"/>
    </row>
    <row r="176" spans="24:24" x14ac:dyDescent="0.25">
      <c r="X176" s="142"/>
    </row>
    <row r="177" spans="24:24" x14ac:dyDescent="0.25">
      <c r="X177" s="142"/>
    </row>
    <row r="178" spans="24:24" x14ac:dyDescent="0.25">
      <c r="X178" s="142"/>
    </row>
    <row r="179" spans="24:24" x14ac:dyDescent="0.25">
      <c r="X179" s="142"/>
    </row>
    <row r="180" spans="24:24" x14ac:dyDescent="0.25">
      <c r="X180" s="142"/>
    </row>
    <row r="181" spans="24:24" x14ac:dyDescent="0.25">
      <c r="X181" s="142"/>
    </row>
    <row r="182" spans="24:24" x14ac:dyDescent="0.25">
      <c r="X182" s="142"/>
    </row>
    <row r="183" spans="24:24" x14ac:dyDescent="0.25">
      <c r="X183" s="142"/>
    </row>
    <row r="184" spans="24:24" x14ac:dyDescent="0.25">
      <c r="X184" s="142"/>
    </row>
    <row r="185" spans="24:24" x14ac:dyDescent="0.25">
      <c r="X185" s="142"/>
    </row>
    <row r="186" spans="24:24" x14ac:dyDescent="0.25">
      <c r="X186" s="142"/>
    </row>
    <row r="187" spans="24:24" x14ac:dyDescent="0.25">
      <c r="X187" s="142"/>
    </row>
    <row r="188" spans="24:24" x14ac:dyDescent="0.25">
      <c r="X188" s="142"/>
    </row>
    <row r="189" spans="24:24" x14ac:dyDescent="0.25">
      <c r="X189" s="142"/>
    </row>
    <row r="190" spans="24:24" x14ac:dyDescent="0.25">
      <c r="X190" s="142"/>
    </row>
    <row r="191" spans="24:24" x14ac:dyDescent="0.25">
      <c r="X191" s="142"/>
    </row>
    <row r="192" spans="24:24" x14ac:dyDescent="0.25">
      <c r="X192" s="142"/>
    </row>
    <row r="193" spans="24:24" x14ac:dyDescent="0.25">
      <c r="X193" s="142"/>
    </row>
    <row r="194" spans="24:24" x14ac:dyDescent="0.25">
      <c r="X194" s="142"/>
    </row>
    <row r="195" spans="24:24" x14ac:dyDescent="0.25">
      <c r="X195" s="142"/>
    </row>
    <row r="196" spans="24:24" x14ac:dyDescent="0.25">
      <c r="X196" s="142"/>
    </row>
    <row r="197" spans="24:24" x14ac:dyDescent="0.25">
      <c r="X197" s="142"/>
    </row>
    <row r="198" spans="24:24" x14ac:dyDescent="0.25">
      <c r="X198" s="142"/>
    </row>
    <row r="199" spans="24:24" x14ac:dyDescent="0.25">
      <c r="X199" s="142"/>
    </row>
    <row r="200" spans="24:24" x14ac:dyDescent="0.25">
      <c r="X200" s="142"/>
    </row>
    <row r="201" spans="24:24" x14ac:dyDescent="0.25">
      <c r="X201" s="142"/>
    </row>
    <row r="202" spans="24:24" x14ac:dyDescent="0.25">
      <c r="X202" s="142"/>
    </row>
    <row r="203" spans="24:24" x14ac:dyDescent="0.25">
      <c r="X203" s="142"/>
    </row>
    <row r="204" spans="24:24" x14ac:dyDescent="0.25">
      <c r="X204" s="142"/>
    </row>
    <row r="205" spans="24:24" x14ac:dyDescent="0.25">
      <c r="X205" s="142"/>
    </row>
    <row r="206" spans="24:24" x14ac:dyDescent="0.25">
      <c r="X206" s="142"/>
    </row>
    <row r="207" spans="24:24" x14ac:dyDescent="0.25">
      <c r="X207" s="142"/>
    </row>
    <row r="208" spans="24:24" x14ac:dyDescent="0.25">
      <c r="X208" s="142"/>
    </row>
    <row r="209" spans="24:24" x14ac:dyDescent="0.25">
      <c r="X209" s="142"/>
    </row>
    <row r="210" spans="24:24" x14ac:dyDescent="0.25">
      <c r="X210" s="142"/>
    </row>
    <row r="211" spans="24:24" x14ac:dyDescent="0.25">
      <c r="X211" s="142"/>
    </row>
    <row r="212" spans="24:24" x14ac:dyDescent="0.25">
      <c r="X212" s="142"/>
    </row>
    <row r="213" spans="24:24" x14ac:dyDescent="0.25">
      <c r="X213" s="142"/>
    </row>
    <row r="214" spans="24:24" x14ac:dyDescent="0.25">
      <c r="X214" s="142"/>
    </row>
    <row r="215" spans="24:24" x14ac:dyDescent="0.25">
      <c r="X215" s="142"/>
    </row>
    <row r="216" spans="24:24" x14ac:dyDescent="0.25">
      <c r="X216" s="142"/>
    </row>
    <row r="217" spans="24:24" x14ac:dyDescent="0.25">
      <c r="X217" s="142"/>
    </row>
    <row r="218" spans="24:24" x14ac:dyDescent="0.25">
      <c r="X218" s="142"/>
    </row>
    <row r="219" spans="24:24" x14ac:dyDescent="0.25">
      <c r="X219" s="142"/>
    </row>
    <row r="220" spans="24:24" x14ac:dyDescent="0.25">
      <c r="X220" s="142"/>
    </row>
    <row r="221" spans="24:24" x14ac:dyDescent="0.25">
      <c r="X221" s="142"/>
    </row>
    <row r="222" spans="24:24" x14ac:dyDescent="0.25">
      <c r="X222" s="142"/>
    </row>
    <row r="223" spans="24:24" x14ac:dyDescent="0.25">
      <c r="X223" s="142"/>
    </row>
    <row r="224" spans="24:24" x14ac:dyDescent="0.25">
      <c r="X224" s="142"/>
    </row>
    <row r="225" spans="24:24" x14ac:dyDescent="0.25">
      <c r="X225" s="142"/>
    </row>
    <row r="226" spans="24:24" x14ac:dyDescent="0.25">
      <c r="X226" s="142"/>
    </row>
    <row r="227" spans="24:24" x14ac:dyDescent="0.25">
      <c r="X227" s="142"/>
    </row>
    <row r="228" spans="24:24" x14ac:dyDescent="0.25">
      <c r="X228" s="142"/>
    </row>
    <row r="229" spans="24:24" x14ac:dyDescent="0.25">
      <c r="X229" s="142"/>
    </row>
    <row r="230" spans="24:24" x14ac:dyDescent="0.25">
      <c r="X230" s="142"/>
    </row>
    <row r="231" spans="24:24" x14ac:dyDescent="0.25">
      <c r="X231" s="142"/>
    </row>
    <row r="232" spans="24:24" x14ac:dyDescent="0.25">
      <c r="X232" s="142"/>
    </row>
    <row r="233" spans="24:24" x14ac:dyDescent="0.25">
      <c r="X233" s="142"/>
    </row>
    <row r="234" spans="24:24" x14ac:dyDescent="0.25">
      <c r="X234" s="142"/>
    </row>
    <row r="235" spans="24:24" x14ac:dyDescent="0.25">
      <c r="X235" s="142"/>
    </row>
    <row r="236" spans="24:24" x14ac:dyDescent="0.25">
      <c r="X236" s="142"/>
    </row>
    <row r="237" spans="24:24" x14ac:dyDescent="0.25">
      <c r="X237" s="142"/>
    </row>
    <row r="238" spans="24:24" x14ac:dyDescent="0.25">
      <c r="X238" s="142"/>
    </row>
    <row r="239" spans="24:24" x14ac:dyDescent="0.25">
      <c r="X239" s="142"/>
    </row>
    <row r="240" spans="24:24" x14ac:dyDescent="0.25">
      <c r="X240" s="142"/>
    </row>
    <row r="241" spans="24:24" x14ac:dyDescent="0.25">
      <c r="X241" s="142"/>
    </row>
    <row r="242" spans="24:24" x14ac:dyDescent="0.25">
      <c r="X242" s="142"/>
    </row>
    <row r="243" spans="24:24" x14ac:dyDescent="0.25">
      <c r="X243" s="142"/>
    </row>
    <row r="244" spans="24:24" x14ac:dyDescent="0.25">
      <c r="X244" s="142"/>
    </row>
    <row r="245" spans="24:24" x14ac:dyDescent="0.25">
      <c r="X245" s="142"/>
    </row>
    <row r="246" spans="24:24" x14ac:dyDescent="0.25">
      <c r="X246" s="142"/>
    </row>
    <row r="247" spans="24:24" x14ac:dyDescent="0.25">
      <c r="X247" s="142"/>
    </row>
    <row r="248" spans="24:24" x14ac:dyDescent="0.25">
      <c r="X248" s="142"/>
    </row>
    <row r="249" spans="24:24" x14ac:dyDescent="0.25">
      <c r="X249" s="142"/>
    </row>
    <row r="250" spans="24:24" x14ac:dyDescent="0.25">
      <c r="X250" s="142"/>
    </row>
    <row r="251" spans="24:24" x14ac:dyDescent="0.25">
      <c r="X251" s="142"/>
    </row>
    <row r="252" spans="24:24" x14ac:dyDescent="0.25">
      <c r="X252" s="142"/>
    </row>
    <row r="253" spans="24:24" x14ac:dyDescent="0.25">
      <c r="X253" s="142"/>
    </row>
    <row r="254" spans="24:24" x14ac:dyDescent="0.25">
      <c r="X254" s="142"/>
    </row>
    <row r="255" spans="24:24" x14ac:dyDescent="0.25">
      <c r="X255" s="142"/>
    </row>
    <row r="256" spans="24:24" x14ac:dyDescent="0.25">
      <c r="X256" s="142"/>
    </row>
    <row r="257" spans="24:24" x14ac:dyDescent="0.25">
      <c r="X257" s="142"/>
    </row>
    <row r="258" spans="24:24" x14ac:dyDescent="0.25">
      <c r="X258" s="142"/>
    </row>
    <row r="259" spans="24:24" x14ac:dyDescent="0.25">
      <c r="X259" s="142"/>
    </row>
    <row r="260" spans="24:24" x14ac:dyDescent="0.25">
      <c r="X260" s="142"/>
    </row>
    <row r="261" spans="24:24" x14ac:dyDescent="0.25">
      <c r="X261" s="142"/>
    </row>
    <row r="262" spans="24:24" x14ac:dyDescent="0.25">
      <c r="X262" s="142"/>
    </row>
    <row r="263" spans="24:24" x14ac:dyDescent="0.25">
      <c r="X263" s="142"/>
    </row>
    <row r="264" spans="24:24" x14ac:dyDescent="0.25">
      <c r="X264" s="142"/>
    </row>
    <row r="265" spans="24:24" x14ac:dyDescent="0.25">
      <c r="X265" s="142"/>
    </row>
    <row r="266" spans="24:24" x14ac:dyDescent="0.25">
      <c r="X266" s="142"/>
    </row>
    <row r="267" spans="24:24" x14ac:dyDescent="0.25">
      <c r="X267" s="142"/>
    </row>
    <row r="268" spans="24:24" x14ac:dyDescent="0.25">
      <c r="X268" s="142"/>
    </row>
    <row r="269" spans="24:24" x14ac:dyDescent="0.25">
      <c r="X269" s="142"/>
    </row>
    <row r="270" spans="24:24" x14ac:dyDescent="0.25">
      <c r="X270" s="142"/>
    </row>
    <row r="271" spans="24:24" x14ac:dyDescent="0.25">
      <c r="X271" s="142"/>
    </row>
    <row r="272" spans="24:24" x14ac:dyDescent="0.25">
      <c r="X272" s="142"/>
    </row>
    <row r="273" spans="24:24" x14ac:dyDescent="0.25">
      <c r="X273" s="142"/>
    </row>
    <row r="274" spans="24:24" x14ac:dyDescent="0.25">
      <c r="X274" s="142"/>
    </row>
    <row r="275" spans="24:24" x14ac:dyDescent="0.25">
      <c r="X275" s="142"/>
    </row>
    <row r="276" spans="24:24" x14ac:dyDescent="0.25">
      <c r="X276" s="142"/>
    </row>
    <row r="277" spans="24:24" x14ac:dyDescent="0.25">
      <c r="X277" s="142"/>
    </row>
    <row r="278" spans="24:24" x14ac:dyDescent="0.25">
      <c r="X278" s="142"/>
    </row>
    <row r="279" spans="24:24" x14ac:dyDescent="0.25">
      <c r="X279" s="142"/>
    </row>
    <row r="280" spans="24:24" x14ac:dyDescent="0.25">
      <c r="X280" s="142"/>
    </row>
    <row r="281" spans="24:24" x14ac:dyDescent="0.25">
      <c r="X281" s="142"/>
    </row>
    <row r="282" spans="24:24" x14ac:dyDescent="0.25">
      <c r="X282" s="142"/>
    </row>
    <row r="283" spans="24:24" x14ac:dyDescent="0.25">
      <c r="X283" s="142"/>
    </row>
    <row r="284" spans="24:24" x14ac:dyDescent="0.25">
      <c r="X284" s="142"/>
    </row>
    <row r="285" spans="24:24" x14ac:dyDescent="0.25">
      <c r="X285" s="142"/>
    </row>
    <row r="286" spans="24:24" x14ac:dyDescent="0.25">
      <c r="X286" s="142"/>
    </row>
    <row r="287" spans="24:24" x14ac:dyDescent="0.25">
      <c r="X287" s="142"/>
    </row>
    <row r="288" spans="24:24" x14ac:dyDescent="0.25">
      <c r="X288" s="142"/>
    </row>
    <row r="289" spans="24:24" x14ac:dyDescent="0.25">
      <c r="X289" s="142"/>
    </row>
    <row r="290" spans="24:24" x14ac:dyDescent="0.25">
      <c r="X290" s="142"/>
    </row>
    <row r="291" spans="24:24" x14ac:dyDescent="0.25">
      <c r="X291" s="142"/>
    </row>
    <row r="292" spans="24:24" x14ac:dyDescent="0.25">
      <c r="X292" s="142"/>
    </row>
    <row r="293" spans="24:24" x14ac:dyDescent="0.25">
      <c r="X293" s="142"/>
    </row>
    <row r="294" spans="24:24" x14ac:dyDescent="0.25">
      <c r="X294" s="142"/>
    </row>
    <row r="295" spans="24:24" x14ac:dyDescent="0.25">
      <c r="X295" s="142"/>
    </row>
    <row r="296" spans="24:24" x14ac:dyDescent="0.25">
      <c r="X296" s="142"/>
    </row>
    <row r="297" spans="24:24" x14ac:dyDescent="0.25">
      <c r="X297" s="142"/>
    </row>
    <row r="298" spans="24:24" x14ac:dyDescent="0.25">
      <c r="X298" s="142"/>
    </row>
    <row r="299" spans="24:24" x14ac:dyDescent="0.25">
      <c r="X299" s="142"/>
    </row>
    <row r="300" spans="24:24" x14ac:dyDescent="0.25">
      <c r="X300" s="142"/>
    </row>
    <row r="301" spans="24:24" x14ac:dyDescent="0.25">
      <c r="X301" s="142"/>
    </row>
    <row r="302" spans="24:24" x14ac:dyDescent="0.25">
      <c r="X302" s="142"/>
    </row>
    <row r="303" spans="24:24" x14ac:dyDescent="0.25">
      <c r="X303" s="142"/>
    </row>
    <row r="304" spans="24:24" x14ac:dyDescent="0.25">
      <c r="X304" s="142"/>
    </row>
    <row r="305" spans="24:24" x14ac:dyDescent="0.25">
      <c r="X305" s="142"/>
    </row>
    <row r="306" spans="24:24" x14ac:dyDescent="0.25">
      <c r="X306" s="142"/>
    </row>
    <row r="307" spans="24:24" x14ac:dyDescent="0.25">
      <c r="X307" s="142"/>
    </row>
    <row r="308" spans="24:24" x14ac:dyDescent="0.25">
      <c r="X308" s="142"/>
    </row>
    <row r="309" spans="24:24" x14ac:dyDescent="0.25">
      <c r="X309" s="142"/>
    </row>
    <row r="310" spans="24:24" x14ac:dyDescent="0.25">
      <c r="X310" s="142"/>
    </row>
    <row r="311" spans="24:24" x14ac:dyDescent="0.25">
      <c r="X311" s="142"/>
    </row>
    <row r="312" spans="24:24" x14ac:dyDescent="0.25">
      <c r="X312" s="142"/>
    </row>
    <row r="313" spans="24:24" x14ac:dyDescent="0.25">
      <c r="X313" s="142"/>
    </row>
    <row r="314" spans="24:24" x14ac:dyDescent="0.25">
      <c r="X314" s="142"/>
    </row>
    <row r="315" spans="24:24" x14ac:dyDescent="0.25">
      <c r="X315" s="142"/>
    </row>
    <row r="316" spans="24:24" x14ac:dyDescent="0.25">
      <c r="X316" s="142"/>
    </row>
    <row r="317" spans="24:24" x14ac:dyDescent="0.25">
      <c r="X317" s="142"/>
    </row>
    <row r="318" spans="24:24" x14ac:dyDescent="0.25">
      <c r="X318" s="142"/>
    </row>
    <row r="319" spans="24:24" x14ac:dyDescent="0.25">
      <c r="X319" s="142"/>
    </row>
    <row r="320" spans="24:24" x14ac:dyDescent="0.25">
      <c r="X320" s="142"/>
    </row>
    <row r="321" spans="24:24" x14ac:dyDescent="0.25">
      <c r="X321" s="142"/>
    </row>
    <row r="322" spans="24:24" x14ac:dyDescent="0.25">
      <c r="X322" s="142"/>
    </row>
    <row r="323" spans="24:24" x14ac:dyDescent="0.25">
      <c r="X323" s="142"/>
    </row>
    <row r="324" spans="24:24" x14ac:dyDescent="0.25">
      <c r="X324" s="142"/>
    </row>
    <row r="325" spans="24:24" x14ac:dyDescent="0.25">
      <c r="X325" s="142"/>
    </row>
    <row r="326" spans="24:24" x14ac:dyDescent="0.25">
      <c r="X326" s="142"/>
    </row>
    <row r="327" spans="24:24" x14ac:dyDescent="0.25">
      <c r="X327" s="142"/>
    </row>
    <row r="328" spans="24:24" x14ac:dyDescent="0.25">
      <c r="X328" s="142"/>
    </row>
    <row r="329" spans="24:24" x14ac:dyDescent="0.25">
      <c r="X329" s="142"/>
    </row>
    <row r="330" spans="24:24" x14ac:dyDescent="0.25">
      <c r="X330" s="142"/>
    </row>
    <row r="331" spans="24:24" x14ac:dyDescent="0.25">
      <c r="X331" s="142"/>
    </row>
    <row r="332" spans="24:24" x14ac:dyDescent="0.25">
      <c r="X332" s="142"/>
    </row>
    <row r="333" spans="24:24" x14ac:dyDescent="0.25">
      <c r="X333" s="142"/>
    </row>
    <row r="334" spans="24:24" x14ac:dyDescent="0.25">
      <c r="X334" s="142"/>
    </row>
    <row r="335" spans="24:24" x14ac:dyDescent="0.25">
      <c r="X335" s="142"/>
    </row>
    <row r="336" spans="24:24" x14ac:dyDescent="0.25">
      <c r="X336" s="142"/>
    </row>
    <row r="337" spans="24:24" x14ac:dyDescent="0.25">
      <c r="X337" s="142"/>
    </row>
    <row r="338" spans="24:24" x14ac:dyDescent="0.25">
      <c r="X338" s="142"/>
    </row>
    <row r="339" spans="24:24" x14ac:dyDescent="0.25">
      <c r="X339" s="142"/>
    </row>
    <row r="340" spans="24:24" x14ac:dyDescent="0.25">
      <c r="X340" s="142"/>
    </row>
    <row r="341" spans="24:24" x14ac:dyDescent="0.25">
      <c r="X341" s="142"/>
    </row>
    <row r="342" spans="24:24" x14ac:dyDescent="0.25">
      <c r="X342" s="142"/>
    </row>
    <row r="343" spans="24:24" x14ac:dyDescent="0.25">
      <c r="X343" s="142"/>
    </row>
    <row r="344" spans="24:24" x14ac:dyDescent="0.25">
      <c r="X344" s="142"/>
    </row>
    <row r="345" spans="24:24" x14ac:dyDescent="0.25">
      <c r="X345" s="142"/>
    </row>
    <row r="346" spans="24:24" x14ac:dyDescent="0.25">
      <c r="X346" s="142"/>
    </row>
    <row r="347" spans="24:24" x14ac:dyDescent="0.25">
      <c r="X347" s="142"/>
    </row>
    <row r="348" spans="24:24" x14ac:dyDescent="0.25">
      <c r="X348" s="142"/>
    </row>
    <row r="349" spans="24:24" x14ac:dyDescent="0.25">
      <c r="X349" s="142"/>
    </row>
    <row r="350" spans="24:24" x14ac:dyDescent="0.25">
      <c r="X350" s="142"/>
    </row>
    <row r="351" spans="24:24" x14ac:dyDescent="0.25">
      <c r="X351" s="142"/>
    </row>
    <row r="352" spans="24:24" x14ac:dyDescent="0.25">
      <c r="X352" s="142"/>
    </row>
    <row r="353" spans="24:24" x14ac:dyDescent="0.25">
      <c r="X353" s="142"/>
    </row>
    <row r="354" spans="24:24" x14ac:dyDescent="0.25">
      <c r="X354" s="142"/>
    </row>
    <row r="355" spans="24:24" x14ac:dyDescent="0.25">
      <c r="X355" s="142"/>
    </row>
    <row r="356" spans="24:24" x14ac:dyDescent="0.25">
      <c r="X356" s="142"/>
    </row>
    <row r="357" spans="24:24" x14ac:dyDescent="0.25">
      <c r="X357" s="142"/>
    </row>
    <row r="358" spans="24:24" x14ac:dyDescent="0.25">
      <c r="X358" s="142"/>
    </row>
    <row r="359" spans="24:24" x14ac:dyDescent="0.25">
      <c r="X359" s="142"/>
    </row>
    <row r="360" spans="24:24" x14ac:dyDescent="0.25">
      <c r="X360" s="142"/>
    </row>
    <row r="361" spans="24:24" x14ac:dyDescent="0.25">
      <c r="X361" s="142"/>
    </row>
    <row r="362" spans="24:24" x14ac:dyDescent="0.25">
      <c r="X362" s="142"/>
    </row>
    <row r="363" spans="24:24" x14ac:dyDescent="0.25">
      <c r="X363" s="142"/>
    </row>
    <row r="364" spans="24:24" x14ac:dyDescent="0.25">
      <c r="X364" s="142"/>
    </row>
    <row r="365" spans="24:24" x14ac:dyDescent="0.25">
      <c r="X365" s="142"/>
    </row>
    <row r="366" spans="24:24" x14ac:dyDescent="0.25">
      <c r="X366" s="142"/>
    </row>
    <row r="367" spans="24:24" x14ac:dyDescent="0.25">
      <c r="X367" s="142"/>
    </row>
    <row r="368" spans="24:24" x14ac:dyDescent="0.25">
      <c r="X368" s="142"/>
    </row>
    <row r="369" spans="24:24" x14ac:dyDescent="0.25">
      <c r="X369" s="142"/>
    </row>
    <row r="370" spans="24:24" x14ac:dyDescent="0.25">
      <c r="X370" s="142"/>
    </row>
    <row r="371" spans="24:24" x14ac:dyDescent="0.25">
      <c r="X371" s="142"/>
    </row>
    <row r="372" spans="24:24" x14ac:dyDescent="0.25">
      <c r="X372" s="142"/>
    </row>
    <row r="373" spans="24:24" x14ac:dyDescent="0.25">
      <c r="X373" s="142"/>
    </row>
    <row r="374" spans="24:24" x14ac:dyDescent="0.25">
      <c r="X374" s="142"/>
    </row>
    <row r="375" spans="24:24" x14ac:dyDescent="0.25">
      <c r="X375" s="142"/>
    </row>
    <row r="376" spans="24:24" x14ac:dyDescent="0.25">
      <c r="X376" s="142"/>
    </row>
    <row r="377" spans="24:24" x14ac:dyDescent="0.25">
      <c r="X377" s="142"/>
    </row>
    <row r="378" spans="24:24" x14ac:dyDescent="0.25">
      <c r="X378" s="142"/>
    </row>
    <row r="379" spans="24:24" x14ac:dyDescent="0.25">
      <c r="X379" s="142"/>
    </row>
    <row r="380" spans="24:24" x14ac:dyDescent="0.25">
      <c r="X380" s="142"/>
    </row>
    <row r="381" spans="24:24" x14ac:dyDescent="0.25">
      <c r="X381" s="142"/>
    </row>
    <row r="382" spans="24:24" x14ac:dyDescent="0.25">
      <c r="X382" s="142"/>
    </row>
    <row r="383" spans="24:24" x14ac:dyDescent="0.25">
      <c r="X383" s="142"/>
    </row>
    <row r="384" spans="24:24" x14ac:dyDescent="0.25">
      <c r="X384" s="142"/>
    </row>
    <row r="385" spans="24:24" x14ac:dyDescent="0.25">
      <c r="X385" s="142"/>
    </row>
    <row r="386" spans="24:24" x14ac:dyDescent="0.25">
      <c r="X386" s="142"/>
    </row>
    <row r="387" spans="24:24" x14ac:dyDescent="0.25">
      <c r="X387" s="142"/>
    </row>
    <row r="388" spans="24:24" x14ac:dyDescent="0.25">
      <c r="X388" s="142"/>
    </row>
    <row r="389" spans="24:24" x14ac:dyDescent="0.25">
      <c r="X389" s="142"/>
    </row>
    <row r="390" spans="24:24" x14ac:dyDescent="0.25">
      <c r="X390" s="142"/>
    </row>
    <row r="391" spans="24:24" x14ac:dyDescent="0.25">
      <c r="X391" s="142"/>
    </row>
    <row r="392" spans="24:24" x14ac:dyDescent="0.25">
      <c r="X392" s="142"/>
    </row>
    <row r="393" spans="24:24" x14ac:dyDescent="0.25">
      <c r="X393" s="142"/>
    </row>
    <row r="394" spans="24:24" x14ac:dyDescent="0.25">
      <c r="X394" s="142"/>
    </row>
    <row r="395" spans="24:24" x14ac:dyDescent="0.25">
      <c r="X395" s="142"/>
    </row>
    <row r="396" spans="24:24" x14ac:dyDescent="0.25">
      <c r="X396" s="142"/>
    </row>
    <row r="397" spans="24:24" x14ac:dyDescent="0.25">
      <c r="X397" s="142"/>
    </row>
    <row r="398" spans="24:24" x14ac:dyDescent="0.25">
      <c r="X398" s="142"/>
    </row>
    <row r="399" spans="24:24" x14ac:dyDescent="0.25">
      <c r="X399" s="142"/>
    </row>
    <row r="400" spans="24:24" x14ac:dyDescent="0.25">
      <c r="X400" s="142"/>
    </row>
    <row r="401" spans="24:24" x14ac:dyDescent="0.25">
      <c r="X401" s="142"/>
    </row>
    <row r="402" spans="24:24" x14ac:dyDescent="0.25">
      <c r="X402" s="142"/>
    </row>
    <row r="403" spans="24:24" x14ac:dyDescent="0.25">
      <c r="X403" s="142"/>
    </row>
    <row r="404" spans="24:24" x14ac:dyDescent="0.25">
      <c r="X404" s="142"/>
    </row>
    <row r="405" spans="24:24" x14ac:dyDescent="0.25">
      <c r="X405" s="142"/>
    </row>
    <row r="406" spans="24:24" x14ac:dyDescent="0.25">
      <c r="X406" s="142"/>
    </row>
    <row r="407" spans="24:24" x14ac:dyDescent="0.25">
      <c r="X407" s="142"/>
    </row>
    <row r="408" spans="24:24" x14ac:dyDescent="0.25">
      <c r="X408" s="142"/>
    </row>
    <row r="409" spans="24:24" x14ac:dyDescent="0.25">
      <c r="X409" s="142"/>
    </row>
    <row r="410" spans="24:24" x14ac:dyDescent="0.25">
      <c r="X410" s="142"/>
    </row>
    <row r="411" spans="24:24" x14ac:dyDescent="0.25">
      <c r="X411" s="142"/>
    </row>
    <row r="412" spans="24:24" x14ac:dyDescent="0.25">
      <c r="X412" s="142"/>
    </row>
    <row r="413" spans="24:24" x14ac:dyDescent="0.25">
      <c r="X413" s="142"/>
    </row>
    <row r="414" spans="24:24" x14ac:dyDescent="0.25">
      <c r="X414" s="142"/>
    </row>
    <row r="415" spans="24:24" x14ac:dyDescent="0.25">
      <c r="X415" s="142"/>
    </row>
    <row r="416" spans="24:24" x14ac:dyDescent="0.25">
      <c r="X416" s="142"/>
    </row>
    <row r="417" spans="24:24" x14ac:dyDescent="0.25">
      <c r="X417" s="142"/>
    </row>
    <row r="418" spans="24:24" x14ac:dyDescent="0.25">
      <c r="X418" s="142"/>
    </row>
    <row r="419" spans="24:24" x14ac:dyDescent="0.25">
      <c r="X419" s="142"/>
    </row>
    <row r="420" spans="24:24" x14ac:dyDescent="0.25">
      <c r="X420" s="142"/>
    </row>
    <row r="421" spans="24:24" x14ac:dyDescent="0.25">
      <c r="X421" s="142"/>
    </row>
    <row r="422" spans="24:24" x14ac:dyDescent="0.25">
      <c r="X422" s="142"/>
    </row>
    <row r="423" spans="24:24" x14ac:dyDescent="0.25">
      <c r="X423" s="142"/>
    </row>
    <row r="424" spans="24:24" x14ac:dyDescent="0.25">
      <c r="X424" s="142"/>
    </row>
    <row r="425" spans="24:24" x14ac:dyDescent="0.25">
      <c r="X425" s="142"/>
    </row>
    <row r="426" spans="24:24" x14ac:dyDescent="0.25">
      <c r="X426" s="142"/>
    </row>
    <row r="427" spans="24:24" x14ac:dyDescent="0.25">
      <c r="X427" s="142"/>
    </row>
    <row r="428" spans="24:24" x14ac:dyDescent="0.25">
      <c r="X428" s="142"/>
    </row>
    <row r="429" spans="24:24" x14ac:dyDescent="0.25">
      <c r="X429" s="142"/>
    </row>
    <row r="430" spans="24:24" x14ac:dyDescent="0.25">
      <c r="X430" s="142"/>
    </row>
    <row r="431" spans="24:24" x14ac:dyDescent="0.25">
      <c r="X431" s="142"/>
    </row>
    <row r="432" spans="24:24" x14ac:dyDescent="0.25">
      <c r="X432" s="142"/>
    </row>
    <row r="433" spans="24:24" x14ac:dyDescent="0.25">
      <c r="X433" s="142"/>
    </row>
    <row r="434" spans="24:24" x14ac:dyDescent="0.25">
      <c r="X434" s="142"/>
    </row>
    <row r="435" spans="24:24" x14ac:dyDescent="0.25">
      <c r="X435" s="142"/>
    </row>
    <row r="436" spans="24:24" x14ac:dyDescent="0.25">
      <c r="X436" s="142"/>
    </row>
    <row r="437" spans="24:24" x14ac:dyDescent="0.25">
      <c r="X437" s="142"/>
    </row>
    <row r="438" spans="24:24" x14ac:dyDescent="0.25">
      <c r="X438" s="142"/>
    </row>
    <row r="439" spans="24:24" x14ac:dyDescent="0.25">
      <c r="X439" s="142"/>
    </row>
    <row r="440" spans="24:24" x14ac:dyDescent="0.25">
      <c r="X440" s="142"/>
    </row>
    <row r="441" spans="24:24" x14ac:dyDescent="0.25">
      <c r="X441" s="142"/>
    </row>
    <row r="442" spans="24:24" x14ac:dyDescent="0.25">
      <c r="X442" s="142"/>
    </row>
    <row r="443" spans="24:24" x14ac:dyDescent="0.25">
      <c r="X443" s="142"/>
    </row>
    <row r="444" spans="24:24" x14ac:dyDescent="0.25">
      <c r="X444" s="142"/>
    </row>
    <row r="445" spans="24:24" x14ac:dyDescent="0.25">
      <c r="X445" s="142"/>
    </row>
    <row r="446" spans="24:24" x14ac:dyDescent="0.25">
      <c r="X446" s="142"/>
    </row>
    <row r="447" spans="24:24" x14ac:dyDescent="0.25">
      <c r="X447" s="142"/>
    </row>
    <row r="448" spans="24:24" x14ac:dyDescent="0.25">
      <c r="X448" s="142"/>
    </row>
    <row r="449" spans="24:24" x14ac:dyDescent="0.25">
      <c r="X449" s="142"/>
    </row>
    <row r="450" spans="24:24" x14ac:dyDescent="0.25">
      <c r="X450" s="142"/>
    </row>
    <row r="451" spans="24:24" x14ac:dyDescent="0.25">
      <c r="X451" s="142"/>
    </row>
    <row r="452" spans="24:24" x14ac:dyDescent="0.25">
      <c r="X452" s="142"/>
    </row>
    <row r="453" spans="24:24" x14ac:dyDescent="0.25">
      <c r="X453" s="142"/>
    </row>
    <row r="454" spans="24:24" x14ac:dyDescent="0.25">
      <c r="X454" s="142"/>
    </row>
    <row r="455" spans="24:24" x14ac:dyDescent="0.25">
      <c r="X455" s="142"/>
    </row>
    <row r="456" spans="24:24" x14ac:dyDescent="0.25">
      <c r="X456" s="142"/>
    </row>
    <row r="457" spans="24:24" x14ac:dyDescent="0.25">
      <c r="X457" s="142"/>
    </row>
    <row r="458" spans="24:24" x14ac:dyDescent="0.25">
      <c r="X458" s="142"/>
    </row>
    <row r="459" spans="24:24" x14ac:dyDescent="0.25">
      <c r="X459" s="142"/>
    </row>
    <row r="460" spans="24:24" x14ac:dyDescent="0.25">
      <c r="X460" s="142"/>
    </row>
    <row r="461" spans="24:24" x14ac:dyDescent="0.25">
      <c r="X461" s="142"/>
    </row>
    <row r="462" spans="24:24" x14ac:dyDescent="0.25">
      <c r="X462" s="142"/>
    </row>
    <row r="463" spans="24:24" x14ac:dyDescent="0.25">
      <c r="X463" s="142"/>
    </row>
    <row r="464" spans="24:24" x14ac:dyDescent="0.25">
      <c r="X464" s="142"/>
    </row>
    <row r="465" spans="24:24" x14ac:dyDescent="0.25">
      <c r="X465" s="142"/>
    </row>
    <row r="466" spans="24:24" x14ac:dyDescent="0.25">
      <c r="X466" s="142"/>
    </row>
    <row r="467" spans="24:24" x14ac:dyDescent="0.25">
      <c r="X467" s="142"/>
    </row>
    <row r="468" spans="24:24" x14ac:dyDescent="0.25">
      <c r="X468" s="142"/>
    </row>
    <row r="469" spans="24:24" x14ac:dyDescent="0.25">
      <c r="X469" s="142"/>
    </row>
    <row r="470" spans="24:24" x14ac:dyDescent="0.25">
      <c r="X470" s="142"/>
    </row>
    <row r="471" spans="24:24" x14ac:dyDescent="0.25">
      <c r="X471" s="142"/>
    </row>
    <row r="472" spans="24:24" x14ac:dyDescent="0.25">
      <c r="X472" s="142"/>
    </row>
    <row r="473" spans="24:24" x14ac:dyDescent="0.25">
      <c r="X473" s="142"/>
    </row>
    <row r="474" spans="24:24" x14ac:dyDescent="0.25">
      <c r="X474" s="142"/>
    </row>
    <row r="475" spans="24:24" x14ac:dyDescent="0.25">
      <c r="X475" s="142"/>
    </row>
    <row r="476" spans="24:24" x14ac:dyDescent="0.25">
      <c r="X476" s="142"/>
    </row>
    <row r="477" spans="24:24" x14ac:dyDescent="0.25">
      <c r="X477" s="142"/>
    </row>
    <row r="478" spans="24:24" x14ac:dyDescent="0.25">
      <c r="X478" s="142"/>
    </row>
    <row r="479" spans="24:24" x14ac:dyDescent="0.25">
      <c r="X479" s="142"/>
    </row>
    <row r="480" spans="24:24" x14ac:dyDescent="0.25">
      <c r="X480" s="142"/>
    </row>
    <row r="481" spans="24:24" x14ac:dyDescent="0.25">
      <c r="X481" s="142"/>
    </row>
    <row r="482" spans="24:24" x14ac:dyDescent="0.25">
      <c r="X482" s="142"/>
    </row>
    <row r="483" spans="24:24" x14ac:dyDescent="0.25">
      <c r="X483" s="142"/>
    </row>
    <row r="484" spans="24:24" x14ac:dyDescent="0.25">
      <c r="X484" s="142"/>
    </row>
    <row r="485" spans="24:24" x14ac:dyDescent="0.25">
      <c r="X485" s="142"/>
    </row>
    <row r="486" spans="24:24" x14ac:dyDescent="0.25">
      <c r="X486" s="142"/>
    </row>
    <row r="487" spans="24:24" x14ac:dyDescent="0.25">
      <c r="X487" s="142"/>
    </row>
    <row r="488" spans="24:24" x14ac:dyDescent="0.25">
      <c r="X488" s="142"/>
    </row>
    <row r="489" spans="24:24" x14ac:dyDescent="0.25">
      <c r="X489" s="142"/>
    </row>
    <row r="490" spans="24:24" x14ac:dyDescent="0.25">
      <c r="X490" s="142"/>
    </row>
    <row r="491" spans="24:24" x14ac:dyDescent="0.25">
      <c r="X491" s="142"/>
    </row>
    <row r="492" spans="24:24" x14ac:dyDescent="0.25">
      <c r="X492" s="142"/>
    </row>
    <row r="493" spans="24:24" x14ac:dyDescent="0.25">
      <c r="X493" s="142"/>
    </row>
    <row r="494" spans="24:24" x14ac:dyDescent="0.25">
      <c r="X494" s="142"/>
    </row>
    <row r="495" spans="24:24" x14ac:dyDescent="0.25">
      <c r="X495" s="142"/>
    </row>
    <row r="496" spans="24:24" x14ac:dyDescent="0.25">
      <c r="X496" s="142"/>
    </row>
    <row r="497" spans="24:24" x14ac:dyDescent="0.25">
      <c r="X497" s="142"/>
    </row>
    <row r="498" spans="24:24" x14ac:dyDescent="0.25">
      <c r="X498" s="142"/>
    </row>
    <row r="499" spans="24:24" x14ac:dyDescent="0.25">
      <c r="X499" s="142"/>
    </row>
    <row r="500" spans="24:24" x14ac:dyDescent="0.25">
      <c r="X500" s="142"/>
    </row>
    <row r="501" spans="24:24" x14ac:dyDescent="0.25">
      <c r="X501" s="142"/>
    </row>
    <row r="502" spans="24:24" x14ac:dyDescent="0.25">
      <c r="X502" s="142"/>
    </row>
    <row r="503" spans="24:24" x14ac:dyDescent="0.25">
      <c r="X503" s="142"/>
    </row>
    <row r="504" spans="24:24" x14ac:dyDescent="0.25">
      <c r="X504" s="142"/>
    </row>
    <row r="505" spans="24:24" x14ac:dyDescent="0.25">
      <c r="X505" s="142"/>
    </row>
    <row r="506" spans="24:24" x14ac:dyDescent="0.25">
      <c r="X506" s="142"/>
    </row>
    <row r="507" spans="24:24" x14ac:dyDescent="0.25">
      <c r="X507" s="142"/>
    </row>
    <row r="508" spans="24:24" x14ac:dyDescent="0.25">
      <c r="X508" s="142"/>
    </row>
    <row r="509" spans="24:24" x14ac:dyDescent="0.25">
      <c r="X509" s="142"/>
    </row>
    <row r="510" spans="24:24" x14ac:dyDescent="0.25">
      <c r="X510" s="142"/>
    </row>
    <row r="511" spans="24:24" x14ac:dyDescent="0.25">
      <c r="X511" s="142"/>
    </row>
    <row r="512" spans="24:24" x14ac:dyDescent="0.25">
      <c r="X512" s="142"/>
    </row>
    <row r="513" spans="24:24" x14ac:dyDescent="0.25">
      <c r="X513" s="142"/>
    </row>
    <row r="514" spans="24:24" x14ac:dyDescent="0.25">
      <c r="X514" s="142"/>
    </row>
    <row r="515" spans="24:24" x14ac:dyDescent="0.25">
      <c r="X515" s="142"/>
    </row>
    <row r="516" spans="24:24" x14ac:dyDescent="0.25">
      <c r="X516" s="142"/>
    </row>
    <row r="517" spans="24:24" x14ac:dyDescent="0.25">
      <c r="X517" s="142"/>
    </row>
    <row r="518" spans="24:24" x14ac:dyDescent="0.25">
      <c r="X518" s="142"/>
    </row>
    <row r="519" spans="24:24" x14ac:dyDescent="0.25">
      <c r="X519" s="142"/>
    </row>
    <row r="520" spans="24:24" x14ac:dyDescent="0.25">
      <c r="X520" s="142"/>
    </row>
    <row r="521" spans="24:24" x14ac:dyDescent="0.25">
      <c r="X521" s="142"/>
    </row>
    <row r="522" spans="24:24" x14ac:dyDescent="0.25">
      <c r="X522" s="142"/>
    </row>
    <row r="523" spans="24:24" x14ac:dyDescent="0.25">
      <c r="X523" s="142"/>
    </row>
    <row r="524" spans="24:24" x14ac:dyDescent="0.25">
      <c r="X524" s="142"/>
    </row>
    <row r="525" spans="24:24" x14ac:dyDescent="0.25">
      <c r="X525" s="142"/>
    </row>
    <row r="526" spans="24:24" x14ac:dyDescent="0.25">
      <c r="X526" s="142"/>
    </row>
    <row r="527" spans="24:24" x14ac:dyDescent="0.25">
      <c r="X527" s="142"/>
    </row>
    <row r="528" spans="24:24" x14ac:dyDescent="0.25">
      <c r="X528" s="142"/>
    </row>
    <row r="529" spans="24:24" x14ac:dyDescent="0.25">
      <c r="X529" s="142"/>
    </row>
    <row r="530" spans="24:24" x14ac:dyDescent="0.25">
      <c r="X530" s="142"/>
    </row>
    <row r="531" spans="24:24" x14ac:dyDescent="0.25">
      <c r="X531" s="142"/>
    </row>
    <row r="532" spans="24:24" x14ac:dyDescent="0.25">
      <c r="X532" s="142"/>
    </row>
    <row r="533" spans="24:24" x14ac:dyDescent="0.25">
      <c r="X533" s="142"/>
    </row>
    <row r="534" spans="24:24" x14ac:dyDescent="0.25">
      <c r="X534" s="142"/>
    </row>
    <row r="535" spans="24:24" x14ac:dyDescent="0.25">
      <c r="X535" s="142"/>
    </row>
    <row r="536" spans="24:24" x14ac:dyDescent="0.25">
      <c r="X536" s="142"/>
    </row>
    <row r="537" spans="24:24" x14ac:dyDescent="0.25">
      <c r="X537" s="142"/>
    </row>
    <row r="538" spans="24:24" x14ac:dyDescent="0.25">
      <c r="X538" s="142"/>
    </row>
    <row r="539" spans="24:24" x14ac:dyDescent="0.25">
      <c r="X539" s="142"/>
    </row>
    <row r="540" spans="24:24" x14ac:dyDescent="0.25">
      <c r="X540" s="142"/>
    </row>
    <row r="541" spans="24:24" x14ac:dyDescent="0.25">
      <c r="X541" s="142"/>
    </row>
    <row r="542" spans="24:24" x14ac:dyDescent="0.25">
      <c r="X542" s="142"/>
    </row>
    <row r="543" spans="24:24" x14ac:dyDescent="0.25">
      <c r="X543" s="142"/>
    </row>
    <row r="544" spans="24:24" x14ac:dyDescent="0.25">
      <c r="X544" s="142"/>
    </row>
    <row r="545" spans="24:24" x14ac:dyDescent="0.25">
      <c r="X545" s="142"/>
    </row>
    <row r="546" spans="24:24" x14ac:dyDescent="0.25">
      <c r="X546" s="142"/>
    </row>
    <row r="547" spans="24:24" x14ac:dyDescent="0.25">
      <c r="X547" s="142"/>
    </row>
    <row r="548" spans="24:24" x14ac:dyDescent="0.25">
      <c r="X548" s="142"/>
    </row>
    <row r="549" spans="24:24" x14ac:dyDescent="0.25">
      <c r="X549" s="142"/>
    </row>
    <row r="550" spans="24:24" x14ac:dyDescent="0.25">
      <c r="X550" s="142"/>
    </row>
    <row r="551" spans="24:24" x14ac:dyDescent="0.25">
      <c r="X551" s="142"/>
    </row>
    <row r="552" spans="24:24" x14ac:dyDescent="0.25">
      <c r="X552" s="142"/>
    </row>
    <row r="553" spans="24:24" x14ac:dyDescent="0.25">
      <c r="X553" s="142"/>
    </row>
    <row r="554" spans="24:24" x14ac:dyDescent="0.25">
      <c r="X554" s="142"/>
    </row>
    <row r="555" spans="24:24" x14ac:dyDescent="0.25">
      <c r="X555" s="142"/>
    </row>
    <row r="556" spans="24:24" x14ac:dyDescent="0.25">
      <c r="X556" s="142"/>
    </row>
    <row r="557" spans="24:24" x14ac:dyDescent="0.25">
      <c r="X557" s="142"/>
    </row>
    <row r="558" spans="24:24" x14ac:dyDescent="0.25">
      <c r="X558" s="142"/>
    </row>
    <row r="559" spans="24:24" x14ac:dyDescent="0.25">
      <c r="X559" s="142"/>
    </row>
    <row r="560" spans="24:24" x14ac:dyDescent="0.25">
      <c r="X560" s="142"/>
    </row>
    <row r="561" spans="24:24" x14ac:dyDescent="0.25">
      <c r="X561" s="142"/>
    </row>
    <row r="562" spans="24:24" x14ac:dyDescent="0.25">
      <c r="X562" s="142"/>
    </row>
    <row r="563" spans="24:24" x14ac:dyDescent="0.25">
      <c r="X563" s="142"/>
    </row>
    <row r="564" spans="24:24" x14ac:dyDescent="0.25">
      <c r="X564" s="142"/>
    </row>
    <row r="565" spans="24:24" x14ac:dyDescent="0.25">
      <c r="X565" s="142"/>
    </row>
    <row r="566" spans="24:24" x14ac:dyDescent="0.25">
      <c r="X566" s="142"/>
    </row>
    <row r="567" spans="24:24" x14ac:dyDescent="0.25">
      <c r="X567" s="142"/>
    </row>
    <row r="568" spans="24:24" x14ac:dyDescent="0.25">
      <c r="X568" s="142"/>
    </row>
    <row r="569" spans="24:24" x14ac:dyDescent="0.25">
      <c r="X569" s="142"/>
    </row>
    <row r="570" spans="24:24" x14ac:dyDescent="0.25">
      <c r="X570" s="142"/>
    </row>
    <row r="571" spans="24:24" x14ac:dyDescent="0.25">
      <c r="X571" s="142"/>
    </row>
    <row r="572" spans="24:24" x14ac:dyDescent="0.25">
      <c r="X572" s="142"/>
    </row>
    <row r="573" spans="24:24" x14ac:dyDescent="0.25">
      <c r="X573" s="142"/>
    </row>
    <row r="574" spans="24:24" x14ac:dyDescent="0.25">
      <c r="X574" s="142"/>
    </row>
    <row r="575" spans="24:24" x14ac:dyDescent="0.25">
      <c r="X575" s="142"/>
    </row>
    <row r="576" spans="24:24" x14ac:dyDescent="0.25">
      <c r="X576" s="142"/>
    </row>
    <row r="577" spans="24:24" x14ac:dyDescent="0.25">
      <c r="X577" s="142"/>
    </row>
    <row r="578" spans="24:24" x14ac:dyDescent="0.25">
      <c r="X578" s="142"/>
    </row>
    <row r="579" spans="24:24" x14ac:dyDescent="0.25">
      <c r="X579" s="142"/>
    </row>
    <row r="580" spans="24:24" x14ac:dyDescent="0.25">
      <c r="X580" s="142"/>
    </row>
    <row r="581" spans="24:24" x14ac:dyDescent="0.25">
      <c r="X581" s="142"/>
    </row>
    <row r="582" spans="24:24" x14ac:dyDescent="0.25">
      <c r="X582" s="142"/>
    </row>
    <row r="583" spans="24:24" x14ac:dyDescent="0.25">
      <c r="X583" s="142"/>
    </row>
    <row r="584" spans="24:24" x14ac:dyDescent="0.25">
      <c r="X584" s="142"/>
    </row>
    <row r="585" spans="24:24" x14ac:dyDescent="0.25">
      <c r="X585" s="142"/>
    </row>
    <row r="586" spans="24:24" x14ac:dyDescent="0.25">
      <c r="X586" s="142"/>
    </row>
    <row r="587" spans="24:24" x14ac:dyDescent="0.25">
      <c r="X587" s="142"/>
    </row>
    <row r="588" spans="24:24" x14ac:dyDescent="0.25">
      <c r="X588" s="142"/>
    </row>
    <row r="589" spans="24:24" x14ac:dyDescent="0.25">
      <c r="X589" s="142"/>
    </row>
    <row r="590" spans="24:24" x14ac:dyDescent="0.25">
      <c r="X590" s="142"/>
    </row>
    <row r="591" spans="24:24" x14ac:dyDescent="0.25">
      <c r="X591" s="142"/>
    </row>
    <row r="592" spans="24:24" x14ac:dyDescent="0.25">
      <c r="X592" s="142"/>
    </row>
    <row r="593" spans="24:24" x14ac:dyDescent="0.25">
      <c r="X593" s="142"/>
    </row>
    <row r="594" spans="24:24" x14ac:dyDescent="0.25">
      <c r="X594" s="142"/>
    </row>
    <row r="595" spans="24:24" x14ac:dyDescent="0.25">
      <c r="X595" s="142"/>
    </row>
    <row r="596" spans="24:24" x14ac:dyDescent="0.25">
      <c r="X596" s="142"/>
    </row>
    <row r="597" spans="24:24" x14ac:dyDescent="0.25">
      <c r="X597" s="142"/>
    </row>
    <row r="598" spans="24:24" x14ac:dyDescent="0.25">
      <c r="X598" s="142"/>
    </row>
    <row r="599" spans="24:24" x14ac:dyDescent="0.25">
      <c r="X599" s="142"/>
    </row>
    <row r="600" spans="24:24" x14ac:dyDescent="0.25">
      <c r="X600" s="142"/>
    </row>
    <row r="601" spans="24:24" x14ac:dyDescent="0.25">
      <c r="X601" s="142"/>
    </row>
    <row r="602" spans="24:24" x14ac:dyDescent="0.25">
      <c r="X602" s="142"/>
    </row>
    <row r="603" spans="24:24" x14ac:dyDescent="0.25">
      <c r="X603" s="142"/>
    </row>
    <row r="604" spans="24:24" x14ac:dyDescent="0.25">
      <c r="X604" s="142"/>
    </row>
    <row r="605" spans="24:24" x14ac:dyDescent="0.25">
      <c r="X605" s="142"/>
    </row>
    <row r="606" spans="24:24" x14ac:dyDescent="0.25">
      <c r="X606" s="142"/>
    </row>
    <row r="607" spans="24:24" x14ac:dyDescent="0.25">
      <c r="X607" s="142"/>
    </row>
    <row r="608" spans="24:24" x14ac:dyDescent="0.25">
      <c r="X608" s="142"/>
    </row>
    <row r="609" spans="24:24" x14ac:dyDescent="0.25">
      <c r="X609" s="142"/>
    </row>
    <row r="610" spans="24:24" x14ac:dyDescent="0.25">
      <c r="X610" s="142"/>
    </row>
    <row r="611" spans="24:24" x14ac:dyDescent="0.25">
      <c r="X611" s="142"/>
    </row>
    <row r="612" spans="24:24" x14ac:dyDescent="0.25">
      <c r="X612" s="142"/>
    </row>
    <row r="613" spans="24:24" x14ac:dyDescent="0.25">
      <c r="X613" s="142"/>
    </row>
    <row r="614" spans="24:24" x14ac:dyDescent="0.25">
      <c r="X614" s="142"/>
    </row>
    <row r="615" spans="24:24" x14ac:dyDescent="0.25">
      <c r="X615" s="142"/>
    </row>
    <row r="616" spans="24:24" x14ac:dyDescent="0.25">
      <c r="X616" s="142"/>
    </row>
    <row r="617" spans="24:24" x14ac:dyDescent="0.25">
      <c r="X617" s="142"/>
    </row>
    <row r="618" spans="24:24" x14ac:dyDescent="0.25">
      <c r="X618" s="142"/>
    </row>
    <row r="619" spans="24:24" x14ac:dyDescent="0.25">
      <c r="X619" s="142"/>
    </row>
    <row r="620" spans="24:24" x14ac:dyDescent="0.25">
      <c r="X620" s="142"/>
    </row>
    <row r="621" spans="24:24" x14ac:dyDescent="0.25">
      <c r="X621" s="142"/>
    </row>
    <row r="622" spans="24:24" x14ac:dyDescent="0.25">
      <c r="X622" s="142"/>
    </row>
    <row r="623" spans="24:24" x14ac:dyDescent="0.25">
      <c r="X623" s="142"/>
    </row>
    <row r="624" spans="24:24" x14ac:dyDescent="0.25">
      <c r="X624" s="142"/>
    </row>
    <row r="625" spans="24:24" x14ac:dyDescent="0.25">
      <c r="X625" s="142"/>
    </row>
    <row r="626" spans="24:24" x14ac:dyDescent="0.25">
      <c r="X626" s="142"/>
    </row>
    <row r="627" spans="24:24" x14ac:dyDescent="0.25">
      <c r="X627" s="142"/>
    </row>
    <row r="628" spans="24:24" x14ac:dyDescent="0.25">
      <c r="X628" s="142"/>
    </row>
    <row r="629" spans="24:24" x14ac:dyDescent="0.25">
      <c r="X629" s="142"/>
    </row>
    <row r="630" spans="24:24" x14ac:dyDescent="0.25">
      <c r="X630" s="142"/>
    </row>
    <row r="631" spans="24:24" x14ac:dyDescent="0.25">
      <c r="X631" s="142"/>
    </row>
    <row r="632" spans="24:24" x14ac:dyDescent="0.25">
      <c r="X632" s="142"/>
    </row>
    <row r="633" spans="24:24" x14ac:dyDescent="0.25">
      <c r="X633" s="142"/>
    </row>
    <row r="634" spans="24:24" x14ac:dyDescent="0.25">
      <c r="X634" s="142"/>
    </row>
    <row r="635" spans="24:24" x14ac:dyDescent="0.25">
      <c r="X635" s="142"/>
    </row>
    <row r="636" spans="24:24" x14ac:dyDescent="0.25">
      <c r="X636" s="142"/>
    </row>
    <row r="637" spans="24:24" x14ac:dyDescent="0.25">
      <c r="X637" s="142"/>
    </row>
    <row r="638" spans="24:24" x14ac:dyDescent="0.25">
      <c r="X638" s="142"/>
    </row>
    <row r="639" spans="24:24" x14ac:dyDescent="0.25">
      <c r="X639" s="142"/>
    </row>
    <row r="640" spans="24:24" x14ac:dyDescent="0.25">
      <c r="X640" s="142"/>
    </row>
    <row r="641" spans="24:24" x14ac:dyDescent="0.25">
      <c r="X641" s="142"/>
    </row>
    <row r="642" spans="24:24" x14ac:dyDescent="0.25">
      <c r="X642" s="142"/>
    </row>
    <row r="643" spans="24:24" x14ac:dyDescent="0.25">
      <c r="X643" s="142"/>
    </row>
    <row r="644" spans="24:24" x14ac:dyDescent="0.25">
      <c r="X644" s="142"/>
    </row>
    <row r="645" spans="24:24" x14ac:dyDescent="0.25">
      <c r="X645" s="142"/>
    </row>
    <row r="646" spans="24:24" x14ac:dyDescent="0.25">
      <c r="X646" s="142"/>
    </row>
    <row r="647" spans="24:24" x14ac:dyDescent="0.25">
      <c r="X647" s="142"/>
    </row>
    <row r="648" spans="24:24" x14ac:dyDescent="0.25">
      <c r="X648" s="142"/>
    </row>
    <row r="649" spans="24:24" x14ac:dyDescent="0.25">
      <c r="X649" s="142"/>
    </row>
    <row r="650" spans="24:24" x14ac:dyDescent="0.25">
      <c r="X650" s="142"/>
    </row>
    <row r="651" spans="24:24" x14ac:dyDescent="0.25">
      <c r="X651" s="142"/>
    </row>
    <row r="652" spans="24:24" x14ac:dyDescent="0.25">
      <c r="X652" s="142"/>
    </row>
    <row r="653" spans="24:24" x14ac:dyDescent="0.25">
      <c r="X653" s="142"/>
    </row>
    <row r="654" spans="24:24" x14ac:dyDescent="0.25">
      <c r="X654" s="142"/>
    </row>
    <row r="655" spans="24:24" x14ac:dyDescent="0.25">
      <c r="X655" s="142"/>
    </row>
    <row r="656" spans="24:24" x14ac:dyDescent="0.25">
      <c r="X656" s="142"/>
    </row>
    <row r="657" spans="24:24" x14ac:dyDescent="0.25">
      <c r="X657" s="142"/>
    </row>
    <row r="658" spans="24:24" x14ac:dyDescent="0.25">
      <c r="X658" s="142"/>
    </row>
    <row r="659" spans="24:24" x14ac:dyDescent="0.25">
      <c r="X659" s="142"/>
    </row>
    <row r="660" spans="24:24" x14ac:dyDescent="0.25">
      <c r="X660" s="142"/>
    </row>
    <row r="661" spans="24:24" x14ac:dyDescent="0.25">
      <c r="X661" s="142"/>
    </row>
    <row r="662" spans="24:24" x14ac:dyDescent="0.25">
      <c r="X662" s="142"/>
    </row>
    <row r="663" spans="24:24" x14ac:dyDescent="0.25">
      <c r="X663" s="142"/>
    </row>
    <row r="664" spans="24:24" x14ac:dyDescent="0.25">
      <c r="X664" s="142"/>
    </row>
    <row r="665" spans="24:24" x14ac:dyDescent="0.25">
      <c r="X665" s="142"/>
    </row>
    <row r="666" spans="24:24" x14ac:dyDescent="0.25">
      <c r="X666" s="142"/>
    </row>
    <row r="667" spans="24:24" x14ac:dyDescent="0.25">
      <c r="X667" s="142"/>
    </row>
    <row r="668" spans="24:24" x14ac:dyDescent="0.25">
      <c r="X668" s="142"/>
    </row>
    <row r="669" spans="24:24" x14ac:dyDescent="0.25">
      <c r="X669" s="142"/>
    </row>
    <row r="670" spans="24:24" x14ac:dyDescent="0.25">
      <c r="X670" s="142"/>
    </row>
    <row r="671" spans="24:24" x14ac:dyDescent="0.25">
      <c r="X671" s="142"/>
    </row>
    <row r="672" spans="24:24" x14ac:dyDescent="0.25">
      <c r="X672" s="142"/>
    </row>
    <row r="673" spans="24:24" x14ac:dyDescent="0.25">
      <c r="X673" s="142"/>
    </row>
    <row r="674" spans="24:24" x14ac:dyDescent="0.25">
      <c r="X674" s="142"/>
    </row>
    <row r="675" spans="24:24" x14ac:dyDescent="0.25">
      <c r="X675" s="142"/>
    </row>
    <row r="676" spans="24:24" x14ac:dyDescent="0.25">
      <c r="X676" s="142"/>
    </row>
    <row r="677" spans="24:24" x14ac:dyDescent="0.25">
      <c r="X677" s="142"/>
    </row>
    <row r="678" spans="24:24" x14ac:dyDescent="0.25">
      <c r="X678" s="142"/>
    </row>
    <row r="679" spans="24:24" x14ac:dyDescent="0.25">
      <c r="X679" s="142"/>
    </row>
    <row r="680" spans="24:24" x14ac:dyDescent="0.25">
      <c r="X680" s="142"/>
    </row>
    <row r="681" spans="24:24" x14ac:dyDescent="0.25">
      <c r="X681" s="142"/>
    </row>
    <row r="682" spans="24:24" x14ac:dyDescent="0.25">
      <c r="X682" s="142"/>
    </row>
    <row r="683" spans="24:24" x14ac:dyDescent="0.25">
      <c r="X683" s="142"/>
    </row>
    <row r="684" spans="24:24" x14ac:dyDescent="0.25">
      <c r="X684" s="142"/>
    </row>
    <row r="685" spans="24:24" x14ac:dyDescent="0.25">
      <c r="X685" s="142"/>
    </row>
    <row r="686" spans="24:24" x14ac:dyDescent="0.25">
      <c r="X686" s="142"/>
    </row>
    <row r="687" spans="24:24" x14ac:dyDescent="0.25">
      <c r="X687" s="142"/>
    </row>
    <row r="688" spans="24:24" x14ac:dyDescent="0.25">
      <c r="X688" s="142"/>
    </row>
    <row r="689" spans="24:24" x14ac:dyDescent="0.25">
      <c r="X689" s="142"/>
    </row>
    <row r="690" spans="24:24" x14ac:dyDescent="0.25">
      <c r="X690" s="142"/>
    </row>
    <row r="691" spans="24:24" x14ac:dyDescent="0.25">
      <c r="X691" s="142"/>
    </row>
    <row r="692" spans="24:24" x14ac:dyDescent="0.25">
      <c r="X692" s="142"/>
    </row>
    <row r="693" spans="24:24" x14ac:dyDescent="0.25">
      <c r="X693" s="142"/>
    </row>
    <row r="694" spans="24:24" x14ac:dyDescent="0.25">
      <c r="X694" s="142"/>
    </row>
    <row r="695" spans="24:24" x14ac:dyDescent="0.25">
      <c r="X695" s="142"/>
    </row>
    <row r="696" spans="24:24" x14ac:dyDescent="0.25">
      <c r="X696" s="142"/>
    </row>
    <row r="697" spans="24:24" x14ac:dyDescent="0.25">
      <c r="X697" s="142"/>
    </row>
    <row r="698" spans="24:24" x14ac:dyDescent="0.25">
      <c r="X698" s="142"/>
    </row>
    <row r="699" spans="24:24" x14ac:dyDescent="0.25">
      <c r="X699" s="142"/>
    </row>
    <row r="700" spans="24:24" x14ac:dyDescent="0.25">
      <c r="X700" s="142"/>
    </row>
    <row r="701" spans="24:24" x14ac:dyDescent="0.25">
      <c r="X701" s="142"/>
    </row>
    <row r="702" spans="24:24" x14ac:dyDescent="0.25">
      <c r="X702" s="142"/>
    </row>
    <row r="703" spans="24:24" x14ac:dyDescent="0.25">
      <c r="X703" s="142"/>
    </row>
    <row r="704" spans="24:24" x14ac:dyDescent="0.25">
      <c r="X704" s="142"/>
    </row>
    <row r="705" spans="24:24" x14ac:dyDescent="0.25">
      <c r="X705" s="142"/>
    </row>
    <row r="706" spans="24:24" x14ac:dyDescent="0.25">
      <c r="X706" s="142"/>
    </row>
    <row r="707" spans="24:24" x14ac:dyDescent="0.25">
      <c r="X707" s="142"/>
    </row>
    <row r="708" spans="24:24" x14ac:dyDescent="0.25">
      <c r="X708" s="142"/>
    </row>
    <row r="709" spans="24:24" x14ac:dyDescent="0.25">
      <c r="X709" s="142"/>
    </row>
    <row r="710" spans="24:24" x14ac:dyDescent="0.25">
      <c r="X710" s="142"/>
    </row>
    <row r="711" spans="24:24" x14ac:dyDescent="0.25">
      <c r="X711" s="142"/>
    </row>
    <row r="712" spans="24:24" x14ac:dyDescent="0.25">
      <c r="X712" s="142"/>
    </row>
    <row r="713" spans="24:24" x14ac:dyDescent="0.25">
      <c r="X713" s="142"/>
    </row>
    <row r="714" spans="24:24" x14ac:dyDescent="0.25">
      <c r="X714" s="142"/>
    </row>
    <row r="715" spans="24:24" x14ac:dyDescent="0.25">
      <c r="X715" s="142"/>
    </row>
    <row r="716" spans="24:24" x14ac:dyDescent="0.25">
      <c r="X716" s="142"/>
    </row>
    <row r="717" spans="24:24" x14ac:dyDescent="0.25">
      <c r="X717" s="142"/>
    </row>
    <row r="718" spans="24:24" x14ac:dyDescent="0.25">
      <c r="X718" s="142"/>
    </row>
    <row r="719" spans="24:24" x14ac:dyDescent="0.25">
      <c r="X719" s="142"/>
    </row>
    <row r="720" spans="24:24" x14ac:dyDescent="0.25">
      <c r="X720" s="142"/>
    </row>
    <row r="721" spans="24:24" x14ac:dyDescent="0.25">
      <c r="X721" s="142"/>
    </row>
    <row r="722" spans="24:24" x14ac:dyDescent="0.25">
      <c r="X722" s="142"/>
    </row>
    <row r="723" spans="24:24" x14ac:dyDescent="0.25">
      <c r="X723" s="142"/>
    </row>
    <row r="724" spans="24:24" x14ac:dyDescent="0.25">
      <c r="X724" s="142"/>
    </row>
    <row r="725" spans="24:24" x14ac:dyDescent="0.25">
      <c r="X725" s="142"/>
    </row>
    <row r="726" spans="24:24" x14ac:dyDescent="0.25">
      <c r="X726" s="142"/>
    </row>
    <row r="727" spans="24:24" x14ac:dyDescent="0.25">
      <c r="X727" s="142"/>
    </row>
    <row r="728" spans="24:24" x14ac:dyDescent="0.25">
      <c r="X728" s="142"/>
    </row>
    <row r="729" spans="24:24" x14ac:dyDescent="0.25">
      <c r="X729" s="142"/>
    </row>
    <row r="730" spans="24:24" x14ac:dyDescent="0.25">
      <c r="X730" s="142"/>
    </row>
    <row r="731" spans="24:24" x14ac:dyDescent="0.25">
      <c r="X731" s="142"/>
    </row>
    <row r="732" spans="24:24" x14ac:dyDescent="0.25">
      <c r="X732" s="142"/>
    </row>
    <row r="733" spans="24:24" x14ac:dyDescent="0.25">
      <c r="X733" s="142"/>
    </row>
    <row r="734" spans="24:24" x14ac:dyDescent="0.25">
      <c r="X734" s="142"/>
    </row>
    <row r="735" spans="24:24" x14ac:dyDescent="0.25">
      <c r="X735" s="142"/>
    </row>
    <row r="736" spans="24:24" x14ac:dyDescent="0.25">
      <c r="X736" s="142"/>
    </row>
    <row r="737" spans="24:24" x14ac:dyDescent="0.25">
      <c r="X737" s="142"/>
    </row>
    <row r="738" spans="24:24" x14ac:dyDescent="0.25">
      <c r="X738" s="142"/>
    </row>
    <row r="739" spans="24:24" x14ac:dyDescent="0.25">
      <c r="X739" s="142"/>
    </row>
    <row r="740" spans="24:24" x14ac:dyDescent="0.25">
      <c r="X740" s="142"/>
    </row>
    <row r="741" spans="24:24" x14ac:dyDescent="0.25">
      <c r="X741" s="142"/>
    </row>
    <row r="742" spans="24:24" x14ac:dyDescent="0.25">
      <c r="X742" s="142"/>
    </row>
    <row r="743" spans="24:24" x14ac:dyDescent="0.25">
      <c r="X743" s="142"/>
    </row>
    <row r="744" spans="24:24" x14ac:dyDescent="0.25">
      <c r="X744" s="142"/>
    </row>
    <row r="745" spans="24:24" x14ac:dyDescent="0.25">
      <c r="X745" s="142"/>
    </row>
    <row r="746" spans="24:24" x14ac:dyDescent="0.25">
      <c r="X746" s="142"/>
    </row>
    <row r="747" spans="24:24" x14ac:dyDescent="0.25">
      <c r="X747" s="142"/>
    </row>
    <row r="748" spans="24:24" x14ac:dyDescent="0.25">
      <c r="X748" s="142"/>
    </row>
    <row r="749" spans="24:24" x14ac:dyDescent="0.25">
      <c r="X749" s="142"/>
    </row>
    <row r="750" spans="24:24" x14ac:dyDescent="0.25">
      <c r="X750" s="142"/>
    </row>
    <row r="751" spans="24:24" x14ac:dyDescent="0.25">
      <c r="X751" s="142"/>
    </row>
    <row r="752" spans="24:24" x14ac:dyDescent="0.25">
      <c r="X752" s="142"/>
    </row>
    <row r="753" spans="24:24" x14ac:dyDescent="0.25">
      <c r="X753" s="142"/>
    </row>
    <row r="754" spans="24:24" x14ac:dyDescent="0.25">
      <c r="X754" s="142"/>
    </row>
    <row r="755" spans="24:24" x14ac:dyDescent="0.25">
      <c r="X755" s="142"/>
    </row>
    <row r="756" spans="24:24" x14ac:dyDescent="0.25">
      <c r="X756" s="142"/>
    </row>
    <row r="757" spans="24:24" x14ac:dyDescent="0.25">
      <c r="X757" s="142"/>
    </row>
    <row r="758" spans="24:24" x14ac:dyDescent="0.25">
      <c r="X758" s="142"/>
    </row>
    <row r="759" spans="24:24" x14ac:dyDescent="0.25">
      <c r="X759" s="142"/>
    </row>
    <row r="760" spans="24:24" x14ac:dyDescent="0.25">
      <c r="X760" s="142"/>
    </row>
    <row r="761" spans="24:24" x14ac:dyDescent="0.25">
      <c r="X761" s="142"/>
    </row>
    <row r="762" spans="24:24" x14ac:dyDescent="0.25">
      <c r="X762" s="142"/>
    </row>
    <row r="763" spans="24:24" x14ac:dyDescent="0.25">
      <c r="X763" s="142"/>
    </row>
    <row r="764" spans="24:24" x14ac:dyDescent="0.25">
      <c r="X764" s="142"/>
    </row>
    <row r="765" spans="24:24" x14ac:dyDescent="0.25">
      <c r="X765" s="142"/>
    </row>
    <row r="766" spans="24:24" x14ac:dyDescent="0.25">
      <c r="X766" s="142"/>
    </row>
    <row r="767" spans="24:24" x14ac:dyDescent="0.25">
      <c r="X767" s="142"/>
    </row>
    <row r="768" spans="24:24" x14ac:dyDescent="0.25">
      <c r="X768" s="142"/>
    </row>
    <row r="769" spans="24:24" x14ac:dyDescent="0.25">
      <c r="X769" s="142"/>
    </row>
    <row r="770" spans="24:24" x14ac:dyDescent="0.25">
      <c r="X770" s="142"/>
    </row>
    <row r="771" spans="24:24" x14ac:dyDescent="0.25">
      <c r="X771" s="142"/>
    </row>
    <row r="772" spans="24:24" x14ac:dyDescent="0.25">
      <c r="X772" s="142"/>
    </row>
    <row r="773" spans="24:24" x14ac:dyDescent="0.25">
      <c r="X773" s="142"/>
    </row>
    <row r="774" spans="24:24" x14ac:dyDescent="0.25">
      <c r="X774" s="142"/>
    </row>
    <row r="775" spans="24:24" x14ac:dyDescent="0.25">
      <c r="X775" s="142"/>
    </row>
    <row r="776" spans="24:24" x14ac:dyDescent="0.25">
      <c r="X776" s="142"/>
    </row>
    <row r="777" spans="24:24" x14ac:dyDescent="0.25">
      <c r="X777" s="142"/>
    </row>
    <row r="778" spans="24:24" x14ac:dyDescent="0.25">
      <c r="X778" s="142"/>
    </row>
    <row r="779" spans="24:24" x14ac:dyDescent="0.25">
      <c r="X779" s="142"/>
    </row>
    <row r="780" spans="24:24" x14ac:dyDescent="0.25">
      <c r="X780" s="142"/>
    </row>
    <row r="781" spans="24:24" x14ac:dyDescent="0.25">
      <c r="X781" s="142"/>
    </row>
    <row r="782" spans="24:24" x14ac:dyDescent="0.25">
      <c r="X782" s="142"/>
    </row>
    <row r="783" spans="24:24" x14ac:dyDescent="0.25">
      <c r="X783" s="142"/>
    </row>
    <row r="784" spans="24:24" x14ac:dyDescent="0.25">
      <c r="X784" s="142"/>
    </row>
    <row r="785" spans="24:24" x14ac:dyDescent="0.25">
      <c r="X785" s="142"/>
    </row>
    <row r="786" spans="24:24" x14ac:dyDescent="0.25">
      <c r="X786" s="142"/>
    </row>
    <row r="787" spans="24:24" x14ac:dyDescent="0.25">
      <c r="X787" s="142"/>
    </row>
    <row r="788" spans="24:24" x14ac:dyDescent="0.25">
      <c r="X788" s="142"/>
    </row>
    <row r="789" spans="24:24" x14ac:dyDescent="0.25">
      <c r="X789" s="142"/>
    </row>
    <row r="790" spans="24:24" x14ac:dyDescent="0.25">
      <c r="X790" s="142"/>
    </row>
    <row r="791" spans="24:24" x14ac:dyDescent="0.25">
      <c r="X791" s="142"/>
    </row>
    <row r="792" spans="24:24" x14ac:dyDescent="0.25">
      <c r="X792" s="142"/>
    </row>
    <row r="793" spans="24:24" x14ac:dyDescent="0.25">
      <c r="X793" s="142"/>
    </row>
    <row r="794" spans="24:24" x14ac:dyDescent="0.25">
      <c r="X794" s="142"/>
    </row>
    <row r="795" spans="24:24" x14ac:dyDescent="0.25">
      <c r="X795" s="142"/>
    </row>
    <row r="796" spans="24:24" x14ac:dyDescent="0.25">
      <c r="X796" s="142"/>
    </row>
    <row r="797" spans="24:24" x14ac:dyDescent="0.25">
      <c r="X797" s="142"/>
    </row>
    <row r="798" spans="24:24" x14ac:dyDescent="0.25">
      <c r="X798" s="142"/>
    </row>
    <row r="799" spans="24:24" x14ac:dyDescent="0.25">
      <c r="X799" s="142"/>
    </row>
    <row r="800" spans="24:24" x14ac:dyDescent="0.25">
      <c r="X800" s="142"/>
    </row>
    <row r="801" spans="24:24" x14ac:dyDescent="0.25">
      <c r="X801" s="142"/>
    </row>
    <row r="802" spans="24:24" x14ac:dyDescent="0.25">
      <c r="X802" s="142"/>
    </row>
    <row r="803" spans="24:24" x14ac:dyDescent="0.25">
      <c r="X803" s="142"/>
    </row>
    <row r="804" spans="24:24" x14ac:dyDescent="0.25">
      <c r="X804" s="142"/>
    </row>
    <row r="805" spans="24:24" x14ac:dyDescent="0.25">
      <c r="X805" s="142"/>
    </row>
    <row r="806" spans="24:24" x14ac:dyDescent="0.25">
      <c r="X806" s="142"/>
    </row>
    <row r="807" spans="24:24" x14ac:dyDescent="0.25">
      <c r="X807" s="142"/>
    </row>
    <row r="808" spans="24:24" x14ac:dyDescent="0.25">
      <c r="X808" s="142"/>
    </row>
    <row r="809" spans="24:24" x14ac:dyDescent="0.25">
      <c r="X809" s="142"/>
    </row>
    <row r="810" spans="24:24" x14ac:dyDescent="0.25">
      <c r="X810" s="142"/>
    </row>
    <row r="811" spans="24:24" x14ac:dyDescent="0.25">
      <c r="X811" s="142"/>
    </row>
    <row r="812" spans="24:24" x14ac:dyDescent="0.25">
      <c r="X812" s="142"/>
    </row>
    <row r="813" spans="24:24" x14ac:dyDescent="0.25">
      <c r="X813" s="142"/>
    </row>
    <row r="814" spans="24:24" x14ac:dyDescent="0.25">
      <c r="X814" s="142"/>
    </row>
    <row r="815" spans="24:24" x14ac:dyDescent="0.25">
      <c r="X815" s="142"/>
    </row>
    <row r="816" spans="24:24" x14ac:dyDescent="0.25">
      <c r="X816" s="142"/>
    </row>
    <row r="817" spans="24:24" x14ac:dyDescent="0.25">
      <c r="X817" s="142"/>
    </row>
    <row r="818" spans="24:24" x14ac:dyDescent="0.25">
      <c r="X818" s="142"/>
    </row>
    <row r="819" spans="24:24" x14ac:dyDescent="0.25">
      <c r="X819" s="142"/>
    </row>
    <row r="820" spans="24:24" x14ac:dyDescent="0.25">
      <c r="X820" s="142"/>
    </row>
    <row r="821" spans="24:24" x14ac:dyDescent="0.25">
      <c r="X821" s="142"/>
    </row>
    <row r="822" spans="24:24" x14ac:dyDescent="0.25">
      <c r="X822" s="142"/>
    </row>
    <row r="823" spans="24:24" x14ac:dyDescent="0.25">
      <c r="X823" s="142"/>
    </row>
    <row r="824" spans="24:24" x14ac:dyDescent="0.25">
      <c r="X824" s="142"/>
    </row>
    <row r="825" spans="24:24" x14ac:dyDescent="0.25">
      <c r="X825" s="142"/>
    </row>
    <row r="826" spans="24:24" x14ac:dyDescent="0.25">
      <c r="X826" s="142"/>
    </row>
    <row r="827" spans="24:24" x14ac:dyDescent="0.25">
      <c r="X827" s="142"/>
    </row>
    <row r="828" spans="24:24" x14ac:dyDescent="0.25">
      <c r="X828" s="142"/>
    </row>
    <row r="829" spans="24:24" x14ac:dyDescent="0.25">
      <c r="X829" s="142"/>
    </row>
    <row r="830" spans="24:24" x14ac:dyDescent="0.25">
      <c r="X830" s="142"/>
    </row>
    <row r="831" spans="24:24" x14ac:dyDescent="0.25">
      <c r="X831" s="142"/>
    </row>
    <row r="832" spans="24:24" x14ac:dyDescent="0.25">
      <c r="X832" s="142"/>
    </row>
    <row r="833" spans="24:24" x14ac:dyDescent="0.25">
      <c r="X833" s="142"/>
    </row>
    <row r="834" spans="24:24" x14ac:dyDescent="0.25">
      <c r="X834" s="142"/>
    </row>
    <row r="835" spans="24:24" x14ac:dyDescent="0.25">
      <c r="X835" s="142"/>
    </row>
    <row r="836" spans="24:24" x14ac:dyDescent="0.25">
      <c r="X836" s="142"/>
    </row>
    <row r="837" spans="24:24" x14ac:dyDescent="0.25">
      <c r="X837" s="142"/>
    </row>
    <row r="838" spans="24:24" x14ac:dyDescent="0.25">
      <c r="X838" s="142"/>
    </row>
    <row r="839" spans="24:24" x14ac:dyDescent="0.25">
      <c r="X839" s="142"/>
    </row>
    <row r="840" spans="24:24" x14ac:dyDescent="0.25">
      <c r="X840" s="142"/>
    </row>
    <row r="841" spans="24:24" x14ac:dyDescent="0.25">
      <c r="X841" s="142"/>
    </row>
    <row r="842" spans="24:24" x14ac:dyDescent="0.25">
      <c r="X842" s="142"/>
    </row>
    <row r="843" spans="24:24" x14ac:dyDescent="0.25">
      <c r="X843" s="142"/>
    </row>
    <row r="844" spans="24:24" x14ac:dyDescent="0.25">
      <c r="X844" s="142"/>
    </row>
    <row r="845" spans="24:24" x14ac:dyDescent="0.25">
      <c r="X845" s="142"/>
    </row>
    <row r="846" spans="24:24" x14ac:dyDescent="0.25">
      <c r="X846" s="142"/>
    </row>
    <row r="847" spans="24:24" x14ac:dyDescent="0.25">
      <c r="X847" s="142"/>
    </row>
    <row r="848" spans="24:24" x14ac:dyDescent="0.25">
      <c r="X848" s="142"/>
    </row>
    <row r="849" spans="24:24" x14ac:dyDescent="0.25">
      <c r="X849" s="142"/>
    </row>
    <row r="850" spans="24:24" x14ac:dyDescent="0.25">
      <c r="X850" s="142"/>
    </row>
    <row r="851" spans="24:24" x14ac:dyDescent="0.25">
      <c r="X851" s="142"/>
    </row>
    <row r="852" spans="24:24" x14ac:dyDescent="0.25">
      <c r="X852" s="142"/>
    </row>
    <row r="853" spans="24:24" x14ac:dyDescent="0.25">
      <c r="X853" s="142"/>
    </row>
    <row r="854" spans="24:24" x14ac:dyDescent="0.25">
      <c r="X854" s="142"/>
    </row>
    <row r="855" spans="24:24" x14ac:dyDescent="0.25">
      <c r="X855" s="142"/>
    </row>
    <row r="856" spans="24:24" x14ac:dyDescent="0.25">
      <c r="X856" s="142"/>
    </row>
    <row r="857" spans="24:24" x14ac:dyDescent="0.25">
      <c r="X857" s="142"/>
    </row>
    <row r="858" spans="24:24" x14ac:dyDescent="0.25">
      <c r="X858" s="142"/>
    </row>
    <row r="859" spans="24:24" x14ac:dyDescent="0.25">
      <c r="X859" s="142"/>
    </row>
    <row r="860" spans="24:24" x14ac:dyDescent="0.25">
      <c r="X860" s="142"/>
    </row>
    <row r="861" spans="24:24" x14ac:dyDescent="0.25">
      <c r="X861" s="142"/>
    </row>
    <row r="862" spans="24:24" x14ac:dyDescent="0.25">
      <c r="X862" s="142"/>
    </row>
    <row r="863" spans="24:24" x14ac:dyDescent="0.25">
      <c r="X863" s="142"/>
    </row>
    <row r="864" spans="24:24" x14ac:dyDescent="0.25">
      <c r="X864" s="142"/>
    </row>
    <row r="865" spans="24:24" x14ac:dyDescent="0.25">
      <c r="X865" s="142"/>
    </row>
    <row r="866" spans="24:24" x14ac:dyDescent="0.25">
      <c r="X866" s="142"/>
    </row>
    <row r="867" spans="24:24" x14ac:dyDescent="0.25">
      <c r="X867" s="142"/>
    </row>
    <row r="868" spans="24:24" x14ac:dyDescent="0.25">
      <c r="X868" s="142"/>
    </row>
    <row r="869" spans="24:24" x14ac:dyDescent="0.25">
      <c r="X869" s="142"/>
    </row>
    <row r="870" spans="24:24" x14ac:dyDescent="0.25">
      <c r="X870" s="142"/>
    </row>
    <row r="871" spans="24:24" x14ac:dyDescent="0.25">
      <c r="X871" s="142"/>
    </row>
    <row r="872" spans="24:24" x14ac:dyDescent="0.25">
      <c r="X872" s="142"/>
    </row>
    <row r="873" spans="24:24" x14ac:dyDescent="0.25">
      <c r="X873" s="142"/>
    </row>
    <row r="874" spans="24:24" x14ac:dyDescent="0.25">
      <c r="X874" s="142"/>
    </row>
    <row r="875" spans="24:24" x14ac:dyDescent="0.25">
      <c r="X875" s="142"/>
    </row>
    <row r="876" spans="24:24" x14ac:dyDescent="0.25">
      <c r="X876" s="142"/>
    </row>
    <row r="877" spans="24:24" x14ac:dyDescent="0.25">
      <c r="X877" s="142"/>
    </row>
    <row r="878" spans="24:24" x14ac:dyDescent="0.25">
      <c r="X878" s="142"/>
    </row>
    <row r="879" spans="24:24" x14ac:dyDescent="0.25">
      <c r="X879" s="142"/>
    </row>
    <row r="880" spans="24:24" x14ac:dyDescent="0.25">
      <c r="X880" s="142"/>
    </row>
    <row r="881" spans="24:24" x14ac:dyDescent="0.25">
      <c r="X881" s="142"/>
    </row>
    <row r="882" spans="24:24" x14ac:dyDescent="0.25">
      <c r="X882" s="142"/>
    </row>
    <row r="883" spans="24:24" x14ac:dyDescent="0.25">
      <c r="X883" s="142"/>
    </row>
    <row r="884" spans="24:24" x14ac:dyDescent="0.25">
      <c r="X884" s="142"/>
    </row>
    <row r="885" spans="24:24" x14ac:dyDescent="0.25">
      <c r="X885" s="142"/>
    </row>
    <row r="886" spans="24:24" x14ac:dyDescent="0.25">
      <c r="X886" s="142"/>
    </row>
    <row r="887" spans="24:24" x14ac:dyDescent="0.25">
      <c r="X887" s="142"/>
    </row>
    <row r="888" spans="24:24" x14ac:dyDescent="0.25">
      <c r="X888" s="142"/>
    </row>
    <row r="889" spans="24:24" x14ac:dyDescent="0.25">
      <c r="X889" s="142"/>
    </row>
    <row r="890" spans="24:24" x14ac:dyDescent="0.25">
      <c r="X890" s="142"/>
    </row>
    <row r="891" spans="24:24" x14ac:dyDescent="0.25">
      <c r="X891" s="142"/>
    </row>
    <row r="892" spans="24:24" x14ac:dyDescent="0.25">
      <c r="X892" s="142"/>
    </row>
    <row r="893" spans="24:24" x14ac:dyDescent="0.25">
      <c r="X893" s="142"/>
    </row>
    <row r="894" spans="24:24" x14ac:dyDescent="0.25">
      <c r="X894" s="142"/>
    </row>
    <row r="895" spans="24:24" x14ac:dyDescent="0.25">
      <c r="X895" s="142"/>
    </row>
    <row r="896" spans="24:24" x14ac:dyDescent="0.25">
      <c r="X896" s="142"/>
    </row>
    <row r="897" spans="24:24" x14ac:dyDescent="0.25">
      <c r="X897" s="142"/>
    </row>
    <row r="898" spans="24:24" x14ac:dyDescent="0.25">
      <c r="X898" s="142"/>
    </row>
    <row r="899" spans="24:24" x14ac:dyDescent="0.25">
      <c r="X899" s="142"/>
    </row>
    <row r="900" spans="24:24" x14ac:dyDescent="0.25">
      <c r="X900" s="142"/>
    </row>
    <row r="901" spans="24:24" x14ac:dyDescent="0.25">
      <c r="X901" s="142"/>
    </row>
    <row r="902" spans="24:24" x14ac:dyDescent="0.25">
      <c r="X902" s="142"/>
    </row>
    <row r="903" spans="24:24" x14ac:dyDescent="0.25">
      <c r="X903" s="142"/>
    </row>
    <row r="904" spans="24:24" x14ac:dyDescent="0.25">
      <c r="X904" s="142"/>
    </row>
    <row r="905" spans="24:24" x14ac:dyDescent="0.25">
      <c r="X905" s="142"/>
    </row>
    <row r="906" spans="24:24" x14ac:dyDescent="0.25">
      <c r="X906" s="142"/>
    </row>
    <row r="907" spans="24:24" x14ac:dyDescent="0.25">
      <c r="X907" s="142"/>
    </row>
    <row r="908" spans="24:24" x14ac:dyDescent="0.25">
      <c r="X908" s="142"/>
    </row>
    <row r="909" spans="24:24" x14ac:dyDescent="0.25">
      <c r="X909" s="142"/>
    </row>
    <row r="910" spans="24:24" x14ac:dyDescent="0.25">
      <c r="X910" s="142"/>
    </row>
    <row r="911" spans="24:24" x14ac:dyDescent="0.25">
      <c r="X911" s="142"/>
    </row>
    <row r="912" spans="24:24" x14ac:dyDescent="0.25">
      <c r="X912" s="142"/>
    </row>
    <row r="913" spans="24:24" x14ac:dyDescent="0.25">
      <c r="X913" s="142"/>
    </row>
    <row r="914" spans="24:24" x14ac:dyDescent="0.25">
      <c r="X914" s="142"/>
    </row>
    <row r="915" spans="24:24" x14ac:dyDescent="0.25">
      <c r="X915" s="142"/>
    </row>
    <row r="916" spans="24:24" x14ac:dyDescent="0.25">
      <c r="X916" s="142"/>
    </row>
    <row r="917" spans="24:24" x14ac:dyDescent="0.25">
      <c r="X917" s="142"/>
    </row>
    <row r="918" spans="24:24" x14ac:dyDescent="0.25">
      <c r="X918" s="142"/>
    </row>
    <row r="919" spans="24:24" x14ac:dyDescent="0.25">
      <c r="X919" s="142"/>
    </row>
    <row r="920" spans="24:24" x14ac:dyDescent="0.25">
      <c r="X920" s="142"/>
    </row>
    <row r="921" spans="24:24" x14ac:dyDescent="0.25">
      <c r="X921" s="142"/>
    </row>
    <row r="922" spans="24:24" x14ac:dyDescent="0.25">
      <c r="X922" s="142"/>
    </row>
    <row r="923" spans="24:24" x14ac:dyDescent="0.25">
      <c r="X923" s="142"/>
    </row>
    <row r="924" spans="24:24" x14ac:dyDescent="0.25">
      <c r="X924" s="142"/>
    </row>
    <row r="925" spans="24:24" x14ac:dyDescent="0.25">
      <c r="X925" s="142"/>
    </row>
    <row r="926" spans="24:24" x14ac:dyDescent="0.25">
      <c r="X926" s="142"/>
    </row>
    <row r="927" spans="24:24" x14ac:dyDescent="0.25">
      <c r="X927" s="142"/>
    </row>
    <row r="928" spans="24:24" x14ac:dyDescent="0.25">
      <c r="X928" s="142"/>
    </row>
    <row r="929" spans="24:24" x14ac:dyDescent="0.25">
      <c r="X929" s="142"/>
    </row>
    <row r="930" spans="24:24" x14ac:dyDescent="0.25">
      <c r="X930" s="142"/>
    </row>
    <row r="931" spans="24:24" x14ac:dyDescent="0.25">
      <c r="X931" s="142"/>
    </row>
    <row r="932" spans="24:24" x14ac:dyDescent="0.25">
      <c r="X932" s="142"/>
    </row>
    <row r="933" spans="24:24" x14ac:dyDescent="0.25">
      <c r="X933" s="142"/>
    </row>
    <row r="934" spans="24:24" x14ac:dyDescent="0.25">
      <c r="X934" s="142"/>
    </row>
    <row r="935" spans="24:24" x14ac:dyDescent="0.25">
      <c r="X935" s="142"/>
    </row>
    <row r="936" spans="24:24" x14ac:dyDescent="0.25">
      <c r="X936" s="142"/>
    </row>
    <row r="937" spans="24:24" x14ac:dyDescent="0.25">
      <c r="X937" s="142"/>
    </row>
    <row r="938" spans="24:24" x14ac:dyDescent="0.25">
      <c r="X938" s="142"/>
    </row>
    <row r="939" spans="24:24" x14ac:dyDescent="0.25">
      <c r="X939" s="142"/>
    </row>
    <row r="940" spans="24:24" x14ac:dyDescent="0.25">
      <c r="X940" s="142"/>
    </row>
    <row r="941" spans="24:24" x14ac:dyDescent="0.25">
      <c r="X941" s="142"/>
    </row>
    <row r="942" spans="24:24" x14ac:dyDescent="0.25">
      <c r="X942" s="142"/>
    </row>
    <row r="943" spans="24:24" x14ac:dyDescent="0.25">
      <c r="X943" s="142"/>
    </row>
    <row r="944" spans="24:24" x14ac:dyDescent="0.25">
      <c r="X944" s="142"/>
    </row>
    <row r="945" spans="24:24" x14ac:dyDescent="0.25">
      <c r="X945" s="142"/>
    </row>
    <row r="946" spans="24:24" x14ac:dyDescent="0.25">
      <c r="X946" s="142"/>
    </row>
    <row r="947" spans="24:24" x14ac:dyDescent="0.25">
      <c r="X947" s="142"/>
    </row>
    <row r="948" spans="24:24" x14ac:dyDescent="0.25">
      <c r="X948" s="142"/>
    </row>
    <row r="949" spans="24:24" x14ac:dyDescent="0.25">
      <c r="X949" s="142"/>
    </row>
    <row r="950" spans="24:24" x14ac:dyDescent="0.25">
      <c r="X950" s="142"/>
    </row>
    <row r="951" spans="24:24" x14ac:dyDescent="0.25">
      <c r="X951" s="142"/>
    </row>
    <row r="952" spans="24:24" x14ac:dyDescent="0.25">
      <c r="X952" s="142"/>
    </row>
    <row r="953" spans="24:24" x14ac:dyDescent="0.25">
      <c r="X953" s="142"/>
    </row>
    <row r="954" spans="24:24" x14ac:dyDescent="0.25">
      <c r="X954" s="142"/>
    </row>
    <row r="955" spans="24:24" x14ac:dyDescent="0.25">
      <c r="X955" s="142"/>
    </row>
    <row r="956" spans="24:24" x14ac:dyDescent="0.25">
      <c r="X956" s="142"/>
    </row>
    <row r="957" spans="24:24" x14ac:dyDescent="0.25">
      <c r="X957" s="142"/>
    </row>
    <row r="958" spans="24:24" x14ac:dyDescent="0.25">
      <c r="X958" s="142"/>
    </row>
    <row r="959" spans="24:24" x14ac:dyDescent="0.25">
      <c r="X959" s="142"/>
    </row>
    <row r="960" spans="24:24" x14ac:dyDescent="0.25">
      <c r="X960" s="142"/>
    </row>
    <row r="961" spans="24:24" x14ac:dyDescent="0.25">
      <c r="X961" s="142"/>
    </row>
    <row r="962" spans="24:24" x14ac:dyDescent="0.25">
      <c r="X962" s="142"/>
    </row>
    <row r="963" spans="24:24" x14ac:dyDescent="0.25">
      <c r="X963" s="142"/>
    </row>
    <row r="964" spans="24:24" x14ac:dyDescent="0.25">
      <c r="X964" s="142"/>
    </row>
    <row r="965" spans="24:24" x14ac:dyDescent="0.25">
      <c r="X965" s="142"/>
    </row>
    <row r="966" spans="24:24" x14ac:dyDescent="0.25">
      <c r="X966" s="142"/>
    </row>
    <row r="967" spans="24:24" x14ac:dyDescent="0.25">
      <c r="X967" s="142"/>
    </row>
    <row r="968" spans="24:24" x14ac:dyDescent="0.25">
      <c r="X968" s="142"/>
    </row>
    <row r="969" spans="24:24" x14ac:dyDescent="0.25">
      <c r="X969" s="142"/>
    </row>
    <row r="970" spans="24:24" x14ac:dyDescent="0.25">
      <c r="X970" s="142"/>
    </row>
    <row r="971" spans="24:24" x14ac:dyDescent="0.25">
      <c r="X971" s="142"/>
    </row>
    <row r="972" spans="24:24" x14ac:dyDescent="0.25">
      <c r="X972" s="142"/>
    </row>
    <row r="973" spans="24:24" x14ac:dyDescent="0.25">
      <c r="X973" s="142"/>
    </row>
    <row r="974" spans="24:24" x14ac:dyDescent="0.25">
      <c r="X974" s="142"/>
    </row>
    <row r="975" spans="24:24" x14ac:dyDescent="0.25">
      <c r="X975" s="142"/>
    </row>
    <row r="976" spans="24:24" x14ac:dyDescent="0.25">
      <c r="X976" s="142"/>
    </row>
    <row r="977" spans="24:24" x14ac:dyDescent="0.25">
      <c r="X977" s="142"/>
    </row>
    <row r="978" spans="24:24" x14ac:dyDescent="0.25">
      <c r="X978" s="142"/>
    </row>
    <row r="979" spans="24:24" x14ac:dyDescent="0.25">
      <c r="X979" s="142"/>
    </row>
    <row r="980" spans="24:24" x14ac:dyDescent="0.25">
      <c r="X980" s="142"/>
    </row>
    <row r="981" spans="24:24" x14ac:dyDescent="0.25">
      <c r="X981" s="142"/>
    </row>
    <row r="982" spans="24:24" x14ac:dyDescent="0.25">
      <c r="X982" s="142"/>
    </row>
    <row r="983" spans="24:24" x14ac:dyDescent="0.25">
      <c r="X983" s="142"/>
    </row>
    <row r="984" spans="24:24" x14ac:dyDescent="0.25">
      <c r="X984" s="142"/>
    </row>
    <row r="985" spans="24:24" x14ac:dyDescent="0.25">
      <c r="X985" s="142"/>
    </row>
    <row r="986" spans="24:24" x14ac:dyDescent="0.25">
      <c r="X986" s="142"/>
    </row>
    <row r="987" spans="24:24" x14ac:dyDescent="0.25">
      <c r="X987" s="142"/>
    </row>
    <row r="988" spans="24:24" x14ac:dyDescent="0.25">
      <c r="X988" s="142"/>
    </row>
    <row r="989" spans="24:24" x14ac:dyDescent="0.25">
      <c r="X989" s="142"/>
    </row>
    <row r="990" spans="24:24" x14ac:dyDescent="0.25">
      <c r="X990" s="142"/>
    </row>
    <row r="991" spans="24:24" x14ac:dyDescent="0.25">
      <c r="X991" s="142"/>
    </row>
    <row r="992" spans="24:24" x14ac:dyDescent="0.25">
      <c r="X992" s="142"/>
    </row>
    <row r="993" spans="24:24" x14ac:dyDescent="0.25">
      <c r="X993" s="142"/>
    </row>
    <row r="994" spans="24:24" x14ac:dyDescent="0.25">
      <c r="X994" s="142"/>
    </row>
    <row r="995" spans="24:24" x14ac:dyDescent="0.25">
      <c r="X995" s="142"/>
    </row>
    <row r="996" spans="24:24" x14ac:dyDescent="0.25">
      <c r="X996" s="142"/>
    </row>
    <row r="997" spans="24:24" x14ac:dyDescent="0.25">
      <c r="X997" s="142"/>
    </row>
    <row r="998" spans="24:24" x14ac:dyDescent="0.25">
      <c r="X998" s="142"/>
    </row>
    <row r="999" spans="24:24" x14ac:dyDescent="0.25">
      <c r="X999" s="142"/>
    </row>
    <row r="1000" spans="24:24" x14ac:dyDescent="0.25">
      <c r="X1000" s="142"/>
    </row>
    <row r="1001" spans="24:24" x14ac:dyDescent="0.25">
      <c r="X1001" s="142"/>
    </row>
    <row r="1002" spans="24:24" x14ac:dyDescent="0.25">
      <c r="X1002" s="142"/>
    </row>
    <row r="1003" spans="24:24" x14ac:dyDescent="0.25">
      <c r="X1003" s="142"/>
    </row>
    <row r="1004" spans="24:24" x14ac:dyDescent="0.25">
      <c r="X1004" s="142"/>
    </row>
    <row r="1005" spans="24:24" x14ac:dyDescent="0.25">
      <c r="X1005" s="142"/>
    </row>
    <row r="1006" spans="24:24" x14ac:dyDescent="0.25">
      <c r="X1006" s="142"/>
    </row>
    <row r="1007" spans="24:24" x14ac:dyDescent="0.25">
      <c r="X1007" s="142"/>
    </row>
    <row r="1008" spans="24:24" x14ac:dyDescent="0.25">
      <c r="X1008" s="142"/>
    </row>
    <row r="1009" spans="24:24" x14ac:dyDescent="0.25">
      <c r="X1009" s="142"/>
    </row>
    <row r="1010" spans="24:24" x14ac:dyDescent="0.25">
      <c r="X1010" s="142"/>
    </row>
    <row r="1011" spans="24:24" x14ac:dyDescent="0.25">
      <c r="X1011" s="142"/>
    </row>
    <row r="1012" spans="24:24" x14ac:dyDescent="0.25">
      <c r="X1012" s="142"/>
    </row>
    <row r="1013" spans="24:24" x14ac:dyDescent="0.25">
      <c r="X1013" s="142"/>
    </row>
    <row r="1014" spans="24:24" x14ac:dyDescent="0.25">
      <c r="X1014" s="142"/>
    </row>
    <row r="1015" spans="24:24" x14ac:dyDescent="0.25">
      <c r="X1015" s="142"/>
    </row>
    <row r="1016" spans="24:24" x14ac:dyDescent="0.25">
      <c r="X1016" s="142"/>
    </row>
    <row r="1017" spans="24:24" x14ac:dyDescent="0.25">
      <c r="X1017" s="142"/>
    </row>
    <row r="1018" spans="24:24" x14ac:dyDescent="0.25">
      <c r="X1018" s="142"/>
    </row>
    <row r="1019" spans="24:24" x14ac:dyDescent="0.25">
      <c r="X1019" s="142"/>
    </row>
    <row r="1020" spans="24:24" x14ac:dyDescent="0.25">
      <c r="X1020" s="142"/>
    </row>
    <row r="1021" spans="24:24" x14ac:dyDescent="0.25">
      <c r="X1021" s="142"/>
    </row>
    <row r="1022" spans="24:24" x14ac:dyDescent="0.25">
      <c r="X1022" s="142"/>
    </row>
    <row r="1023" spans="24:24" x14ac:dyDescent="0.25">
      <c r="X1023" s="142"/>
    </row>
    <row r="1024" spans="24:24" x14ac:dyDescent="0.25">
      <c r="X1024" s="142"/>
    </row>
    <row r="1025" spans="24:24" x14ac:dyDescent="0.25">
      <c r="X1025" s="142"/>
    </row>
    <row r="1026" spans="24:24" x14ac:dyDescent="0.25">
      <c r="X1026" s="142"/>
    </row>
    <row r="1027" spans="24:24" x14ac:dyDescent="0.25">
      <c r="X1027" s="142"/>
    </row>
    <row r="1028" spans="24:24" x14ac:dyDescent="0.25">
      <c r="X1028" s="142"/>
    </row>
    <row r="1029" spans="24:24" x14ac:dyDescent="0.25">
      <c r="X1029" s="142"/>
    </row>
    <row r="1030" spans="24:24" x14ac:dyDescent="0.25">
      <c r="X1030" s="142"/>
    </row>
    <row r="1031" spans="24:24" x14ac:dyDescent="0.25">
      <c r="X1031" s="142"/>
    </row>
    <row r="1032" spans="24:24" x14ac:dyDescent="0.25">
      <c r="X1032" s="142"/>
    </row>
    <row r="1033" spans="24:24" x14ac:dyDescent="0.25">
      <c r="X1033" s="142"/>
    </row>
    <row r="1034" spans="24:24" x14ac:dyDescent="0.25">
      <c r="X1034" s="142"/>
    </row>
    <row r="1035" spans="24:24" x14ac:dyDescent="0.25">
      <c r="X1035" s="142"/>
    </row>
    <row r="1036" spans="24:24" x14ac:dyDescent="0.25">
      <c r="X1036" s="142"/>
    </row>
    <row r="1037" spans="24:24" x14ac:dyDescent="0.25">
      <c r="X1037" s="142"/>
    </row>
    <row r="1038" spans="24:24" x14ac:dyDescent="0.25">
      <c r="X1038" s="142"/>
    </row>
    <row r="1039" spans="24:24" x14ac:dyDescent="0.25">
      <c r="X1039" s="142"/>
    </row>
    <row r="1040" spans="24:24" x14ac:dyDescent="0.25">
      <c r="X1040" s="142"/>
    </row>
    <row r="1041" spans="24:24" x14ac:dyDescent="0.25">
      <c r="X1041" s="142"/>
    </row>
    <row r="1042" spans="24:24" x14ac:dyDescent="0.25">
      <c r="X1042" s="142"/>
    </row>
    <row r="1043" spans="24:24" x14ac:dyDescent="0.25">
      <c r="X1043" s="142"/>
    </row>
    <row r="1044" spans="24:24" x14ac:dyDescent="0.25">
      <c r="X1044" s="142"/>
    </row>
    <row r="1045" spans="24:24" x14ac:dyDescent="0.25">
      <c r="X1045" s="142"/>
    </row>
    <row r="1046" spans="24:24" x14ac:dyDescent="0.25">
      <c r="X1046" s="142"/>
    </row>
    <row r="1047" spans="24:24" x14ac:dyDescent="0.25">
      <c r="X1047" s="142"/>
    </row>
    <row r="1048" spans="24:24" x14ac:dyDescent="0.25">
      <c r="X1048" s="142"/>
    </row>
    <row r="1049" spans="24:24" x14ac:dyDescent="0.25">
      <c r="X1049" s="142"/>
    </row>
    <row r="1050" spans="24:24" x14ac:dyDescent="0.25">
      <c r="X1050" s="142"/>
    </row>
    <row r="1051" spans="24:24" x14ac:dyDescent="0.25">
      <c r="X1051" s="142"/>
    </row>
    <row r="1052" spans="24:24" x14ac:dyDescent="0.25">
      <c r="X1052" s="142"/>
    </row>
    <row r="1053" spans="24:24" x14ac:dyDescent="0.25">
      <c r="X1053" s="142"/>
    </row>
    <row r="1054" spans="24:24" x14ac:dyDescent="0.25">
      <c r="X1054" s="142"/>
    </row>
    <row r="1055" spans="24:24" x14ac:dyDescent="0.25">
      <c r="X1055" s="142"/>
    </row>
    <row r="1056" spans="24:24" x14ac:dyDescent="0.25">
      <c r="X1056" s="142"/>
    </row>
    <row r="1057" spans="24:24" x14ac:dyDescent="0.25">
      <c r="X1057" s="142"/>
    </row>
    <row r="1058" spans="24:24" x14ac:dyDescent="0.25">
      <c r="X1058" s="142"/>
    </row>
    <row r="1059" spans="24:24" x14ac:dyDescent="0.25">
      <c r="X1059" s="142"/>
    </row>
    <row r="1060" spans="24:24" x14ac:dyDescent="0.25">
      <c r="X1060" s="142"/>
    </row>
    <row r="1061" spans="24:24" x14ac:dyDescent="0.25">
      <c r="X1061" s="142"/>
    </row>
    <row r="1062" spans="24:24" x14ac:dyDescent="0.25">
      <c r="X1062" s="142"/>
    </row>
    <row r="1063" spans="24:24" x14ac:dyDescent="0.25">
      <c r="X1063" s="142"/>
    </row>
    <row r="1064" spans="24:24" x14ac:dyDescent="0.25">
      <c r="X1064" s="142"/>
    </row>
    <row r="1065" spans="24:24" x14ac:dyDescent="0.25">
      <c r="X1065" s="142"/>
    </row>
    <row r="1066" spans="24:24" x14ac:dyDescent="0.25">
      <c r="X1066" s="142"/>
    </row>
    <row r="1067" spans="24:24" x14ac:dyDescent="0.25">
      <c r="X1067" s="142"/>
    </row>
    <row r="1068" spans="24:24" x14ac:dyDescent="0.25">
      <c r="X1068" s="142"/>
    </row>
    <row r="1069" spans="24:24" x14ac:dyDescent="0.25">
      <c r="X1069" s="142"/>
    </row>
    <row r="1070" spans="24:24" x14ac:dyDescent="0.25">
      <c r="X1070" s="142"/>
    </row>
    <row r="1071" spans="24:24" x14ac:dyDescent="0.25">
      <c r="X1071" s="142"/>
    </row>
    <row r="1072" spans="24:24" x14ac:dyDescent="0.25">
      <c r="X1072" s="142"/>
    </row>
    <row r="1073" spans="24:24" x14ac:dyDescent="0.25">
      <c r="X1073" s="142"/>
    </row>
    <row r="1074" spans="24:24" x14ac:dyDescent="0.25">
      <c r="X1074" s="142"/>
    </row>
    <row r="1075" spans="24:24" x14ac:dyDescent="0.25">
      <c r="X1075" s="142"/>
    </row>
    <row r="1076" spans="24:24" x14ac:dyDescent="0.25">
      <c r="X1076" s="142"/>
    </row>
    <row r="1077" spans="24:24" x14ac:dyDescent="0.25">
      <c r="X1077" s="142"/>
    </row>
    <row r="1078" spans="24:24" x14ac:dyDescent="0.25">
      <c r="X1078" s="142"/>
    </row>
    <row r="1079" spans="24:24" x14ac:dyDescent="0.25">
      <c r="X1079" s="142"/>
    </row>
    <row r="1080" spans="24:24" x14ac:dyDescent="0.25">
      <c r="X1080" s="142"/>
    </row>
    <row r="1081" spans="24:24" x14ac:dyDescent="0.25">
      <c r="X1081" s="142"/>
    </row>
    <row r="1082" spans="24:24" x14ac:dyDescent="0.25">
      <c r="X1082" s="142"/>
    </row>
    <row r="1083" spans="24:24" x14ac:dyDescent="0.25">
      <c r="X1083" s="142"/>
    </row>
    <row r="1084" spans="24:24" x14ac:dyDescent="0.25">
      <c r="X1084" s="142"/>
    </row>
    <row r="1085" spans="24:24" x14ac:dyDescent="0.25">
      <c r="X1085" s="142"/>
    </row>
    <row r="1086" spans="24:24" x14ac:dyDescent="0.25">
      <c r="X1086" s="142"/>
    </row>
    <row r="1087" spans="24:24" x14ac:dyDescent="0.25">
      <c r="X1087" s="142"/>
    </row>
    <row r="1088" spans="24:24" x14ac:dyDescent="0.25">
      <c r="X1088" s="142"/>
    </row>
    <row r="1089" spans="24:24" x14ac:dyDescent="0.25">
      <c r="X1089" s="142"/>
    </row>
    <row r="1090" spans="24:24" x14ac:dyDescent="0.25">
      <c r="X1090" s="142"/>
    </row>
    <row r="1091" spans="24:24" x14ac:dyDescent="0.25">
      <c r="X1091" s="142"/>
    </row>
    <row r="1092" spans="24:24" x14ac:dyDescent="0.25">
      <c r="X1092" s="142"/>
    </row>
    <row r="1093" spans="24:24" x14ac:dyDescent="0.25">
      <c r="X1093" s="142"/>
    </row>
    <row r="1094" spans="24:24" x14ac:dyDescent="0.25">
      <c r="X1094" s="142"/>
    </row>
    <row r="1095" spans="24:24" x14ac:dyDescent="0.25">
      <c r="X1095" s="142"/>
    </row>
    <row r="1096" spans="24:24" x14ac:dyDescent="0.25">
      <c r="X1096" s="142"/>
    </row>
    <row r="1097" spans="24:24" x14ac:dyDescent="0.25">
      <c r="X1097" s="142"/>
    </row>
    <row r="1098" spans="24:24" x14ac:dyDescent="0.25">
      <c r="X1098" s="142"/>
    </row>
    <row r="1099" spans="24:24" x14ac:dyDescent="0.25">
      <c r="X1099" s="142"/>
    </row>
    <row r="1100" spans="24:24" x14ac:dyDescent="0.25">
      <c r="X1100" s="142"/>
    </row>
    <row r="1101" spans="24:24" x14ac:dyDescent="0.25">
      <c r="X1101" s="142"/>
    </row>
    <row r="1102" spans="24:24" x14ac:dyDescent="0.25">
      <c r="X1102" s="142"/>
    </row>
    <row r="1103" spans="24:24" x14ac:dyDescent="0.25">
      <c r="X1103" s="142"/>
    </row>
    <row r="1104" spans="24:24" x14ac:dyDescent="0.25">
      <c r="X1104" s="142"/>
    </row>
    <row r="1105" spans="24:24" x14ac:dyDescent="0.25">
      <c r="X1105" s="142"/>
    </row>
    <row r="1106" spans="24:24" x14ac:dyDescent="0.25">
      <c r="X1106" s="142"/>
    </row>
    <row r="1107" spans="24:24" x14ac:dyDescent="0.25">
      <c r="X1107" s="142"/>
    </row>
    <row r="1108" spans="24:24" x14ac:dyDescent="0.25">
      <c r="X1108" s="142"/>
    </row>
    <row r="1109" spans="24:24" x14ac:dyDescent="0.25">
      <c r="X1109" s="142"/>
    </row>
    <row r="1110" spans="24:24" x14ac:dyDescent="0.25">
      <c r="X1110" s="142"/>
    </row>
    <row r="1111" spans="24:24" x14ac:dyDescent="0.25">
      <c r="X1111" s="142"/>
    </row>
    <row r="1112" spans="24:24" x14ac:dyDescent="0.25">
      <c r="X1112" s="142"/>
    </row>
    <row r="1113" spans="24:24" x14ac:dyDescent="0.25">
      <c r="X1113" s="142"/>
    </row>
    <row r="1114" spans="24:24" x14ac:dyDescent="0.25">
      <c r="X1114" s="142"/>
    </row>
    <row r="1115" spans="24:24" x14ac:dyDescent="0.25">
      <c r="X1115" s="142"/>
    </row>
    <row r="1116" spans="24:24" x14ac:dyDescent="0.25">
      <c r="X1116" s="142"/>
    </row>
    <row r="1117" spans="24:24" x14ac:dyDescent="0.25">
      <c r="X1117" s="142"/>
    </row>
    <row r="1118" spans="24:24" x14ac:dyDescent="0.25">
      <c r="X1118" s="142"/>
    </row>
    <row r="1119" spans="24:24" x14ac:dyDescent="0.25">
      <c r="X1119" s="142"/>
    </row>
    <row r="1120" spans="24:24" x14ac:dyDescent="0.25">
      <c r="X1120" s="142"/>
    </row>
    <row r="1121" spans="24:24" x14ac:dyDescent="0.25">
      <c r="X1121" s="142"/>
    </row>
    <row r="1122" spans="24:24" x14ac:dyDescent="0.25">
      <c r="X1122" s="142"/>
    </row>
    <row r="1123" spans="24:24" x14ac:dyDescent="0.25">
      <c r="X1123" s="142"/>
    </row>
    <row r="1124" spans="24:24" x14ac:dyDescent="0.25">
      <c r="X1124" s="142"/>
    </row>
    <row r="1125" spans="24:24" x14ac:dyDescent="0.25">
      <c r="X1125" s="142"/>
    </row>
    <row r="1126" spans="24:24" x14ac:dyDescent="0.25">
      <c r="X1126" s="142"/>
    </row>
    <row r="1127" spans="24:24" x14ac:dyDescent="0.25">
      <c r="X1127" s="142"/>
    </row>
    <row r="1128" spans="24:24" x14ac:dyDescent="0.25">
      <c r="X1128" s="142"/>
    </row>
    <row r="1129" spans="24:24" x14ac:dyDescent="0.25">
      <c r="X1129" s="142"/>
    </row>
    <row r="1130" spans="24:24" x14ac:dyDescent="0.25">
      <c r="X1130" s="142"/>
    </row>
    <row r="1131" spans="24:24" x14ac:dyDescent="0.25">
      <c r="X1131" s="142"/>
    </row>
    <row r="1132" spans="24:24" x14ac:dyDescent="0.25">
      <c r="X1132" s="142"/>
    </row>
    <row r="1133" spans="24:24" x14ac:dyDescent="0.25">
      <c r="X1133" s="142"/>
    </row>
    <row r="1134" spans="24:24" x14ac:dyDescent="0.25">
      <c r="X1134" s="142"/>
    </row>
    <row r="1135" spans="24:24" x14ac:dyDescent="0.25">
      <c r="X1135" s="142"/>
    </row>
    <row r="1136" spans="24:24" x14ac:dyDescent="0.25">
      <c r="X1136" s="142"/>
    </row>
    <row r="1137" spans="24:24" x14ac:dyDescent="0.25">
      <c r="X1137" s="142"/>
    </row>
    <row r="1138" spans="24:24" x14ac:dyDescent="0.25">
      <c r="X1138" s="142"/>
    </row>
    <row r="1139" spans="24:24" x14ac:dyDescent="0.25">
      <c r="X1139" s="142"/>
    </row>
    <row r="1140" spans="24:24" x14ac:dyDescent="0.25">
      <c r="X1140" s="142"/>
    </row>
    <row r="1141" spans="24:24" x14ac:dyDescent="0.25">
      <c r="X1141" s="142"/>
    </row>
    <row r="1142" spans="24:24" x14ac:dyDescent="0.25">
      <c r="X1142" s="142"/>
    </row>
    <row r="1143" spans="24:24" x14ac:dyDescent="0.25">
      <c r="X1143" s="142"/>
    </row>
    <row r="1144" spans="24:24" x14ac:dyDescent="0.25">
      <c r="X1144" s="142"/>
    </row>
    <row r="1145" spans="24:24" x14ac:dyDescent="0.25">
      <c r="X1145" s="142"/>
    </row>
    <row r="1146" spans="24:24" x14ac:dyDescent="0.25">
      <c r="X1146" s="142"/>
    </row>
    <row r="1147" spans="24:24" x14ac:dyDescent="0.25">
      <c r="X1147" s="142"/>
    </row>
    <row r="1148" spans="24:24" x14ac:dyDescent="0.25">
      <c r="X1148" s="142"/>
    </row>
    <row r="1149" spans="24:24" x14ac:dyDescent="0.25">
      <c r="X1149" s="142"/>
    </row>
    <row r="1150" spans="24:24" x14ac:dyDescent="0.25">
      <c r="X1150" s="142"/>
    </row>
    <row r="1151" spans="24:24" x14ac:dyDescent="0.25">
      <c r="X1151" s="142"/>
    </row>
    <row r="1152" spans="24:24" x14ac:dyDescent="0.25">
      <c r="X1152" s="142"/>
    </row>
    <row r="1153" spans="24:24" x14ac:dyDescent="0.25">
      <c r="X1153" s="142"/>
    </row>
    <row r="1154" spans="24:24" x14ac:dyDescent="0.25">
      <c r="X1154" s="142"/>
    </row>
    <row r="1155" spans="24:24" x14ac:dyDescent="0.25">
      <c r="X1155" s="142"/>
    </row>
    <row r="1156" spans="24:24" x14ac:dyDescent="0.25">
      <c r="X1156" s="142"/>
    </row>
    <row r="1157" spans="24:24" x14ac:dyDescent="0.25">
      <c r="X1157" s="142"/>
    </row>
    <row r="1158" spans="24:24" x14ac:dyDescent="0.25">
      <c r="X1158" s="142"/>
    </row>
    <row r="1159" spans="24:24" x14ac:dyDescent="0.25">
      <c r="X1159" s="142"/>
    </row>
    <row r="1160" spans="24:24" x14ac:dyDescent="0.25">
      <c r="X1160" s="142"/>
    </row>
    <row r="1161" spans="24:24" x14ac:dyDescent="0.25">
      <c r="X1161" s="142"/>
    </row>
    <row r="1162" spans="24:24" x14ac:dyDescent="0.25">
      <c r="X1162" s="142"/>
    </row>
    <row r="1163" spans="24:24" x14ac:dyDescent="0.25">
      <c r="X1163" s="142"/>
    </row>
    <row r="1164" spans="24:24" x14ac:dyDescent="0.25">
      <c r="X1164" s="142"/>
    </row>
    <row r="1165" spans="24:24" x14ac:dyDescent="0.25">
      <c r="X1165" s="142"/>
    </row>
    <row r="1166" spans="24:24" x14ac:dyDescent="0.25">
      <c r="X1166" s="142"/>
    </row>
    <row r="1167" spans="24:24" x14ac:dyDescent="0.25">
      <c r="X1167" s="142"/>
    </row>
    <row r="1168" spans="24:24" x14ac:dyDescent="0.25">
      <c r="X1168" s="142"/>
    </row>
    <row r="1169" spans="24:24" x14ac:dyDescent="0.25">
      <c r="X1169" s="142"/>
    </row>
    <row r="1170" spans="24:24" x14ac:dyDescent="0.25">
      <c r="X1170" s="142"/>
    </row>
    <row r="1171" spans="24:24" x14ac:dyDescent="0.25">
      <c r="X1171" s="142"/>
    </row>
    <row r="1172" spans="24:24" x14ac:dyDescent="0.25">
      <c r="X1172" s="142"/>
    </row>
    <row r="1173" spans="24:24" x14ac:dyDescent="0.25">
      <c r="X1173" s="142"/>
    </row>
    <row r="1174" spans="24:24" x14ac:dyDescent="0.25">
      <c r="X1174" s="142"/>
    </row>
    <row r="1175" spans="24:24" x14ac:dyDescent="0.25">
      <c r="X1175" s="142"/>
    </row>
    <row r="1176" spans="24:24" x14ac:dyDescent="0.25">
      <c r="X1176" s="142"/>
    </row>
    <row r="1177" spans="24:24" x14ac:dyDescent="0.25">
      <c r="X1177" s="142"/>
    </row>
    <row r="1178" spans="24:24" x14ac:dyDescent="0.25">
      <c r="X1178" s="142"/>
    </row>
    <row r="1179" spans="24:24" x14ac:dyDescent="0.25">
      <c r="X1179" s="142"/>
    </row>
    <row r="1180" spans="24:24" x14ac:dyDescent="0.25">
      <c r="X1180" s="142"/>
    </row>
    <row r="1181" spans="24:24" x14ac:dyDescent="0.25">
      <c r="X1181" s="142"/>
    </row>
    <row r="1182" spans="24:24" x14ac:dyDescent="0.25">
      <c r="X1182" s="142"/>
    </row>
    <row r="1183" spans="24:24" x14ac:dyDescent="0.25">
      <c r="X1183" s="142"/>
    </row>
    <row r="1184" spans="24:24" x14ac:dyDescent="0.25">
      <c r="X1184" s="142"/>
    </row>
    <row r="1185" spans="24:24" x14ac:dyDescent="0.25">
      <c r="X1185" s="142"/>
    </row>
    <row r="1186" spans="24:24" x14ac:dyDescent="0.25">
      <c r="X1186" s="142"/>
    </row>
    <row r="1187" spans="24:24" x14ac:dyDescent="0.25">
      <c r="X1187" s="142"/>
    </row>
    <row r="1188" spans="24:24" x14ac:dyDescent="0.25">
      <c r="X1188" s="142"/>
    </row>
    <row r="1189" spans="24:24" x14ac:dyDescent="0.25">
      <c r="X1189" s="142"/>
    </row>
    <row r="1190" spans="24:24" x14ac:dyDescent="0.25">
      <c r="X1190" s="142"/>
    </row>
    <row r="1191" spans="24:24" x14ac:dyDescent="0.25">
      <c r="X1191" s="142"/>
    </row>
    <row r="1192" spans="24:24" x14ac:dyDescent="0.25">
      <c r="X1192" s="142"/>
    </row>
    <row r="1193" spans="24:24" x14ac:dyDescent="0.25">
      <c r="X1193" s="142"/>
    </row>
    <row r="1194" spans="24:24" x14ac:dyDescent="0.25">
      <c r="X1194" s="142"/>
    </row>
    <row r="1195" spans="24:24" x14ac:dyDescent="0.25">
      <c r="X1195" s="142"/>
    </row>
    <row r="1196" spans="24:24" x14ac:dyDescent="0.25">
      <c r="X1196" s="142"/>
    </row>
    <row r="1197" spans="24:24" x14ac:dyDescent="0.25">
      <c r="X1197" s="142"/>
    </row>
    <row r="1198" spans="24:24" x14ac:dyDescent="0.25">
      <c r="X1198" s="142"/>
    </row>
    <row r="1199" spans="24:24" x14ac:dyDescent="0.25">
      <c r="X1199" s="142"/>
    </row>
    <row r="1200" spans="24:24" x14ac:dyDescent="0.25">
      <c r="X1200" s="142"/>
    </row>
    <row r="1201" spans="24:24" x14ac:dyDescent="0.25">
      <c r="X1201" s="142"/>
    </row>
    <row r="1202" spans="24:24" x14ac:dyDescent="0.25">
      <c r="X1202" s="142"/>
    </row>
    <row r="1203" spans="24:24" x14ac:dyDescent="0.25">
      <c r="X1203" s="142"/>
    </row>
    <row r="1204" spans="24:24" x14ac:dyDescent="0.25">
      <c r="X1204" s="142"/>
    </row>
    <row r="1205" spans="24:24" x14ac:dyDescent="0.25">
      <c r="X1205" s="142"/>
    </row>
    <row r="1206" spans="24:24" x14ac:dyDescent="0.25">
      <c r="X1206" s="142"/>
    </row>
    <row r="1207" spans="24:24" x14ac:dyDescent="0.25">
      <c r="X1207" s="142"/>
    </row>
    <row r="1208" spans="24:24" x14ac:dyDescent="0.25">
      <c r="X1208" s="142"/>
    </row>
    <row r="1209" spans="24:24" x14ac:dyDescent="0.25">
      <c r="X1209" s="142"/>
    </row>
    <row r="1210" spans="24:24" x14ac:dyDescent="0.25">
      <c r="X1210" s="142"/>
    </row>
    <row r="1211" spans="24:24" x14ac:dyDescent="0.25">
      <c r="X1211" s="142"/>
    </row>
    <row r="1212" spans="24:24" x14ac:dyDescent="0.25">
      <c r="X1212" s="142"/>
    </row>
    <row r="1213" spans="24:24" x14ac:dyDescent="0.25">
      <c r="X1213" s="142"/>
    </row>
    <row r="1214" spans="24:24" x14ac:dyDescent="0.25">
      <c r="X1214" s="142"/>
    </row>
    <row r="1215" spans="24:24" x14ac:dyDescent="0.25">
      <c r="X1215" s="142"/>
    </row>
    <row r="1216" spans="24:24" x14ac:dyDescent="0.25">
      <c r="X1216" s="142"/>
    </row>
    <row r="1217" spans="24:24" x14ac:dyDescent="0.25">
      <c r="X1217" s="142"/>
    </row>
    <row r="1218" spans="24:24" x14ac:dyDescent="0.25">
      <c r="X1218" s="142"/>
    </row>
    <row r="1219" spans="24:24" x14ac:dyDescent="0.25">
      <c r="X1219" s="142"/>
    </row>
    <row r="1220" spans="24:24" x14ac:dyDescent="0.25">
      <c r="X1220" s="142"/>
    </row>
    <row r="1221" spans="24:24" x14ac:dyDescent="0.25">
      <c r="X1221" s="142"/>
    </row>
    <row r="1222" spans="24:24" x14ac:dyDescent="0.25">
      <c r="X1222" s="142"/>
    </row>
    <row r="1223" spans="24:24" x14ac:dyDescent="0.25">
      <c r="X1223" s="142"/>
    </row>
    <row r="1224" spans="24:24" x14ac:dyDescent="0.25">
      <c r="X1224" s="142"/>
    </row>
    <row r="1225" spans="24:24" x14ac:dyDescent="0.25">
      <c r="X1225" s="142"/>
    </row>
    <row r="1226" spans="24:24" x14ac:dyDescent="0.25">
      <c r="X1226" s="142"/>
    </row>
    <row r="1227" spans="24:24" x14ac:dyDescent="0.25">
      <c r="X1227" s="142"/>
    </row>
    <row r="1228" spans="24:24" x14ac:dyDescent="0.25">
      <c r="X1228" s="142"/>
    </row>
    <row r="1229" spans="24:24" x14ac:dyDescent="0.25">
      <c r="X1229" s="142"/>
    </row>
    <row r="1230" spans="24:24" x14ac:dyDescent="0.25">
      <c r="X1230" s="142"/>
    </row>
    <row r="1231" spans="24:24" x14ac:dyDescent="0.25">
      <c r="X1231" s="142"/>
    </row>
    <row r="1232" spans="24:24" x14ac:dyDescent="0.25">
      <c r="X1232" s="142"/>
    </row>
    <row r="1233" spans="24:24" x14ac:dyDescent="0.25">
      <c r="X1233" s="142"/>
    </row>
    <row r="1234" spans="24:24" x14ac:dyDescent="0.25">
      <c r="X1234" s="142"/>
    </row>
    <row r="1235" spans="24:24" x14ac:dyDescent="0.25">
      <c r="X1235" s="142"/>
    </row>
    <row r="1236" spans="24:24" x14ac:dyDescent="0.25">
      <c r="X1236" s="142"/>
    </row>
    <row r="1237" spans="24:24" x14ac:dyDescent="0.25">
      <c r="X1237" s="142"/>
    </row>
    <row r="1238" spans="24:24" x14ac:dyDescent="0.25">
      <c r="X1238" s="142"/>
    </row>
    <row r="1239" spans="24:24" x14ac:dyDescent="0.25">
      <c r="X1239" s="142"/>
    </row>
    <row r="1240" spans="24:24" x14ac:dyDescent="0.25">
      <c r="X1240" s="142"/>
    </row>
    <row r="1241" spans="24:24" x14ac:dyDescent="0.25">
      <c r="X1241" s="142"/>
    </row>
    <row r="1242" spans="24:24" x14ac:dyDescent="0.25">
      <c r="X1242" s="142"/>
    </row>
    <row r="1243" spans="24:24" x14ac:dyDescent="0.25">
      <c r="X1243" s="142"/>
    </row>
    <row r="1244" spans="24:24" x14ac:dyDescent="0.25">
      <c r="X1244" s="142"/>
    </row>
    <row r="1245" spans="24:24" x14ac:dyDescent="0.25">
      <c r="X1245" s="142"/>
    </row>
    <row r="1246" spans="24:24" x14ac:dyDescent="0.25">
      <c r="X1246" s="142"/>
    </row>
    <row r="1247" spans="24:24" x14ac:dyDescent="0.25">
      <c r="X1247" s="142"/>
    </row>
    <row r="1248" spans="24:24" x14ac:dyDescent="0.25">
      <c r="X1248" s="142"/>
    </row>
    <row r="1249" spans="24:24" x14ac:dyDescent="0.25">
      <c r="X1249" s="142"/>
    </row>
    <row r="1250" spans="24:24" x14ac:dyDescent="0.25">
      <c r="X1250" s="142"/>
    </row>
    <row r="1251" spans="24:24" x14ac:dyDescent="0.25">
      <c r="X1251" s="142"/>
    </row>
    <row r="1252" spans="24:24" x14ac:dyDescent="0.25">
      <c r="X1252" s="142"/>
    </row>
    <row r="1253" spans="24:24" x14ac:dyDescent="0.25">
      <c r="X1253" s="142"/>
    </row>
    <row r="1254" spans="24:24" x14ac:dyDescent="0.25">
      <c r="X1254" s="142"/>
    </row>
    <row r="1255" spans="24:24" x14ac:dyDescent="0.25">
      <c r="X1255" s="142"/>
    </row>
    <row r="1256" spans="24:24" x14ac:dyDescent="0.25">
      <c r="X1256" s="142"/>
    </row>
    <row r="1257" spans="24:24" x14ac:dyDescent="0.25">
      <c r="X1257" s="142"/>
    </row>
    <row r="1258" spans="24:24" x14ac:dyDescent="0.25">
      <c r="X1258" s="142"/>
    </row>
    <row r="1259" spans="24:24" x14ac:dyDescent="0.25">
      <c r="X1259" s="142"/>
    </row>
    <row r="1260" spans="24:24" x14ac:dyDescent="0.25">
      <c r="X1260" s="142"/>
    </row>
    <row r="1261" spans="24:24" x14ac:dyDescent="0.25">
      <c r="X1261" s="142"/>
    </row>
    <row r="1262" spans="24:24" x14ac:dyDescent="0.25">
      <c r="X1262" s="142"/>
    </row>
    <row r="1263" spans="24:24" x14ac:dyDescent="0.25">
      <c r="X1263" s="142"/>
    </row>
    <row r="1264" spans="24:24" x14ac:dyDescent="0.25">
      <c r="X1264" s="142"/>
    </row>
    <row r="1265" spans="24:24" x14ac:dyDescent="0.25">
      <c r="X1265" s="142"/>
    </row>
    <row r="1266" spans="24:24" x14ac:dyDescent="0.25">
      <c r="X1266" s="142"/>
    </row>
    <row r="1267" spans="24:24" x14ac:dyDescent="0.25">
      <c r="X1267" s="142"/>
    </row>
    <row r="1268" spans="24:24" x14ac:dyDescent="0.25">
      <c r="X1268" s="142"/>
    </row>
    <row r="1269" spans="24:24" x14ac:dyDescent="0.25">
      <c r="X1269" s="142"/>
    </row>
    <row r="1270" spans="24:24" x14ac:dyDescent="0.25">
      <c r="X1270" s="142"/>
    </row>
    <row r="1271" spans="24:24" x14ac:dyDescent="0.25">
      <c r="X1271" s="142"/>
    </row>
    <row r="1272" spans="24:24" x14ac:dyDescent="0.25">
      <c r="X1272" s="142"/>
    </row>
    <row r="1273" spans="24:24" x14ac:dyDescent="0.25">
      <c r="X1273" s="142"/>
    </row>
    <row r="1274" spans="24:24" x14ac:dyDescent="0.25">
      <c r="X1274" s="142"/>
    </row>
    <row r="1275" spans="24:24" x14ac:dyDescent="0.25">
      <c r="X1275" s="142"/>
    </row>
    <row r="1276" spans="24:24" x14ac:dyDescent="0.25">
      <c r="X1276" s="142"/>
    </row>
    <row r="1277" spans="24:24" x14ac:dyDescent="0.25">
      <c r="X1277" s="142"/>
    </row>
    <row r="1278" spans="24:24" x14ac:dyDescent="0.25">
      <c r="X1278" s="142"/>
    </row>
    <row r="1279" spans="24:24" x14ac:dyDescent="0.25">
      <c r="X1279" s="142"/>
    </row>
    <row r="1280" spans="24:24" x14ac:dyDescent="0.25">
      <c r="X1280" s="142"/>
    </row>
    <row r="1281" spans="24:24" x14ac:dyDescent="0.25">
      <c r="X1281" s="142"/>
    </row>
    <row r="1282" spans="24:24" x14ac:dyDescent="0.25">
      <c r="X1282" s="142"/>
    </row>
    <row r="1283" spans="24:24" x14ac:dyDescent="0.25">
      <c r="X1283" s="142"/>
    </row>
    <row r="1284" spans="24:24" x14ac:dyDescent="0.25">
      <c r="X1284" s="142"/>
    </row>
    <row r="1285" spans="24:24" x14ac:dyDescent="0.25">
      <c r="X1285" s="142"/>
    </row>
    <row r="1286" spans="24:24" x14ac:dyDescent="0.25">
      <c r="X1286" s="142"/>
    </row>
    <row r="1287" spans="24:24" x14ac:dyDescent="0.25">
      <c r="X1287" s="142"/>
    </row>
    <row r="1288" spans="24:24" x14ac:dyDescent="0.25">
      <c r="X1288" s="142"/>
    </row>
    <row r="1289" spans="24:24" x14ac:dyDescent="0.25">
      <c r="X1289" s="142"/>
    </row>
    <row r="1290" spans="24:24" x14ac:dyDescent="0.25">
      <c r="X1290" s="142"/>
    </row>
    <row r="1291" spans="24:24" x14ac:dyDescent="0.25">
      <c r="X1291" s="142"/>
    </row>
    <row r="1292" spans="24:24" x14ac:dyDescent="0.25">
      <c r="X1292" s="142"/>
    </row>
    <row r="1293" spans="24:24" x14ac:dyDescent="0.25">
      <c r="X1293" s="142"/>
    </row>
    <row r="1294" spans="24:24" x14ac:dyDescent="0.25">
      <c r="X1294" s="142"/>
    </row>
    <row r="1295" spans="24:24" x14ac:dyDescent="0.25">
      <c r="X1295" s="142"/>
    </row>
    <row r="1296" spans="24:24" x14ac:dyDescent="0.25">
      <c r="X1296" s="142"/>
    </row>
    <row r="1297" spans="24:24" x14ac:dyDescent="0.25">
      <c r="X1297" s="142"/>
    </row>
    <row r="1298" spans="24:24" x14ac:dyDescent="0.25">
      <c r="X1298" s="142"/>
    </row>
    <row r="1299" spans="24:24" x14ac:dyDescent="0.25">
      <c r="X1299" s="142"/>
    </row>
    <row r="1300" spans="24:24" x14ac:dyDescent="0.25">
      <c r="X1300" s="142"/>
    </row>
    <row r="1301" spans="24:24" x14ac:dyDescent="0.25">
      <c r="X1301" s="142"/>
    </row>
    <row r="1302" spans="24:24" x14ac:dyDescent="0.25">
      <c r="X1302" s="142"/>
    </row>
    <row r="1303" spans="24:24" x14ac:dyDescent="0.25">
      <c r="X1303" s="142"/>
    </row>
    <row r="1304" spans="24:24" x14ac:dyDescent="0.25">
      <c r="X1304" s="142"/>
    </row>
    <row r="1305" spans="24:24" x14ac:dyDescent="0.25">
      <c r="X1305" s="142"/>
    </row>
    <row r="1306" spans="24:24" x14ac:dyDescent="0.25">
      <c r="X1306" s="142"/>
    </row>
    <row r="1307" spans="24:24" x14ac:dyDescent="0.25">
      <c r="X1307" s="142"/>
    </row>
    <row r="1308" spans="24:24" x14ac:dyDescent="0.25">
      <c r="X1308" s="142"/>
    </row>
    <row r="1309" spans="24:24" x14ac:dyDescent="0.25">
      <c r="X1309" s="142"/>
    </row>
    <row r="1310" spans="24:24" x14ac:dyDescent="0.25">
      <c r="X1310" s="142"/>
    </row>
    <row r="1311" spans="24:24" x14ac:dyDescent="0.25">
      <c r="X1311" s="142"/>
    </row>
    <row r="1312" spans="24:24" x14ac:dyDescent="0.25">
      <c r="X1312" s="142"/>
    </row>
    <row r="1313" spans="24:24" x14ac:dyDescent="0.25">
      <c r="X1313" s="142"/>
    </row>
    <row r="1314" spans="24:24" x14ac:dyDescent="0.25">
      <c r="X1314" s="142"/>
    </row>
    <row r="1315" spans="24:24" x14ac:dyDescent="0.25">
      <c r="X1315" s="142"/>
    </row>
    <row r="1316" spans="24:24" x14ac:dyDescent="0.25">
      <c r="X1316" s="142"/>
    </row>
    <row r="1317" spans="24:24" x14ac:dyDescent="0.25">
      <c r="X1317" s="142"/>
    </row>
    <row r="1318" spans="24:24" x14ac:dyDescent="0.25">
      <c r="X1318" s="142"/>
    </row>
    <row r="1319" spans="24:24" x14ac:dyDescent="0.25">
      <c r="X1319" s="142"/>
    </row>
    <row r="1320" spans="24:24" x14ac:dyDescent="0.25">
      <c r="X1320" s="142"/>
    </row>
    <row r="1321" spans="24:24" x14ac:dyDescent="0.25">
      <c r="X1321" s="142"/>
    </row>
    <row r="1322" spans="24:24" x14ac:dyDescent="0.25">
      <c r="X1322" s="142"/>
    </row>
    <row r="1323" spans="24:24" x14ac:dyDescent="0.25">
      <c r="X1323" s="142"/>
    </row>
    <row r="1324" spans="24:24" x14ac:dyDescent="0.25">
      <c r="X1324" s="142"/>
    </row>
    <row r="1325" spans="24:24" x14ac:dyDescent="0.25">
      <c r="X1325" s="142"/>
    </row>
    <row r="1326" spans="24:24" x14ac:dyDescent="0.25">
      <c r="X1326" s="142"/>
    </row>
    <row r="1327" spans="24:24" x14ac:dyDescent="0.25">
      <c r="X1327" s="142"/>
    </row>
    <row r="1328" spans="24:24" x14ac:dyDescent="0.25">
      <c r="X1328" s="142"/>
    </row>
    <row r="1329" spans="24:24" x14ac:dyDescent="0.25">
      <c r="X1329" s="142"/>
    </row>
    <row r="1330" spans="24:24" x14ac:dyDescent="0.25">
      <c r="X1330" s="142"/>
    </row>
    <row r="1331" spans="24:24" x14ac:dyDescent="0.25">
      <c r="X1331" s="142"/>
    </row>
    <row r="1332" spans="24:24" x14ac:dyDescent="0.25">
      <c r="X1332" s="142"/>
    </row>
    <row r="1333" spans="24:24" x14ac:dyDescent="0.25">
      <c r="X1333" s="142"/>
    </row>
    <row r="1334" spans="24:24" x14ac:dyDescent="0.25">
      <c r="X1334" s="142"/>
    </row>
    <row r="1335" spans="24:24" x14ac:dyDescent="0.25">
      <c r="X1335" s="142"/>
    </row>
    <row r="1336" spans="24:24" x14ac:dyDescent="0.25">
      <c r="X1336" s="142"/>
    </row>
    <row r="1337" spans="24:24" x14ac:dyDescent="0.25">
      <c r="X1337" s="142"/>
    </row>
    <row r="1338" spans="24:24" x14ac:dyDescent="0.25">
      <c r="X1338" s="142"/>
    </row>
    <row r="1339" spans="24:24" x14ac:dyDescent="0.25">
      <c r="X1339" s="142"/>
    </row>
    <row r="1340" spans="24:24" x14ac:dyDescent="0.25">
      <c r="X1340" s="142"/>
    </row>
    <row r="1341" spans="24:24" x14ac:dyDescent="0.25">
      <c r="X1341" s="142"/>
    </row>
    <row r="1342" spans="24:24" x14ac:dyDescent="0.25">
      <c r="X1342" s="142"/>
    </row>
    <row r="1343" spans="24:24" x14ac:dyDescent="0.25">
      <c r="X1343" s="142"/>
    </row>
    <row r="1344" spans="24:24" x14ac:dyDescent="0.25">
      <c r="X1344" s="142"/>
    </row>
    <row r="1345" spans="24:24" x14ac:dyDescent="0.25">
      <c r="X1345" s="142"/>
    </row>
    <row r="1346" spans="24:24" x14ac:dyDescent="0.25">
      <c r="X1346" s="142"/>
    </row>
    <row r="1347" spans="24:24" x14ac:dyDescent="0.25">
      <c r="X1347" s="142"/>
    </row>
    <row r="1348" spans="24:24" x14ac:dyDescent="0.25">
      <c r="X1348" s="142"/>
    </row>
    <row r="1349" spans="24:24" x14ac:dyDescent="0.25">
      <c r="X1349" s="142"/>
    </row>
    <row r="1350" spans="24:24" x14ac:dyDescent="0.25">
      <c r="X1350" s="142"/>
    </row>
    <row r="1351" spans="24:24" x14ac:dyDescent="0.25">
      <c r="X1351" s="142"/>
    </row>
    <row r="1352" spans="24:24" x14ac:dyDescent="0.25">
      <c r="X1352" s="142"/>
    </row>
    <row r="1353" spans="24:24" x14ac:dyDescent="0.25">
      <c r="X1353" s="142"/>
    </row>
    <row r="1354" spans="24:24" x14ac:dyDescent="0.25">
      <c r="X1354" s="142"/>
    </row>
    <row r="1355" spans="24:24" x14ac:dyDescent="0.25">
      <c r="X1355" s="142"/>
    </row>
    <row r="1356" spans="24:24" x14ac:dyDescent="0.25">
      <c r="X1356" s="142"/>
    </row>
    <row r="1357" spans="24:24" x14ac:dyDescent="0.25">
      <c r="X1357" s="142"/>
    </row>
    <row r="1358" spans="24:24" x14ac:dyDescent="0.25">
      <c r="X1358" s="142"/>
    </row>
    <row r="1359" spans="24:24" x14ac:dyDescent="0.25">
      <c r="X1359" s="142"/>
    </row>
    <row r="1360" spans="24:24" x14ac:dyDescent="0.25">
      <c r="X1360" s="142"/>
    </row>
    <row r="1361" spans="24:24" x14ac:dyDescent="0.25">
      <c r="X1361" s="142"/>
    </row>
    <row r="1362" spans="24:24" x14ac:dyDescent="0.25">
      <c r="X1362" s="142"/>
    </row>
    <row r="1363" spans="24:24" x14ac:dyDescent="0.25">
      <c r="X1363" s="142"/>
    </row>
    <row r="1364" spans="24:24" x14ac:dyDescent="0.25">
      <c r="X1364" s="142"/>
    </row>
    <row r="1365" spans="24:24" x14ac:dyDescent="0.25">
      <c r="X1365" s="142"/>
    </row>
    <row r="1366" spans="24:24" x14ac:dyDescent="0.25">
      <c r="X1366" s="142"/>
    </row>
    <row r="1367" spans="24:24" x14ac:dyDescent="0.25">
      <c r="X1367" s="142"/>
    </row>
    <row r="1368" spans="24:24" x14ac:dyDescent="0.25">
      <c r="X1368" s="142"/>
    </row>
    <row r="1369" spans="24:24" x14ac:dyDescent="0.25">
      <c r="X1369" s="142"/>
    </row>
    <row r="1370" spans="24:24" x14ac:dyDescent="0.25">
      <c r="X1370" s="142"/>
    </row>
    <row r="1371" spans="24:24" x14ac:dyDescent="0.25">
      <c r="X1371" s="142"/>
    </row>
    <row r="1372" spans="24:24" x14ac:dyDescent="0.25">
      <c r="X1372" s="142"/>
    </row>
    <row r="1373" spans="24:24" x14ac:dyDescent="0.25">
      <c r="X1373" s="142"/>
    </row>
    <row r="1374" spans="24:24" x14ac:dyDescent="0.25">
      <c r="X1374" s="142"/>
    </row>
    <row r="1375" spans="24:24" x14ac:dyDescent="0.25">
      <c r="X1375" s="142"/>
    </row>
    <row r="1376" spans="24:24" x14ac:dyDescent="0.25">
      <c r="X1376" s="142"/>
    </row>
    <row r="1377" spans="24:24" x14ac:dyDescent="0.25">
      <c r="X1377" s="142"/>
    </row>
    <row r="1378" spans="24:24" x14ac:dyDescent="0.25">
      <c r="X1378" s="142"/>
    </row>
    <row r="1379" spans="24:24" x14ac:dyDescent="0.25">
      <c r="X1379" s="142"/>
    </row>
    <row r="1380" spans="24:24" x14ac:dyDescent="0.25">
      <c r="X1380" s="142"/>
    </row>
    <row r="1381" spans="24:24" x14ac:dyDescent="0.25">
      <c r="X1381" s="142"/>
    </row>
    <row r="1382" spans="24:24" x14ac:dyDescent="0.25">
      <c r="X1382" s="142"/>
    </row>
    <row r="1383" spans="24:24" x14ac:dyDescent="0.25">
      <c r="X1383" s="142"/>
    </row>
    <row r="1384" spans="24:24" x14ac:dyDescent="0.25">
      <c r="X1384" s="142"/>
    </row>
    <row r="1385" spans="24:24" x14ac:dyDescent="0.25">
      <c r="X1385" s="142"/>
    </row>
    <row r="1386" spans="24:24" x14ac:dyDescent="0.25">
      <c r="X1386" s="142"/>
    </row>
    <row r="1387" spans="24:24" x14ac:dyDescent="0.25">
      <c r="X1387" s="142"/>
    </row>
    <row r="1388" spans="24:24" x14ac:dyDescent="0.25">
      <c r="X1388" s="142"/>
    </row>
    <row r="1389" spans="24:24" x14ac:dyDescent="0.25">
      <c r="X1389" s="142"/>
    </row>
    <row r="1390" spans="24:24" x14ac:dyDescent="0.25">
      <c r="X1390" s="142"/>
    </row>
    <row r="1391" spans="24:24" x14ac:dyDescent="0.25">
      <c r="X1391" s="142"/>
    </row>
    <row r="1392" spans="24:24" x14ac:dyDescent="0.25">
      <c r="X1392" s="142"/>
    </row>
    <row r="1393" spans="24:24" x14ac:dyDescent="0.25">
      <c r="X1393" s="142"/>
    </row>
    <row r="1394" spans="24:24" x14ac:dyDescent="0.25">
      <c r="X1394" s="142"/>
    </row>
    <row r="1395" spans="24:24" x14ac:dyDescent="0.25">
      <c r="X1395" s="142"/>
    </row>
    <row r="1396" spans="24:24" x14ac:dyDescent="0.25">
      <c r="X1396" s="142"/>
    </row>
    <row r="1397" spans="24:24" x14ac:dyDescent="0.25">
      <c r="X1397" s="142"/>
    </row>
    <row r="1398" spans="24:24" x14ac:dyDescent="0.25">
      <c r="X1398" s="142"/>
    </row>
    <row r="1399" spans="24:24" x14ac:dyDescent="0.25">
      <c r="X1399" s="142"/>
    </row>
    <row r="1400" spans="24:24" x14ac:dyDescent="0.25">
      <c r="X1400" s="142"/>
    </row>
    <row r="1401" spans="24:24" x14ac:dyDescent="0.25">
      <c r="X1401" s="142"/>
    </row>
    <row r="1402" spans="24:24" x14ac:dyDescent="0.25">
      <c r="X1402" s="142"/>
    </row>
    <row r="1403" spans="24:24" x14ac:dyDescent="0.25">
      <c r="X1403" s="142"/>
    </row>
    <row r="1404" spans="24:24" x14ac:dyDescent="0.25">
      <c r="X1404" s="142"/>
    </row>
    <row r="1405" spans="24:24" x14ac:dyDescent="0.25">
      <c r="X1405" s="142"/>
    </row>
    <row r="1406" spans="24:24" x14ac:dyDescent="0.25">
      <c r="X1406" s="142"/>
    </row>
    <row r="1407" spans="24:24" x14ac:dyDescent="0.25">
      <c r="X1407" s="142"/>
    </row>
    <row r="1408" spans="24:24" x14ac:dyDescent="0.25">
      <c r="X1408" s="142"/>
    </row>
    <row r="1409" spans="24:24" x14ac:dyDescent="0.25">
      <c r="X1409" s="142"/>
    </row>
    <row r="1410" spans="24:24" x14ac:dyDescent="0.25">
      <c r="X1410" s="142"/>
    </row>
    <row r="1411" spans="24:24" x14ac:dyDescent="0.25">
      <c r="X1411" s="142"/>
    </row>
    <row r="1412" spans="24:24" x14ac:dyDescent="0.25">
      <c r="X1412" s="142"/>
    </row>
    <row r="1413" spans="24:24" x14ac:dyDescent="0.25">
      <c r="X1413" s="142"/>
    </row>
    <row r="1414" spans="24:24" x14ac:dyDescent="0.25">
      <c r="X1414" s="142"/>
    </row>
    <row r="1415" spans="24:24" x14ac:dyDescent="0.25">
      <c r="X1415" s="142"/>
    </row>
    <row r="1416" spans="24:24" x14ac:dyDescent="0.25">
      <c r="X1416" s="142"/>
    </row>
    <row r="1417" spans="24:24" x14ac:dyDescent="0.25">
      <c r="X1417" s="142"/>
    </row>
    <row r="1418" spans="24:24" x14ac:dyDescent="0.25">
      <c r="X1418" s="142"/>
    </row>
    <row r="1419" spans="24:24" x14ac:dyDescent="0.25">
      <c r="X1419" s="142"/>
    </row>
    <row r="1420" spans="24:24" x14ac:dyDescent="0.25">
      <c r="X1420" s="142"/>
    </row>
    <row r="1421" spans="24:24" x14ac:dyDescent="0.25">
      <c r="X1421" s="142"/>
    </row>
    <row r="1422" spans="24:24" x14ac:dyDescent="0.25">
      <c r="X1422" s="142"/>
    </row>
    <row r="1423" spans="24:24" x14ac:dyDescent="0.25">
      <c r="X1423" s="142"/>
    </row>
    <row r="1424" spans="24:24" x14ac:dyDescent="0.25">
      <c r="X1424" s="142"/>
    </row>
    <row r="1425" spans="24:24" x14ac:dyDescent="0.25">
      <c r="X1425" s="142"/>
    </row>
    <row r="1426" spans="24:24" x14ac:dyDescent="0.25">
      <c r="X1426" s="142"/>
    </row>
    <row r="1427" spans="24:24" x14ac:dyDescent="0.25">
      <c r="X1427" s="142"/>
    </row>
    <row r="1428" spans="24:24" x14ac:dyDescent="0.25">
      <c r="X1428" s="142"/>
    </row>
    <row r="1429" spans="24:24" x14ac:dyDescent="0.25">
      <c r="X1429" s="142"/>
    </row>
    <row r="1430" spans="24:24" x14ac:dyDescent="0.25">
      <c r="X1430" s="142"/>
    </row>
    <row r="1431" spans="24:24" x14ac:dyDescent="0.25">
      <c r="X1431" s="142"/>
    </row>
    <row r="1432" spans="24:24" x14ac:dyDescent="0.25">
      <c r="X1432" s="142"/>
    </row>
    <row r="1433" spans="24:24" x14ac:dyDescent="0.25">
      <c r="X1433" s="142"/>
    </row>
    <row r="1434" spans="24:24" x14ac:dyDescent="0.25">
      <c r="X1434" s="142"/>
    </row>
    <row r="1435" spans="24:24" x14ac:dyDescent="0.25">
      <c r="X1435" s="142"/>
    </row>
    <row r="1436" spans="24:24" x14ac:dyDescent="0.25">
      <c r="X1436" s="142"/>
    </row>
    <row r="1437" spans="24:24" x14ac:dyDescent="0.25">
      <c r="X1437" s="142"/>
    </row>
    <row r="1438" spans="24:24" x14ac:dyDescent="0.25">
      <c r="X1438" s="142"/>
    </row>
    <row r="1439" spans="24:24" x14ac:dyDescent="0.25">
      <c r="X1439" s="142"/>
    </row>
    <row r="1440" spans="24:24" x14ac:dyDescent="0.25">
      <c r="X1440" s="142"/>
    </row>
    <row r="1441" spans="24:24" x14ac:dyDescent="0.25">
      <c r="X1441" s="142"/>
    </row>
    <row r="1442" spans="24:24" x14ac:dyDescent="0.25">
      <c r="X1442" s="142"/>
    </row>
    <row r="1443" spans="24:24" x14ac:dyDescent="0.25">
      <c r="X1443" s="142"/>
    </row>
    <row r="1444" spans="24:24" x14ac:dyDescent="0.25">
      <c r="X1444" s="142"/>
    </row>
    <row r="1445" spans="24:24" x14ac:dyDescent="0.25">
      <c r="X1445" s="142"/>
    </row>
    <row r="1446" spans="24:24" x14ac:dyDescent="0.25">
      <c r="X1446" s="142"/>
    </row>
    <row r="1447" spans="24:24" x14ac:dyDescent="0.25">
      <c r="X1447" s="142"/>
    </row>
    <row r="1448" spans="24:24" x14ac:dyDescent="0.25">
      <c r="X1448" s="142"/>
    </row>
    <row r="1449" spans="24:24" x14ac:dyDescent="0.25">
      <c r="X1449" s="142"/>
    </row>
    <row r="1450" spans="24:24" x14ac:dyDescent="0.25">
      <c r="X1450" s="142"/>
    </row>
    <row r="1451" spans="24:24" x14ac:dyDescent="0.25">
      <c r="X1451" s="142"/>
    </row>
    <row r="1452" spans="24:24" x14ac:dyDescent="0.25">
      <c r="X1452" s="142"/>
    </row>
    <row r="1453" spans="24:24" x14ac:dyDescent="0.25">
      <c r="X1453" s="142"/>
    </row>
    <row r="1454" spans="24:24" x14ac:dyDescent="0.25">
      <c r="X1454" s="142"/>
    </row>
    <row r="1455" spans="24:24" x14ac:dyDescent="0.25">
      <c r="X1455" s="142"/>
    </row>
    <row r="1456" spans="24:24" x14ac:dyDescent="0.25">
      <c r="X1456" s="142"/>
    </row>
    <row r="1457" spans="24:24" x14ac:dyDescent="0.25">
      <c r="X1457" s="142"/>
    </row>
    <row r="1458" spans="24:24" x14ac:dyDescent="0.25">
      <c r="X1458" s="142"/>
    </row>
    <row r="1459" spans="24:24" x14ac:dyDescent="0.25">
      <c r="X1459" s="142"/>
    </row>
    <row r="1460" spans="24:24" x14ac:dyDescent="0.25">
      <c r="X1460" s="142"/>
    </row>
    <row r="1461" spans="24:24" x14ac:dyDescent="0.25">
      <c r="X1461" s="142"/>
    </row>
    <row r="1462" spans="24:24" x14ac:dyDescent="0.25">
      <c r="X1462" s="142"/>
    </row>
    <row r="1463" spans="24:24" x14ac:dyDescent="0.25">
      <c r="X1463" s="142"/>
    </row>
    <row r="1464" spans="24:24" x14ac:dyDescent="0.25">
      <c r="X1464" s="142"/>
    </row>
    <row r="1465" spans="24:24" x14ac:dyDescent="0.25">
      <c r="X1465" s="142"/>
    </row>
    <row r="1466" spans="24:24" x14ac:dyDescent="0.25">
      <c r="X1466" s="142"/>
    </row>
    <row r="1467" spans="24:24" x14ac:dyDescent="0.25">
      <c r="X1467" s="142"/>
    </row>
    <row r="1468" spans="24:24" x14ac:dyDescent="0.25">
      <c r="X1468" s="142"/>
    </row>
    <row r="1469" spans="24:24" x14ac:dyDescent="0.25">
      <c r="X1469" s="142"/>
    </row>
    <row r="1470" spans="24:24" x14ac:dyDescent="0.25">
      <c r="X1470" s="142"/>
    </row>
    <row r="1471" spans="24:24" x14ac:dyDescent="0.25">
      <c r="X1471" s="142"/>
    </row>
    <row r="1472" spans="24:24" x14ac:dyDescent="0.25">
      <c r="X1472" s="142"/>
    </row>
    <row r="1473" spans="24:24" x14ac:dyDescent="0.25">
      <c r="X1473" s="142"/>
    </row>
    <row r="1474" spans="24:24" x14ac:dyDescent="0.25">
      <c r="X1474" s="142"/>
    </row>
    <row r="1475" spans="24:24" x14ac:dyDescent="0.25">
      <c r="X1475" s="142"/>
    </row>
    <row r="1476" spans="24:24" x14ac:dyDescent="0.25">
      <c r="X1476" s="142"/>
    </row>
    <row r="1477" spans="24:24" x14ac:dyDescent="0.25">
      <c r="X1477" s="142"/>
    </row>
    <row r="1478" spans="24:24" x14ac:dyDescent="0.25">
      <c r="X1478" s="142"/>
    </row>
    <row r="1479" spans="24:24" x14ac:dyDescent="0.25">
      <c r="X1479" s="142"/>
    </row>
    <row r="1480" spans="24:24" x14ac:dyDescent="0.25">
      <c r="X1480" s="142"/>
    </row>
    <row r="1481" spans="24:24" x14ac:dyDescent="0.25">
      <c r="X1481" s="142"/>
    </row>
    <row r="1482" spans="24:24" x14ac:dyDescent="0.25">
      <c r="X1482" s="142"/>
    </row>
    <row r="1483" spans="24:24" x14ac:dyDescent="0.25">
      <c r="X1483" s="142"/>
    </row>
    <row r="1484" spans="24:24" x14ac:dyDescent="0.25">
      <c r="X1484" s="142"/>
    </row>
    <row r="1485" spans="24:24" x14ac:dyDescent="0.25">
      <c r="X1485" s="142"/>
    </row>
    <row r="1486" spans="24:24" x14ac:dyDescent="0.25">
      <c r="X1486" s="142"/>
    </row>
    <row r="1487" spans="24:24" x14ac:dyDescent="0.25">
      <c r="X1487" s="142"/>
    </row>
    <row r="1488" spans="24:24" x14ac:dyDescent="0.25">
      <c r="X1488" s="142"/>
    </row>
    <row r="1489" spans="24:24" x14ac:dyDescent="0.25">
      <c r="X1489" s="142"/>
    </row>
    <row r="1490" spans="24:24" x14ac:dyDescent="0.25">
      <c r="X1490" s="142"/>
    </row>
    <row r="1491" spans="24:24" x14ac:dyDescent="0.25">
      <c r="X1491" s="142"/>
    </row>
    <row r="1492" spans="24:24" x14ac:dyDescent="0.25">
      <c r="X1492" s="142"/>
    </row>
    <row r="1493" spans="24:24" x14ac:dyDescent="0.25">
      <c r="X1493" s="142"/>
    </row>
    <row r="1494" spans="24:24" x14ac:dyDescent="0.25">
      <c r="X1494" s="142"/>
    </row>
    <row r="1495" spans="24:24" x14ac:dyDescent="0.25">
      <c r="X1495" s="142"/>
    </row>
    <row r="1496" spans="24:24" x14ac:dyDescent="0.25">
      <c r="X1496" s="142"/>
    </row>
    <row r="1497" spans="24:24" x14ac:dyDescent="0.25">
      <c r="X1497" s="142"/>
    </row>
    <row r="1498" spans="24:24" x14ac:dyDescent="0.25">
      <c r="X1498" s="142"/>
    </row>
    <row r="1499" spans="24:24" x14ac:dyDescent="0.25">
      <c r="X1499" s="142"/>
    </row>
    <row r="1500" spans="24:24" x14ac:dyDescent="0.25">
      <c r="X1500" s="142"/>
    </row>
    <row r="1501" spans="24:24" x14ac:dyDescent="0.25">
      <c r="X1501" s="142"/>
    </row>
    <row r="1502" spans="24:24" x14ac:dyDescent="0.25">
      <c r="X1502" s="142"/>
    </row>
    <row r="1503" spans="24:24" x14ac:dyDescent="0.25">
      <c r="X1503" s="142"/>
    </row>
    <row r="1504" spans="24:24" x14ac:dyDescent="0.25">
      <c r="X1504" s="142"/>
    </row>
    <row r="1505" spans="24:24" x14ac:dyDescent="0.25">
      <c r="X1505" s="142"/>
    </row>
    <row r="1506" spans="24:24" x14ac:dyDescent="0.25">
      <c r="X1506" s="142"/>
    </row>
    <row r="1507" spans="24:24" x14ac:dyDescent="0.25">
      <c r="X1507" s="142"/>
    </row>
    <row r="1508" spans="24:24" x14ac:dyDescent="0.25">
      <c r="X1508" s="142"/>
    </row>
    <row r="1509" spans="24:24" x14ac:dyDescent="0.25">
      <c r="X1509" s="142"/>
    </row>
    <row r="1510" spans="24:24" x14ac:dyDescent="0.25">
      <c r="X1510" s="142"/>
    </row>
    <row r="1511" spans="24:24" x14ac:dyDescent="0.25">
      <c r="X1511" s="142"/>
    </row>
    <row r="1512" spans="24:24" x14ac:dyDescent="0.25">
      <c r="X1512" s="142"/>
    </row>
    <row r="1513" spans="24:24" x14ac:dyDescent="0.25">
      <c r="X1513" s="142"/>
    </row>
    <row r="1514" spans="24:24" x14ac:dyDescent="0.25">
      <c r="X1514" s="142"/>
    </row>
    <row r="1515" spans="24:24" x14ac:dyDescent="0.25">
      <c r="X1515" s="142"/>
    </row>
    <row r="1516" spans="24:24" x14ac:dyDescent="0.25">
      <c r="X1516" s="142"/>
    </row>
    <row r="1517" spans="24:24" x14ac:dyDescent="0.25">
      <c r="X1517" s="142"/>
    </row>
    <row r="1518" spans="24:24" x14ac:dyDescent="0.25">
      <c r="X1518" s="142"/>
    </row>
    <row r="1519" spans="24:24" x14ac:dyDescent="0.25">
      <c r="X1519" s="142"/>
    </row>
    <row r="1520" spans="24:24" x14ac:dyDescent="0.25">
      <c r="X1520" s="142"/>
    </row>
    <row r="1521" spans="24:24" x14ac:dyDescent="0.25">
      <c r="X1521" s="142"/>
    </row>
    <row r="1522" spans="24:24" x14ac:dyDescent="0.25">
      <c r="X1522" s="142"/>
    </row>
    <row r="1523" spans="24:24" x14ac:dyDescent="0.25">
      <c r="X1523" s="142"/>
    </row>
    <row r="1524" spans="24:24" x14ac:dyDescent="0.25">
      <c r="X1524" s="142"/>
    </row>
    <row r="1525" spans="24:24" x14ac:dyDescent="0.25">
      <c r="X1525" s="142"/>
    </row>
    <row r="1526" spans="24:24" x14ac:dyDescent="0.25">
      <c r="X1526" s="142"/>
    </row>
    <row r="1527" spans="24:24" x14ac:dyDescent="0.25">
      <c r="X1527" s="142"/>
    </row>
    <row r="1528" spans="24:24" x14ac:dyDescent="0.25">
      <c r="X1528" s="142"/>
    </row>
    <row r="1529" spans="24:24" x14ac:dyDescent="0.25">
      <c r="X1529" s="142"/>
    </row>
    <row r="1530" spans="24:24" x14ac:dyDescent="0.25">
      <c r="X1530" s="142"/>
    </row>
    <row r="1531" spans="24:24" x14ac:dyDescent="0.25">
      <c r="X1531" s="142"/>
    </row>
    <row r="1532" spans="24:24" x14ac:dyDescent="0.25">
      <c r="X1532" s="142"/>
    </row>
    <row r="1533" spans="24:24" x14ac:dyDescent="0.25">
      <c r="X1533" s="142"/>
    </row>
    <row r="1534" spans="24:24" x14ac:dyDescent="0.25">
      <c r="X1534" s="142"/>
    </row>
    <row r="1535" spans="24:24" x14ac:dyDescent="0.25">
      <c r="X1535" s="142"/>
    </row>
    <row r="1536" spans="24:24" x14ac:dyDescent="0.25">
      <c r="X1536" s="142"/>
    </row>
    <row r="1537" spans="24:24" x14ac:dyDescent="0.25">
      <c r="X1537" s="142"/>
    </row>
    <row r="1538" spans="24:24" x14ac:dyDescent="0.25">
      <c r="X1538" s="142"/>
    </row>
    <row r="1539" spans="24:24" x14ac:dyDescent="0.25">
      <c r="X1539" s="142"/>
    </row>
    <row r="1540" spans="24:24" x14ac:dyDescent="0.25">
      <c r="X1540" s="142"/>
    </row>
    <row r="1541" spans="24:24" x14ac:dyDescent="0.25">
      <c r="X1541" s="142"/>
    </row>
    <row r="1542" spans="24:24" x14ac:dyDescent="0.25">
      <c r="X1542" s="142"/>
    </row>
    <row r="1543" spans="24:24" x14ac:dyDescent="0.25">
      <c r="X1543" s="142"/>
    </row>
    <row r="1544" spans="24:24" x14ac:dyDescent="0.25">
      <c r="X1544" s="142"/>
    </row>
    <row r="1545" spans="24:24" x14ac:dyDescent="0.25">
      <c r="X1545" s="142"/>
    </row>
    <row r="1546" spans="24:24" x14ac:dyDescent="0.25">
      <c r="X1546" s="142"/>
    </row>
    <row r="1547" spans="24:24" x14ac:dyDescent="0.25">
      <c r="X1547" s="142"/>
    </row>
    <row r="1548" spans="24:24" x14ac:dyDescent="0.25">
      <c r="X1548" s="142"/>
    </row>
    <row r="1549" spans="24:24" x14ac:dyDescent="0.25">
      <c r="X1549" s="142"/>
    </row>
    <row r="1550" spans="24:24" x14ac:dyDescent="0.25">
      <c r="X1550" s="142"/>
    </row>
    <row r="1551" spans="24:24" x14ac:dyDescent="0.25">
      <c r="X1551" s="142"/>
    </row>
    <row r="1552" spans="24:24" x14ac:dyDescent="0.25">
      <c r="X1552" s="142"/>
    </row>
    <row r="1553" spans="24:24" x14ac:dyDescent="0.25">
      <c r="X1553" s="142"/>
    </row>
    <row r="1554" spans="24:24" x14ac:dyDescent="0.25">
      <c r="X1554" s="142"/>
    </row>
    <row r="1555" spans="24:24" x14ac:dyDescent="0.25">
      <c r="X1555" s="142"/>
    </row>
    <row r="1556" spans="24:24" x14ac:dyDescent="0.25">
      <c r="X1556" s="142"/>
    </row>
    <row r="1557" spans="24:24" x14ac:dyDescent="0.25">
      <c r="X1557" s="142"/>
    </row>
    <row r="1558" spans="24:24" x14ac:dyDescent="0.25">
      <c r="X1558" s="142"/>
    </row>
    <row r="1559" spans="24:24" x14ac:dyDescent="0.25">
      <c r="X1559" s="142"/>
    </row>
    <row r="1560" spans="24:24" x14ac:dyDescent="0.25">
      <c r="X1560" s="142"/>
    </row>
    <row r="1561" spans="24:24" x14ac:dyDescent="0.25">
      <c r="X1561" s="142"/>
    </row>
    <row r="1562" spans="24:24" x14ac:dyDescent="0.25">
      <c r="X1562" s="142"/>
    </row>
    <row r="1563" spans="24:24" x14ac:dyDescent="0.25">
      <c r="X1563" s="142"/>
    </row>
    <row r="1564" spans="24:24" x14ac:dyDescent="0.25">
      <c r="X1564" s="142"/>
    </row>
    <row r="1565" spans="24:24" x14ac:dyDescent="0.25">
      <c r="X1565" s="142"/>
    </row>
    <row r="1566" spans="24:24" x14ac:dyDescent="0.25">
      <c r="X1566" s="142"/>
    </row>
    <row r="1567" spans="24:24" x14ac:dyDescent="0.25">
      <c r="X1567" s="142"/>
    </row>
    <row r="1568" spans="24:24" x14ac:dyDescent="0.25">
      <c r="X1568" s="142"/>
    </row>
    <row r="1569" spans="24:24" x14ac:dyDescent="0.25">
      <c r="X1569" s="142"/>
    </row>
    <row r="1570" spans="24:24" x14ac:dyDescent="0.25">
      <c r="X1570" s="142"/>
    </row>
    <row r="1571" spans="24:24" x14ac:dyDescent="0.25">
      <c r="X1571" s="142"/>
    </row>
    <row r="1572" spans="24:24" x14ac:dyDescent="0.25">
      <c r="X1572" s="142"/>
    </row>
    <row r="1573" spans="24:24" x14ac:dyDescent="0.25">
      <c r="X1573" s="142"/>
    </row>
    <row r="1574" spans="24:24" x14ac:dyDescent="0.25">
      <c r="X1574" s="142"/>
    </row>
    <row r="1575" spans="24:24" x14ac:dyDescent="0.25">
      <c r="X1575" s="142"/>
    </row>
    <row r="1576" spans="24:24" x14ac:dyDescent="0.25">
      <c r="X1576" s="142"/>
    </row>
    <row r="1577" spans="24:24" x14ac:dyDescent="0.25">
      <c r="X1577" s="142"/>
    </row>
    <row r="1578" spans="24:24" x14ac:dyDescent="0.25">
      <c r="X1578" s="142"/>
    </row>
    <row r="1579" spans="24:24" x14ac:dyDescent="0.25">
      <c r="X1579" s="142"/>
    </row>
    <row r="1580" spans="24:24" x14ac:dyDescent="0.25">
      <c r="X1580" s="142"/>
    </row>
    <row r="1581" spans="24:24" x14ac:dyDescent="0.25">
      <c r="X1581" s="142"/>
    </row>
    <row r="1582" spans="24:24" x14ac:dyDescent="0.25">
      <c r="X1582" s="142"/>
    </row>
    <row r="1583" spans="24:24" x14ac:dyDescent="0.25">
      <c r="X1583" s="142"/>
    </row>
    <row r="1584" spans="24:24" x14ac:dyDescent="0.25">
      <c r="X1584" s="142"/>
    </row>
    <row r="1585" spans="24:24" x14ac:dyDescent="0.25">
      <c r="X1585" s="142"/>
    </row>
    <row r="1586" spans="24:24" x14ac:dyDescent="0.25">
      <c r="X1586" s="142"/>
    </row>
    <row r="1587" spans="24:24" x14ac:dyDescent="0.25">
      <c r="X1587" s="142"/>
    </row>
    <row r="1588" spans="24:24" x14ac:dyDescent="0.25">
      <c r="X1588" s="142"/>
    </row>
    <row r="1589" spans="24:24" x14ac:dyDescent="0.25">
      <c r="X1589" s="142"/>
    </row>
    <row r="1590" spans="24:24" x14ac:dyDescent="0.25">
      <c r="X1590" s="142"/>
    </row>
    <row r="1591" spans="24:24" x14ac:dyDescent="0.25">
      <c r="X1591" s="142"/>
    </row>
    <row r="1592" spans="24:24" x14ac:dyDescent="0.25">
      <c r="X1592" s="142"/>
    </row>
    <row r="1593" spans="24:24" x14ac:dyDescent="0.25">
      <c r="X1593" s="142"/>
    </row>
    <row r="1594" spans="24:24" x14ac:dyDescent="0.25">
      <c r="X1594" s="142"/>
    </row>
    <row r="1595" spans="24:24" x14ac:dyDescent="0.25">
      <c r="X1595" s="142"/>
    </row>
    <row r="1596" spans="24:24" x14ac:dyDescent="0.25">
      <c r="X1596" s="142"/>
    </row>
    <row r="1597" spans="24:24" x14ac:dyDescent="0.25">
      <c r="X1597" s="142"/>
    </row>
    <row r="1598" spans="24:24" x14ac:dyDescent="0.25">
      <c r="X1598" s="142"/>
    </row>
    <row r="1599" spans="24:24" x14ac:dyDescent="0.25">
      <c r="X1599" s="142"/>
    </row>
    <row r="1600" spans="24:24" x14ac:dyDescent="0.25">
      <c r="X1600" s="142"/>
    </row>
    <row r="1601" spans="24:24" x14ac:dyDescent="0.25">
      <c r="X1601" s="142"/>
    </row>
    <row r="1602" spans="24:24" x14ac:dyDescent="0.25">
      <c r="X1602" s="142"/>
    </row>
    <row r="1603" spans="24:24" x14ac:dyDescent="0.25">
      <c r="X1603" s="142"/>
    </row>
    <row r="1604" spans="24:24" x14ac:dyDescent="0.25">
      <c r="X1604" s="142"/>
    </row>
    <row r="1605" spans="24:24" x14ac:dyDescent="0.25">
      <c r="X1605" s="142"/>
    </row>
    <row r="1606" spans="24:24" x14ac:dyDescent="0.25">
      <c r="X1606" s="142"/>
    </row>
    <row r="1607" spans="24:24" x14ac:dyDescent="0.25">
      <c r="X1607" s="142"/>
    </row>
    <row r="1608" spans="24:24" x14ac:dyDescent="0.25">
      <c r="X1608" s="142"/>
    </row>
    <row r="1609" spans="24:24" x14ac:dyDescent="0.25">
      <c r="X1609" s="142"/>
    </row>
    <row r="1610" spans="24:24" x14ac:dyDescent="0.25">
      <c r="X1610" s="142"/>
    </row>
    <row r="1611" spans="24:24" x14ac:dyDescent="0.25">
      <c r="X1611" s="142"/>
    </row>
    <row r="1612" spans="24:24" x14ac:dyDescent="0.25">
      <c r="X1612" s="142"/>
    </row>
    <row r="1613" spans="24:24" x14ac:dyDescent="0.25">
      <c r="X1613" s="142"/>
    </row>
    <row r="1614" spans="24:24" x14ac:dyDescent="0.25">
      <c r="X1614" s="142"/>
    </row>
    <row r="1615" spans="24:24" x14ac:dyDescent="0.25">
      <c r="X1615" s="142"/>
    </row>
    <row r="1616" spans="24:24" x14ac:dyDescent="0.25">
      <c r="X1616" s="142"/>
    </row>
    <row r="1617" spans="24:24" x14ac:dyDescent="0.25">
      <c r="X1617" s="142"/>
    </row>
    <row r="1618" spans="24:24" x14ac:dyDescent="0.25">
      <c r="X1618" s="142"/>
    </row>
    <row r="1619" spans="24:24" x14ac:dyDescent="0.25">
      <c r="X1619" s="142"/>
    </row>
    <row r="1620" spans="24:24" x14ac:dyDescent="0.25">
      <c r="X1620" s="142"/>
    </row>
    <row r="1621" spans="24:24" x14ac:dyDescent="0.25">
      <c r="X1621" s="142"/>
    </row>
    <row r="1622" spans="24:24" x14ac:dyDescent="0.25">
      <c r="X1622" s="142"/>
    </row>
    <row r="1623" spans="24:24" x14ac:dyDescent="0.25">
      <c r="X1623" s="142"/>
    </row>
    <row r="1624" spans="24:24" x14ac:dyDescent="0.25">
      <c r="X1624" s="142"/>
    </row>
    <row r="1625" spans="24:24" x14ac:dyDescent="0.25">
      <c r="X1625" s="142"/>
    </row>
    <row r="1626" spans="24:24" x14ac:dyDescent="0.25">
      <c r="X1626" s="142"/>
    </row>
    <row r="1627" spans="24:24" x14ac:dyDescent="0.25">
      <c r="X1627" s="142"/>
    </row>
    <row r="1628" spans="24:24" x14ac:dyDescent="0.25">
      <c r="X1628" s="142"/>
    </row>
    <row r="1629" spans="24:24" x14ac:dyDescent="0.25">
      <c r="X1629" s="142"/>
    </row>
    <row r="1630" spans="24:24" x14ac:dyDescent="0.25">
      <c r="X1630" s="142"/>
    </row>
    <row r="1631" spans="24:24" x14ac:dyDescent="0.25">
      <c r="X1631" s="142"/>
    </row>
    <row r="1632" spans="24:24" x14ac:dyDescent="0.25">
      <c r="X1632" s="142"/>
    </row>
    <row r="1633" spans="24:24" x14ac:dyDescent="0.25">
      <c r="X1633" s="142"/>
    </row>
    <row r="1634" spans="24:24" x14ac:dyDescent="0.25">
      <c r="X1634" s="142"/>
    </row>
    <row r="1635" spans="24:24" x14ac:dyDescent="0.25">
      <c r="X1635" s="142"/>
    </row>
    <row r="1636" spans="24:24" x14ac:dyDescent="0.25">
      <c r="X1636" s="142"/>
    </row>
    <row r="1637" spans="24:24" x14ac:dyDescent="0.25">
      <c r="X1637" s="142"/>
    </row>
    <row r="1638" spans="24:24" x14ac:dyDescent="0.25">
      <c r="X1638" s="142"/>
    </row>
    <row r="1639" spans="24:24" x14ac:dyDescent="0.25">
      <c r="X1639" s="142"/>
    </row>
    <row r="1640" spans="24:24" x14ac:dyDescent="0.25">
      <c r="X1640" s="142"/>
    </row>
    <row r="1641" spans="24:24" x14ac:dyDescent="0.25">
      <c r="X1641" s="142"/>
    </row>
    <row r="1642" spans="24:24" x14ac:dyDescent="0.25">
      <c r="X1642" s="142"/>
    </row>
    <row r="1643" spans="24:24" x14ac:dyDescent="0.25">
      <c r="X1643" s="142"/>
    </row>
    <row r="1644" spans="24:24" x14ac:dyDescent="0.25">
      <c r="X1644" s="142"/>
    </row>
    <row r="1645" spans="24:24" x14ac:dyDescent="0.25">
      <c r="X1645" s="142"/>
    </row>
    <row r="1646" spans="24:24" x14ac:dyDescent="0.25">
      <c r="X1646" s="142"/>
    </row>
    <row r="1647" spans="24:24" x14ac:dyDescent="0.25">
      <c r="X1647" s="142"/>
    </row>
    <row r="1648" spans="24:24" x14ac:dyDescent="0.25">
      <c r="X1648" s="142"/>
    </row>
    <row r="1649" spans="24:24" x14ac:dyDescent="0.25">
      <c r="X1649" s="142"/>
    </row>
    <row r="1650" spans="24:24" x14ac:dyDescent="0.25">
      <c r="X1650" s="142"/>
    </row>
    <row r="1651" spans="24:24" x14ac:dyDescent="0.25">
      <c r="X1651" s="142"/>
    </row>
    <row r="1652" spans="24:24" x14ac:dyDescent="0.25">
      <c r="X1652" s="142"/>
    </row>
    <row r="1653" spans="24:24" x14ac:dyDescent="0.25">
      <c r="X1653" s="142"/>
    </row>
    <row r="1654" spans="24:24" x14ac:dyDescent="0.25">
      <c r="X1654" s="142"/>
    </row>
    <row r="1655" spans="24:24" x14ac:dyDescent="0.25">
      <c r="X1655" s="142"/>
    </row>
    <row r="1656" spans="24:24" x14ac:dyDescent="0.25">
      <c r="X1656" s="142"/>
    </row>
    <row r="1657" spans="24:24" x14ac:dyDescent="0.25">
      <c r="X1657" s="142"/>
    </row>
    <row r="1658" spans="24:24" x14ac:dyDescent="0.25">
      <c r="X1658" s="142"/>
    </row>
    <row r="1659" spans="24:24" x14ac:dyDescent="0.25">
      <c r="X1659" s="142"/>
    </row>
    <row r="1660" spans="24:24" x14ac:dyDescent="0.25">
      <c r="X1660" s="142"/>
    </row>
    <row r="1661" spans="24:24" x14ac:dyDescent="0.25">
      <c r="X1661" s="142"/>
    </row>
    <row r="1662" spans="24:24" x14ac:dyDescent="0.25">
      <c r="X1662" s="142"/>
    </row>
    <row r="1663" spans="24:24" x14ac:dyDescent="0.25">
      <c r="X1663" s="142"/>
    </row>
    <row r="1664" spans="24:24" x14ac:dyDescent="0.25">
      <c r="X1664" s="142"/>
    </row>
    <row r="1665" spans="24:24" x14ac:dyDescent="0.25">
      <c r="X1665" s="142"/>
    </row>
    <row r="1666" spans="24:24" x14ac:dyDescent="0.25">
      <c r="X1666" s="142"/>
    </row>
    <row r="1667" spans="24:24" x14ac:dyDescent="0.25">
      <c r="X1667" s="142"/>
    </row>
    <row r="1668" spans="24:24" x14ac:dyDescent="0.25">
      <c r="X1668" s="142"/>
    </row>
    <row r="1669" spans="24:24" x14ac:dyDescent="0.25">
      <c r="X1669" s="142"/>
    </row>
    <row r="1670" spans="24:24" x14ac:dyDescent="0.25">
      <c r="X1670" s="142"/>
    </row>
    <row r="1671" spans="24:24" x14ac:dyDescent="0.25">
      <c r="X1671" s="142"/>
    </row>
    <row r="1672" spans="24:24" x14ac:dyDescent="0.25">
      <c r="X1672" s="142"/>
    </row>
    <row r="1673" spans="24:24" x14ac:dyDescent="0.25">
      <c r="X1673" s="142"/>
    </row>
    <row r="1674" spans="24:24" x14ac:dyDescent="0.25">
      <c r="X1674" s="142"/>
    </row>
    <row r="1675" spans="24:24" x14ac:dyDescent="0.25">
      <c r="X1675" s="142"/>
    </row>
    <row r="1676" spans="24:24" x14ac:dyDescent="0.25">
      <c r="X1676" s="142"/>
    </row>
    <row r="1677" spans="24:24" x14ac:dyDescent="0.25">
      <c r="X1677" s="142"/>
    </row>
    <row r="1678" spans="24:24" x14ac:dyDescent="0.25">
      <c r="X1678" s="142"/>
    </row>
    <row r="1679" spans="24:24" x14ac:dyDescent="0.25">
      <c r="X1679" s="142"/>
    </row>
    <row r="1680" spans="24:24" x14ac:dyDescent="0.25">
      <c r="X1680" s="142"/>
    </row>
    <row r="1681" spans="24:24" x14ac:dyDescent="0.25">
      <c r="X1681" s="142"/>
    </row>
    <row r="1682" spans="24:24" x14ac:dyDescent="0.25">
      <c r="X1682" s="142"/>
    </row>
    <row r="1683" spans="24:24" x14ac:dyDescent="0.25">
      <c r="X1683" s="142"/>
    </row>
    <row r="1684" spans="24:24" x14ac:dyDescent="0.25">
      <c r="X1684" s="142"/>
    </row>
    <row r="1685" spans="24:24" x14ac:dyDescent="0.25">
      <c r="X1685" s="142"/>
    </row>
    <row r="1686" spans="24:24" x14ac:dyDescent="0.25">
      <c r="X1686" s="142"/>
    </row>
    <row r="1687" spans="24:24" x14ac:dyDescent="0.25">
      <c r="X1687" s="142"/>
    </row>
    <row r="1688" spans="24:24" x14ac:dyDescent="0.25">
      <c r="X1688" s="142"/>
    </row>
    <row r="1689" spans="24:24" x14ac:dyDescent="0.25">
      <c r="X1689" s="142"/>
    </row>
    <row r="1690" spans="24:24" x14ac:dyDescent="0.25">
      <c r="X1690" s="142"/>
    </row>
    <row r="1691" spans="24:24" x14ac:dyDescent="0.25">
      <c r="X1691" s="142"/>
    </row>
    <row r="1692" spans="24:24" x14ac:dyDescent="0.25">
      <c r="X1692" s="142"/>
    </row>
    <row r="1693" spans="24:24" x14ac:dyDescent="0.25">
      <c r="X1693" s="142"/>
    </row>
    <row r="1694" spans="24:24" x14ac:dyDescent="0.25">
      <c r="X1694" s="142"/>
    </row>
    <row r="1695" spans="24:24" x14ac:dyDescent="0.25">
      <c r="X1695" s="142"/>
    </row>
    <row r="1696" spans="24:24" x14ac:dyDescent="0.25">
      <c r="X1696" s="142"/>
    </row>
    <row r="1697" spans="24:24" x14ac:dyDescent="0.25">
      <c r="X1697" s="142"/>
    </row>
    <row r="1698" spans="24:24" x14ac:dyDescent="0.25">
      <c r="X1698" s="142"/>
    </row>
    <row r="1699" spans="24:24" x14ac:dyDescent="0.25">
      <c r="X1699" s="142"/>
    </row>
    <row r="1700" spans="24:24" x14ac:dyDescent="0.25">
      <c r="X1700" s="142"/>
    </row>
    <row r="1701" spans="24:24" x14ac:dyDescent="0.25">
      <c r="X1701" s="142"/>
    </row>
    <row r="1702" spans="24:24" x14ac:dyDescent="0.25">
      <c r="X1702" s="142"/>
    </row>
    <row r="1703" spans="24:24" x14ac:dyDescent="0.25">
      <c r="X1703" s="142"/>
    </row>
    <row r="1704" spans="24:24" x14ac:dyDescent="0.25">
      <c r="X1704" s="142"/>
    </row>
    <row r="1705" spans="24:24" x14ac:dyDescent="0.25">
      <c r="X1705" s="142"/>
    </row>
    <row r="1706" spans="24:24" x14ac:dyDescent="0.25">
      <c r="X1706" s="142"/>
    </row>
    <row r="1707" spans="24:24" x14ac:dyDescent="0.25">
      <c r="X1707" s="142"/>
    </row>
    <row r="1708" spans="24:24" x14ac:dyDescent="0.25">
      <c r="X1708" s="142"/>
    </row>
    <row r="1709" spans="24:24" x14ac:dyDescent="0.25">
      <c r="X1709" s="142"/>
    </row>
    <row r="1710" spans="24:24" x14ac:dyDescent="0.25">
      <c r="X1710" s="142"/>
    </row>
    <row r="1711" spans="24:24" x14ac:dyDescent="0.25">
      <c r="X1711" s="142"/>
    </row>
    <row r="1712" spans="24:24" x14ac:dyDescent="0.25">
      <c r="X1712" s="142"/>
    </row>
    <row r="1713" spans="24:24" x14ac:dyDescent="0.25">
      <c r="X1713" s="142"/>
    </row>
    <row r="1714" spans="24:24" x14ac:dyDescent="0.25">
      <c r="X1714" s="142"/>
    </row>
    <row r="1715" spans="24:24" x14ac:dyDescent="0.25">
      <c r="X1715" s="142"/>
    </row>
    <row r="1716" spans="24:24" x14ac:dyDescent="0.25">
      <c r="X1716" s="142"/>
    </row>
    <row r="1717" spans="24:24" x14ac:dyDescent="0.25">
      <c r="X1717" s="142"/>
    </row>
    <row r="1718" spans="24:24" x14ac:dyDescent="0.25">
      <c r="X1718" s="142"/>
    </row>
    <row r="1719" spans="24:24" x14ac:dyDescent="0.25">
      <c r="X1719" s="142"/>
    </row>
    <row r="1720" spans="24:24" x14ac:dyDescent="0.25">
      <c r="X1720" s="142"/>
    </row>
    <row r="1721" spans="24:24" x14ac:dyDescent="0.25">
      <c r="X1721" s="142"/>
    </row>
    <row r="1722" spans="24:24" x14ac:dyDescent="0.25">
      <c r="X1722" s="142"/>
    </row>
    <row r="1723" spans="24:24" x14ac:dyDescent="0.25">
      <c r="X1723" s="142"/>
    </row>
    <row r="1724" spans="24:24" x14ac:dyDescent="0.25">
      <c r="X1724" s="142"/>
    </row>
    <row r="1725" spans="24:24" x14ac:dyDescent="0.25">
      <c r="X1725" s="142"/>
    </row>
    <row r="1726" spans="24:24" x14ac:dyDescent="0.25">
      <c r="X1726" s="142"/>
    </row>
    <row r="1727" spans="24:24" x14ac:dyDescent="0.25">
      <c r="X1727" s="142"/>
    </row>
    <row r="1728" spans="24:24" x14ac:dyDescent="0.25">
      <c r="X1728" s="142"/>
    </row>
    <row r="1729" spans="24:24" x14ac:dyDescent="0.25">
      <c r="X1729" s="142"/>
    </row>
    <row r="1730" spans="24:24" x14ac:dyDescent="0.25">
      <c r="X1730" s="142"/>
    </row>
    <row r="1731" spans="24:24" x14ac:dyDescent="0.25">
      <c r="X1731" s="142"/>
    </row>
    <row r="1732" spans="24:24" x14ac:dyDescent="0.25">
      <c r="X1732" s="142"/>
    </row>
    <row r="1733" spans="24:24" x14ac:dyDescent="0.25">
      <c r="X1733" s="142"/>
    </row>
    <row r="1734" spans="24:24" x14ac:dyDescent="0.25">
      <c r="X1734" s="142"/>
    </row>
    <row r="1735" spans="24:24" x14ac:dyDescent="0.25">
      <c r="X1735" s="142"/>
    </row>
    <row r="1736" spans="24:24" x14ac:dyDescent="0.25">
      <c r="X1736" s="142"/>
    </row>
    <row r="1737" spans="24:24" x14ac:dyDescent="0.25">
      <c r="X1737" s="142"/>
    </row>
    <row r="1738" spans="24:24" x14ac:dyDescent="0.25">
      <c r="X1738" s="142"/>
    </row>
    <row r="1739" spans="24:24" x14ac:dyDescent="0.25">
      <c r="X1739" s="142"/>
    </row>
    <row r="1740" spans="24:24" x14ac:dyDescent="0.25">
      <c r="X1740" s="142"/>
    </row>
    <row r="1741" spans="24:24" x14ac:dyDescent="0.25">
      <c r="X1741" s="142"/>
    </row>
    <row r="1742" spans="24:24" x14ac:dyDescent="0.25">
      <c r="X1742" s="142"/>
    </row>
    <row r="1743" spans="24:24" x14ac:dyDescent="0.25">
      <c r="X1743" s="142"/>
    </row>
    <row r="1744" spans="24:24" x14ac:dyDescent="0.25">
      <c r="X1744" s="142"/>
    </row>
    <row r="1745" spans="24:24" x14ac:dyDescent="0.25">
      <c r="X1745" s="142"/>
    </row>
    <row r="1746" spans="24:24" x14ac:dyDescent="0.25">
      <c r="X1746" s="142"/>
    </row>
    <row r="1747" spans="24:24" x14ac:dyDescent="0.25">
      <c r="X1747" s="142"/>
    </row>
    <row r="1748" spans="24:24" x14ac:dyDescent="0.25">
      <c r="X1748" s="142"/>
    </row>
    <row r="1749" spans="24:24" x14ac:dyDescent="0.25">
      <c r="X1749" s="142"/>
    </row>
    <row r="1750" spans="24:24" x14ac:dyDescent="0.25">
      <c r="X1750" s="142"/>
    </row>
    <row r="1751" spans="24:24" x14ac:dyDescent="0.25">
      <c r="X1751" s="142"/>
    </row>
    <row r="1752" spans="24:24" x14ac:dyDescent="0.25">
      <c r="X1752" s="142"/>
    </row>
    <row r="1753" spans="24:24" x14ac:dyDescent="0.25">
      <c r="X1753" s="142"/>
    </row>
    <row r="1754" spans="24:24" x14ac:dyDescent="0.25">
      <c r="X1754" s="142"/>
    </row>
    <row r="1755" spans="24:24" x14ac:dyDescent="0.25">
      <c r="X1755" s="142"/>
    </row>
    <row r="1756" spans="24:24" x14ac:dyDescent="0.25">
      <c r="X1756" s="142"/>
    </row>
    <row r="1757" spans="24:24" x14ac:dyDescent="0.25">
      <c r="X1757" s="142"/>
    </row>
    <row r="1758" spans="24:24" x14ac:dyDescent="0.25">
      <c r="X1758" s="142"/>
    </row>
    <row r="1759" spans="24:24" x14ac:dyDescent="0.25">
      <c r="X1759" s="142"/>
    </row>
    <row r="1760" spans="24:24" x14ac:dyDescent="0.25">
      <c r="X1760" s="142"/>
    </row>
    <row r="1761" spans="24:24" x14ac:dyDescent="0.25">
      <c r="X1761" s="142"/>
    </row>
    <row r="1762" spans="24:24" x14ac:dyDescent="0.25">
      <c r="X1762" s="142"/>
    </row>
    <row r="1763" spans="24:24" x14ac:dyDescent="0.25">
      <c r="X1763" s="142"/>
    </row>
    <row r="1764" spans="24:24" x14ac:dyDescent="0.25">
      <c r="X1764" s="142"/>
    </row>
    <row r="1765" spans="24:24" x14ac:dyDescent="0.25">
      <c r="X1765" s="142"/>
    </row>
    <row r="1766" spans="24:24" x14ac:dyDescent="0.25">
      <c r="X1766" s="142"/>
    </row>
    <row r="1767" spans="24:24" x14ac:dyDescent="0.25">
      <c r="X1767" s="142"/>
    </row>
    <row r="1768" spans="24:24" x14ac:dyDescent="0.25">
      <c r="X1768" s="142"/>
    </row>
    <row r="1769" spans="24:24" x14ac:dyDescent="0.25">
      <c r="X1769" s="142"/>
    </row>
    <row r="1770" spans="24:24" x14ac:dyDescent="0.25">
      <c r="X1770" s="142"/>
    </row>
    <row r="1771" spans="24:24" x14ac:dyDescent="0.25">
      <c r="X1771" s="142"/>
    </row>
    <row r="1772" spans="24:24" x14ac:dyDescent="0.25">
      <c r="X1772" s="142"/>
    </row>
    <row r="1773" spans="24:24" x14ac:dyDescent="0.25">
      <c r="X1773" s="142"/>
    </row>
    <row r="1774" spans="24:24" x14ac:dyDescent="0.25">
      <c r="X1774" s="142"/>
    </row>
    <row r="1775" spans="24:24" x14ac:dyDescent="0.25">
      <c r="X1775" s="142"/>
    </row>
    <row r="1776" spans="24:24" x14ac:dyDescent="0.25">
      <c r="X1776" s="142"/>
    </row>
    <row r="1777" spans="24:24" x14ac:dyDescent="0.25">
      <c r="X1777" s="142"/>
    </row>
    <row r="1778" spans="24:24" x14ac:dyDescent="0.25">
      <c r="X1778" s="142"/>
    </row>
    <row r="1779" spans="24:24" x14ac:dyDescent="0.25">
      <c r="X1779" s="142"/>
    </row>
    <row r="1780" spans="24:24" x14ac:dyDescent="0.25">
      <c r="X1780" s="142"/>
    </row>
    <row r="1781" spans="24:24" x14ac:dyDescent="0.25">
      <c r="X1781" s="142"/>
    </row>
    <row r="1782" spans="24:24" x14ac:dyDescent="0.25">
      <c r="X1782" s="142"/>
    </row>
    <row r="1783" spans="24:24" x14ac:dyDescent="0.25">
      <c r="X1783" s="142"/>
    </row>
    <row r="1784" spans="24:24" x14ac:dyDescent="0.25">
      <c r="X1784" s="142"/>
    </row>
    <row r="1785" spans="24:24" x14ac:dyDescent="0.25">
      <c r="X1785" s="142"/>
    </row>
    <row r="1786" spans="24:24" x14ac:dyDescent="0.25">
      <c r="X1786" s="142"/>
    </row>
    <row r="1787" spans="24:24" x14ac:dyDescent="0.25">
      <c r="X1787" s="142"/>
    </row>
    <row r="1788" spans="24:24" x14ac:dyDescent="0.25">
      <c r="X1788" s="142"/>
    </row>
    <row r="1789" spans="24:24" x14ac:dyDescent="0.25">
      <c r="X1789" s="142"/>
    </row>
    <row r="1790" spans="24:24" x14ac:dyDescent="0.25">
      <c r="X1790" s="142"/>
    </row>
  </sheetData>
  <mergeCells count="27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38:F38"/>
    <mergeCell ref="A40:F40"/>
    <mergeCell ref="A42:F42"/>
    <mergeCell ref="A25:F25"/>
    <mergeCell ref="A27:F27"/>
    <mergeCell ref="A29:F29"/>
    <mergeCell ref="A31:F31"/>
    <mergeCell ref="A33:F33"/>
    <mergeCell ref="A35:F35"/>
  </mergeCells>
  <conditionalFormatting sqref="I21:K21 I27:K27 I35:K35 AC35 AC27 AC21 M35:O35 Y35 M27:O27 Y27 M21:O21 Y21 Y42 M42:O42 Q42 Q21 Q27 Q35">
    <cfRule type="cellIs" dxfId="61" priority="61" stopIfTrue="1" operator="greaterThanOrEqual">
      <formula>0</formula>
    </cfRule>
    <cfRule type="cellIs" dxfId="60" priority="62" stopIfTrue="1" operator="lessThan">
      <formula>0</formula>
    </cfRule>
  </conditionalFormatting>
  <conditionalFormatting sqref="U21 U27 U35">
    <cfRule type="cellIs" dxfId="59" priority="59" stopIfTrue="1" operator="greaterThanOrEqual">
      <formula>0</formula>
    </cfRule>
    <cfRule type="cellIs" dxfId="58" priority="60" stopIfTrue="1" operator="lessThan">
      <formula>0</formula>
    </cfRule>
  </conditionalFormatting>
  <conditionalFormatting sqref="T21 T27 T35">
    <cfRule type="cellIs" dxfId="57" priority="57" stopIfTrue="1" operator="greaterThanOrEqual">
      <formula>0</formula>
    </cfRule>
    <cfRule type="cellIs" dxfId="56" priority="58" stopIfTrue="1" operator="lessThan">
      <formula>0</formula>
    </cfRule>
  </conditionalFormatting>
  <conditionalFormatting sqref="S21 S27 S35">
    <cfRule type="cellIs" dxfId="55" priority="55" stopIfTrue="1" operator="greaterThanOrEqual">
      <formula>0</formula>
    </cfRule>
    <cfRule type="cellIs" dxfId="54" priority="56" stopIfTrue="1" operator="lessThan">
      <formula>0</formula>
    </cfRule>
  </conditionalFormatting>
  <conditionalFormatting sqref="AA21 AA27">
    <cfRule type="cellIs" dxfId="53" priority="53" stopIfTrue="1" operator="greaterThanOrEqual">
      <formula>0</formula>
    </cfRule>
    <cfRule type="cellIs" dxfId="52" priority="54" stopIfTrue="1" operator="lessThan">
      <formula>0</formula>
    </cfRule>
  </conditionalFormatting>
  <conditionalFormatting sqref="X21 X27 X35">
    <cfRule type="cellIs" dxfId="51" priority="49" stopIfTrue="1" operator="greaterThanOrEqual">
      <formula>0</formula>
    </cfRule>
    <cfRule type="cellIs" dxfId="50" priority="50" stopIfTrue="1" operator="lessThan">
      <formula>0</formula>
    </cfRule>
  </conditionalFormatting>
  <conditionalFormatting sqref="L21 L27 L35">
    <cfRule type="cellIs" dxfId="49" priority="51" stopIfTrue="1" operator="greaterThanOrEqual">
      <formula>0</formula>
    </cfRule>
    <cfRule type="cellIs" dxfId="48" priority="52" stopIfTrue="1" operator="lessThan">
      <formula>0</formula>
    </cfRule>
  </conditionalFormatting>
  <conditionalFormatting sqref="J42:K42">
    <cfRule type="cellIs" dxfId="47" priority="47" stopIfTrue="1" operator="greaterThanOrEqual">
      <formula>0</formula>
    </cfRule>
    <cfRule type="cellIs" dxfId="46" priority="48" stopIfTrue="1" operator="lessThan">
      <formula>0</formula>
    </cfRule>
  </conditionalFormatting>
  <conditionalFormatting sqref="L42">
    <cfRule type="cellIs" dxfId="45" priority="45" stopIfTrue="1" operator="greaterThanOrEqual">
      <formula>0</formula>
    </cfRule>
    <cfRule type="cellIs" dxfId="44" priority="46" stopIfTrue="1" operator="lessThan">
      <formula>0</formula>
    </cfRule>
  </conditionalFormatting>
  <conditionalFormatting sqref="U42">
    <cfRule type="cellIs" dxfId="43" priority="43" stopIfTrue="1" operator="greaterThanOrEqual">
      <formula>0</formula>
    </cfRule>
    <cfRule type="cellIs" dxfId="42" priority="44" stopIfTrue="1" operator="lessThan">
      <formula>0</formula>
    </cfRule>
  </conditionalFormatting>
  <conditionalFormatting sqref="X42">
    <cfRule type="cellIs" dxfId="41" priority="41" stopIfTrue="1" operator="greaterThanOrEqual">
      <formula>0</formula>
    </cfRule>
    <cfRule type="cellIs" dxfId="40" priority="42" stopIfTrue="1" operator="lessThan">
      <formula>0</formula>
    </cfRule>
  </conditionalFormatting>
  <conditionalFormatting sqref="AC42">
    <cfRule type="cellIs" dxfId="39" priority="39" stopIfTrue="1" operator="greaterThanOrEqual">
      <formula>0</formula>
    </cfRule>
    <cfRule type="cellIs" dxfId="38" priority="40" stopIfTrue="1" operator="lessThan">
      <formula>0</formula>
    </cfRule>
  </conditionalFormatting>
  <conditionalFormatting sqref="T42">
    <cfRule type="cellIs" dxfId="37" priority="37" stopIfTrue="1" operator="greaterThanOrEqual">
      <formula>0</formula>
    </cfRule>
    <cfRule type="cellIs" dxfId="36" priority="38" stopIfTrue="1" operator="lessThan">
      <formula>0</formula>
    </cfRule>
  </conditionalFormatting>
  <conditionalFormatting sqref="S42">
    <cfRule type="cellIs" dxfId="35" priority="35" stopIfTrue="1" operator="greaterThanOrEqual">
      <formula>0</formula>
    </cfRule>
    <cfRule type="cellIs" dxfId="34" priority="36" stopIfTrue="1" operator="lessThan">
      <formula>0</formula>
    </cfRule>
  </conditionalFormatting>
  <conditionalFormatting sqref="AA42">
    <cfRule type="cellIs" dxfId="33" priority="33" stopIfTrue="1" operator="greaterThanOrEqual">
      <formula>0</formula>
    </cfRule>
    <cfRule type="cellIs" dxfId="32" priority="34" stopIfTrue="1" operator="lessThan">
      <formula>0</formula>
    </cfRule>
  </conditionalFormatting>
  <conditionalFormatting sqref="Z21 Z27 Z35">
    <cfRule type="cellIs" dxfId="31" priority="31" stopIfTrue="1" operator="greaterThanOrEqual">
      <formula>0</formula>
    </cfRule>
    <cfRule type="cellIs" dxfId="30" priority="32" stopIfTrue="1" operator="lessThan">
      <formula>0</formula>
    </cfRule>
  </conditionalFormatting>
  <conditionalFormatting sqref="Z42">
    <cfRule type="cellIs" dxfId="29" priority="29" stopIfTrue="1" operator="greaterThanOrEqual">
      <formula>0</formula>
    </cfRule>
    <cfRule type="cellIs" dxfId="28" priority="30" stopIfTrue="1" operator="lessThan">
      <formula>0</formula>
    </cfRule>
  </conditionalFormatting>
  <conditionalFormatting sqref="AB21 AB27 AB35">
    <cfRule type="cellIs" dxfId="27" priority="27" stopIfTrue="1" operator="greaterThanOrEqual">
      <formula>0</formula>
    </cfRule>
    <cfRule type="cellIs" dxfId="26" priority="28" stopIfTrue="1" operator="lessThan">
      <formula>0</formula>
    </cfRule>
  </conditionalFormatting>
  <conditionalFormatting sqref="AB42">
    <cfRule type="cellIs" dxfId="25" priority="25" stopIfTrue="1" operator="greaterThanOrEqual">
      <formula>0</formula>
    </cfRule>
    <cfRule type="cellIs" dxfId="24" priority="26" stopIfTrue="1" operator="lessThan">
      <formula>0</formula>
    </cfRule>
  </conditionalFormatting>
  <conditionalFormatting sqref="I42">
    <cfRule type="cellIs" dxfId="23" priority="23" stopIfTrue="1" operator="greaterThanOrEqual">
      <formula>0</formula>
    </cfRule>
    <cfRule type="cellIs" dxfId="22" priority="24" stopIfTrue="1" operator="lessThan">
      <formula>0</formula>
    </cfRule>
  </conditionalFormatting>
  <conditionalFormatting sqref="V27 V35">
    <cfRule type="cellIs" dxfId="21" priority="21" stopIfTrue="1" operator="greaterThanOrEqual">
      <formula>0</formula>
    </cfRule>
    <cfRule type="cellIs" dxfId="20" priority="22" stopIfTrue="1" operator="lessThan">
      <formula>0</formula>
    </cfRule>
  </conditionalFormatting>
  <conditionalFormatting sqref="V42">
    <cfRule type="cellIs" dxfId="19" priority="19" stopIfTrue="1" operator="greaterThanOrEqual">
      <formula>0</formula>
    </cfRule>
    <cfRule type="cellIs" dxfId="18" priority="20" stopIfTrue="1" operator="lessThan">
      <formula>0</formula>
    </cfRule>
  </conditionalFormatting>
  <conditionalFormatting sqref="V21">
    <cfRule type="cellIs" dxfId="17" priority="17" stopIfTrue="1" operator="greaterThanOrEqual">
      <formula>0</formula>
    </cfRule>
    <cfRule type="cellIs" dxfId="16" priority="18" stopIfTrue="1" operator="lessThan">
      <formula>0</formula>
    </cfRule>
  </conditionalFormatting>
  <conditionalFormatting sqref="R35 R27 R21">
    <cfRule type="cellIs" dxfId="15" priority="15" stopIfTrue="1" operator="greaterThanOrEqual">
      <formula>0</formula>
    </cfRule>
    <cfRule type="cellIs" dxfId="14" priority="16" stopIfTrue="1" operator="lessThan">
      <formula>0</formula>
    </cfRule>
  </conditionalFormatting>
  <conditionalFormatting sqref="P21 P27 P35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P42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W27 W35">
    <cfRule type="cellIs" dxfId="9" priority="9" stopIfTrue="1" operator="greaterThanOrEqual">
      <formula>0</formula>
    </cfRule>
    <cfRule type="cellIs" dxfId="8" priority="10" stopIfTrue="1" operator="lessThan">
      <formula>0</formula>
    </cfRule>
  </conditionalFormatting>
  <conditionalFormatting sqref="W42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W21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R42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AA35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4" workbookViewId="0">
      <selection sqref="A1:XFD1048576"/>
    </sheetView>
  </sheetViews>
  <sheetFormatPr defaultRowHeight="15" x14ac:dyDescent="0.25"/>
  <cols>
    <col min="1" max="1" width="29.140625" customWidth="1"/>
    <col min="2" max="2" width="56.28515625" customWidth="1"/>
    <col min="3" max="3" width="27" customWidth="1"/>
    <col min="4" max="4" width="22.7109375" customWidth="1"/>
    <col min="5" max="5" width="12.140625" customWidth="1"/>
    <col min="6" max="6" width="22.140625" customWidth="1"/>
  </cols>
  <sheetData>
    <row r="1" spans="1:6" ht="18" x14ac:dyDescent="0.25">
      <c r="A1" s="101" t="s">
        <v>59</v>
      </c>
    </row>
    <row r="2" spans="1:6" ht="23.25" customHeight="1" x14ac:dyDescent="0.25">
      <c r="A2" s="350" t="s">
        <v>60</v>
      </c>
      <c r="B2" s="350"/>
      <c r="D2" s="116" t="s">
        <v>56</v>
      </c>
      <c r="E2" s="116"/>
    </row>
    <row r="3" spans="1:6" ht="15.75" thickBot="1" x14ac:dyDescent="0.3"/>
    <row r="4" spans="1:6" ht="15.75" thickBot="1" x14ac:dyDescent="0.3">
      <c r="A4" s="102">
        <v>73</v>
      </c>
      <c r="B4" s="351" t="s">
        <v>34</v>
      </c>
      <c r="C4" s="352"/>
      <c r="D4" s="103">
        <f>SUM(D5:D7)+D8</f>
        <v>12506966.669999996</v>
      </c>
      <c r="F4" t="s">
        <v>56</v>
      </c>
    </row>
    <row r="5" spans="1:6" x14ac:dyDescent="0.25">
      <c r="A5" s="104" t="s">
        <v>61</v>
      </c>
      <c r="B5" s="353" t="s">
        <v>62</v>
      </c>
      <c r="C5" s="354"/>
      <c r="D5" s="105">
        <v>0</v>
      </c>
    </row>
    <row r="6" spans="1:6" x14ac:dyDescent="0.25">
      <c r="A6" s="104" t="s">
        <v>63</v>
      </c>
      <c r="B6" s="355" t="s">
        <v>64</v>
      </c>
      <c r="C6" s="356"/>
      <c r="D6" s="105">
        <f>80+1882.5</f>
        <v>1962.5</v>
      </c>
    </row>
    <row r="7" spans="1:6" ht="15.75" thickBot="1" x14ac:dyDescent="0.3">
      <c r="A7" s="106" t="s">
        <v>65</v>
      </c>
      <c r="B7" s="357" t="s">
        <v>66</v>
      </c>
      <c r="C7" s="358"/>
      <c r="D7" s="107">
        <v>0</v>
      </c>
    </row>
    <row r="8" spans="1:6" ht="47.25" customHeight="1" thickBot="1" x14ac:dyDescent="0.3">
      <c r="A8" s="217" t="s">
        <v>67</v>
      </c>
      <c r="B8" s="359" t="s">
        <v>68</v>
      </c>
      <c r="C8" s="360"/>
      <c r="D8" s="218">
        <f>SUM(D10:D57)</f>
        <v>12505004.169999996</v>
      </c>
    </row>
    <row r="9" spans="1:6" ht="15.75" thickBot="1" x14ac:dyDescent="0.3">
      <c r="A9" s="109" t="s">
        <v>69</v>
      </c>
      <c r="B9" s="110" t="s">
        <v>70</v>
      </c>
      <c r="C9" s="111" t="s">
        <v>71</v>
      </c>
      <c r="D9" s="112" t="s">
        <v>72</v>
      </c>
    </row>
    <row r="10" spans="1:6" x14ac:dyDescent="0.25">
      <c r="A10" s="113" t="s">
        <v>73</v>
      </c>
      <c r="B10" s="114" t="s">
        <v>79</v>
      </c>
      <c r="C10" s="115" t="s">
        <v>75</v>
      </c>
      <c r="D10" s="105">
        <v>294690.55</v>
      </c>
      <c r="E10" s="116"/>
      <c r="F10" s="116"/>
    </row>
    <row r="11" spans="1:6" x14ac:dyDescent="0.25">
      <c r="A11" s="119" t="s">
        <v>75</v>
      </c>
      <c r="B11" s="120" t="s">
        <v>83</v>
      </c>
      <c r="C11" s="295" t="s">
        <v>75</v>
      </c>
      <c r="D11" s="122">
        <v>9989180.1799999997</v>
      </c>
      <c r="F11" s="116"/>
    </row>
    <row r="12" spans="1:6" x14ac:dyDescent="0.25">
      <c r="A12" s="296" t="s">
        <v>75</v>
      </c>
      <c r="B12" s="134" t="s">
        <v>216</v>
      </c>
      <c r="C12" s="229" t="s">
        <v>134</v>
      </c>
      <c r="D12" s="297">
        <v>-8354.85</v>
      </c>
      <c r="F12" s="116"/>
    </row>
    <row r="13" spans="1:6" x14ac:dyDescent="0.25">
      <c r="A13" s="298" t="s">
        <v>114</v>
      </c>
      <c r="B13" s="299" t="s">
        <v>116</v>
      </c>
      <c r="C13" s="300" t="s">
        <v>75</v>
      </c>
      <c r="D13" s="301">
        <v>4091.6</v>
      </c>
      <c r="E13" s="302"/>
      <c r="F13" s="302"/>
    </row>
    <row r="14" spans="1:6" x14ac:dyDescent="0.25">
      <c r="A14" s="113" t="s">
        <v>191</v>
      </c>
      <c r="B14" s="114" t="s">
        <v>217</v>
      </c>
      <c r="C14" s="115" t="s">
        <v>75</v>
      </c>
      <c r="D14" s="105">
        <v>3000</v>
      </c>
      <c r="E14" s="116"/>
    </row>
    <row r="15" spans="1:6" x14ac:dyDescent="0.25">
      <c r="A15" s="113" t="s">
        <v>107</v>
      </c>
      <c r="B15" s="114" t="s">
        <v>218</v>
      </c>
      <c r="C15" s="300" t="s">
        <v>75</v>
      </c>
      <c r="D15" s="105">
        <f>2700*4</f>
        <v>10800</v>
      </c>
      <c r="E15" s="116"/>
    </row>
    <row r="16" spans="1:6" x14ac:dyDescent="0.25">
      <c r="A16" s="113" t="s">
        <v>188</v>
      </c>
      <c r="B16" s="114" t="s">
        <v>104</v>
      </c>
      <c r="C16" s="300" t="s">
        <v>75</v>
      </c>
      <c r="D16" s="105">
        <v>2940</v>
      </c>
      <c r="E16" s="116"/>
    </row>
    <row r="17" spans="1:5" x14ac:dyDescent="0.25">
      <c r="A17" s="113" t="s">
        <v>105</v>
      </c>
      <c r="B17" s="114" t="s">
        <v>104</v>
      </c>
      <c r="C17" s="300" t="s">
        <v>75</v>
      </c>
      <c r="D17" s="105">
        <f>4*1764.5</f>
        <v>7058</v>
      </c>
      <c r="E17" s="116"/>
    </row>
    <row r="18" spans="1:5" x14ac:dyDescent="0.25">
      <c r="A18" s="113" t="s">
        <v>190</v>
      </c>
      <c r="B18" s="114" t="s">
        <v>104</v>
      </c>
      <c r="C18" s="300" t="s">
        <v>75</v>
      </c>
      <c r="D18" s="105">
        <v>1560</v>
      </c>
      <c r="E18" s="116"/>
    </row>
    <row r="19" spans="1:5" x14ac:dyDescent="0.25">
      <c r="A19" s="113" t="s">
        <v>103</v>
      </c>
      <c r="B19" s="114" t="s">
        <v>104</v>
      </c>
      <c r="C19" s="115" t="s">
        <v>75</v>
      </c>
      <c r="D19" s="105">
        <f>233.25*12</f>
        <v>2799</v>
      </c>
      <c r="E19" s="116"/>
    </row>
    <row r="20" spans="1:5" x14ac:dyDescent="0.25">
      <c r="A20" s="113" t="s">
        <v>93</v>
      </c>
      <c r="B20" s="114" t="s">
        <v>94</v>
      </c>
      <c r="C20" s="115" t="s">
        <v>75</v>
      </c>
      <c r="D20" s="105">
        <v>248</v>
      </c>
      <c r="E20" s="116"/>
    </row>
    <row r="21" spans="1:5" x14ac:dyDescent="0.25">
      <c r="A21" s="113" t="s">
        <v>184</v>
      </c>
      <c r="B21" s="114" t="s">
        <v>94</v>
      </c>
      <c r="C21" s="115" t="s">
        <v>75</v>
      </c>
      <c r="D21" s="105">
        <v>400</v>
      </c>
      <c r="E21" s="116"/>
    </row>
    <row r="22" spans="1:5" x14ac:dyDescent="0.25">
      <c r="A22" s="113" t="s">
        <v>99</v>
      </c>
      <c r="B22" s="114" t="s">
        <v>94</v>
      </c>
      <c r="C22" s="115" t="s">
        <v>75</v>
      </c>
      <c r="D22" s="105">
        <v>124</v>
      </c>
      <c r="E22" s="116"/>
    </row>
    <row r="23" spans="1:5" x14ac:dyDescent="0.25">
      <c r="A23" s="113" t="s">
        <v>96</v>
      </c>
      <c r="B23" s="114" t="s">
        <v>94</v>
      </c>
      <c r="C23" s="115" t="s">
        <v>75</v>
      </c>
      <c r="D23" s="105">
        <f>124*3</f>
        <v>372</v>
      </c>
      <c r="E23" s="116"/>
    </row>
    <row r="24" spans="1:5" x14ac:dyDescent="0.25">
      <c r="A24" s="113" t="s">
        <v>106</v>
      </c>
      <c r="B24" s="114" t="s">
        <v>94</v>
      </c>
      <c r="C24" s="300" t="s">
        <v>75</v>
      </c>
      <c r="D24" s="105">
        <f>2500*4</f>
        <v>10000</v>
      </c>
      <c r="E24" s="116"/>
    </row>
    <row r="25" spans="1:5" x14ac:dyDescent="0.25">
      <c r="A25" s="113" t="s">
        <v>95</v>
      </c>
      <c r="B25" s="114" t="s">
        <v>94</v>
      </c>
      <c r="C25" s="303" t="s">
        <v>75</v>
      </c>
      <c r="D25" s="105">
        <f>250+16113+750+6197</f>
        <v>23310</v>
      </c>
      <c r="E25" s="116"/>
    </row>
    <row r="26" spans="1:5" x14ac:dyDescent="0.25">
      <c r="A26" s="113" t="s">
        <v>117</v>
      </c>
      <c r="B26" s="299" t="s">
        <v>118</v>
      </c>
      <c r="C26" s="219" t="s">
        <v>75</v>
      </c>
      <c r="D26" s="301">
        <v>9650</v>
      </c>
      <c r="E26" s="116"/>
    </row>
    <row r="27" spans="1:5" x14ac:dyDescent="0.25">
      <c r="A27" s="296" t="s">
        <v>90</v>
      </c>
      <c r="B27" s="114" t="s">
        <v>87</v>
      </c>
      <c r="C27" s="304" t="s">
        <v>75</v>
      </c>
      <c r="D27" s="105">
        <v>-12315.96</v>
      </c>
      <c r="E27" s="116"/>
    </row>
    <row r="28" spans="1:5" x14ac:dyDescent="0.25">
      <c r="A28" s="113" t="s">
        <v>86</v>
      </c>
      <c r="B28" s="135" t="s">
        <v>87</v>
      </c>
      <c r="C28" s="305" t="s">
        <v>75</v>
      </c>
      <c r="D28" s="105">
        <v>417478.87</v>
      </c>
      <c r="E28" s="116"/>
    </row>
    <row r="29" spans="1:5" x14ac:dyDescent="0.25">
      <c r="A29" s="113" t="s">
        <v>219</v>
      </c>
      <c r="B29" s="114" t="s">
        <v>87</v>
      </c>
      <c r="C29" s="115" t="s">
        <v>75</v>
      </c>
      <c r="D29" s="105">
        <v>30552.22</v>
      </c>
      <c r="E29" s="116"/>
    </row>
    <row r="30" spans="1:5" x14ac:dyDescent="0.25">
      <c r="A30" s="298" t="s">
        <v>114</v>
      </c>
      <c r="B30" s="306" t="s">
        <v>115</v>
      </c>
      <c r="C30" s="307" t="s">
        <v>75</v>
      </c>
      <c r="D30" s="301">
        <v>620</v>
      </c>
      <c r="E30" s="116"/>
    </row>
    <row r="31" spans="1:5" x14ac:dyDescent="0.25">
      <c r="A31" s="308" t="s">
        <v>75</v>
      </c>
      <c r="B31" s="309" t="s">
        <v>85</v>
      </c>
      <c r="C31" s="310" t="s">
        <v>75</v>
      </c>
      <c r="D31" s="311">
        <v>6250</v>
      </c>
      <c r="E31" s="116"/>
    </row>
    <row r="32" spans="1:5" x14ac:dyDescent="0.25">
      <c r="A32" s="312" t="s">
        <v>220</v>
      </c>
      <c r="B32" s="134" t="s">
        <v>221</v>
      </c>
      <c r="C32" s="229" t="s">
        <v>75</v>
      </c>
      <c r="D32" s="313">
        <v>20000</v>
      </c>
      <c r="E32" s="116"/>
    </row>
    <row r="33" spans="1:6" x14ac:dyDescent="0.25">
      <c r="A33" s="225" t="s">
        <v>222</v>
      </c>
      <c r="B33" s="134" t="s">
        <v>223</v>
      </c>
      <c r="C33" s="237" t="s">
        <v>75</v>
      </c>
      <c r="D33" s="313">
        <v>2000</v>
      </c>
      <c r="E33" s="116"/>
    </row>
    <row r="34" spans="1:6" x14ac:dyDescent="0.25">
      <c r="A34" s="113" t="s">
        <v>75</v>
      </c>
      <c r="B34" s="134" t="s">
        <v>224</v>
      </c>
      <c r="C34" s="229" t="s">
        <v>75</v>
      </c>
      <c r="D34" s="297">
        <v>1398.18</v>
      </c>
      <c r="E34" s="116"/>
    </row>
    <row r="35" spans="1:6" x14ac:dyDescent="0.25">
      <c r="A35" s="298" t="s">
        <v>225</v>
      </c>
      <c r="B35" s="306" t="s">
        <v>226</v>
      </c>
      <c r="C35" s="307" t="s">
        <v>75</v>
      </c>
      <c r="D35" s="105">
        <v>2916.67</v>
      </c>
      <c r="E35" s="116"/>
    </row>
    <row r="36" spans="1:6" x14ac:dyDescent="0.25">
      <c r="A36" s="113" t="s">
        <v>75</v>
      </c>
      <c r="B36" s="114" t="s">
        <v>227</v>
      </c>
      <c r="C36" s="229" t="s">
        <v>228</v>
      </c>
      <c r="D36" s="105">
        <v>601595.16</v>
      </c>
      <c r="E36" s="116"/>
    </row>
    <row r="37" spans="1:6" x14ac:dyDescent="0.25">
      <c r="A37" s="113" t="s">
        <v>75</v>
      </c>
      <c r="B37" s="114" t="s">
        <v>137</v>
      </c>
      <c r="C37" s="135" t="s">
        <v>138</v>
      </c>
      <c r="D37" s="105">
        <v>9323.2000000000007</v>
      </c>
      <c r="E37" s="116"/>
    </row>
    <row r="38" spans="1:6" x14ac:dyDescent="0.25">
      <c r="A38" s="296" t="s">
        <v>75</v>
      </c>
      <c r="B38" s="134" t="s">
        <v>139</v>
      </c>
      <c r="C38" s="314" t="s">
        <v>139</v>
      </c>
      <c r="D38" s="297">
        <v>325745.86</v>
      </c>
      <c r="E38" s="116"/>
    </row>
    <row r="39" spans="1:6" x14ac:dyDescent="0.25">
      <c r="A39" s="113" t="s">
        <v>75</v>
      </c>
      <c r="B39" s="135" t="s">
        <v>140</v>
      </c>
      <c r="C39" s="315" t="s">
        <v>141</v>
      </c>
      <c r="D39" s="105">
        <v>160703.46</v>
      </c>
      <c r="E39" s="302"/>
      <c r="F39" s="302"/>
    </row>
    <row r="40" spans="1:6" x14ac:dyDescent="0.25">
      <c r="A40" s="298" t="s">
        <v>225</v>
      </c>
      <c r="B40" s="306" t="s">
        <v>229</v>
      </c>
      <c r="C40" s="315" t="s">
        <v>141</v>
      </c>
      <c r="D40" s="301">
        <v>6666.67</v>
      </c>
      <c r="E40" s="302"/>
      <c r="F40" s="302"/>
    </row>
    <row r="41" spans="1:6" x14ac:dyDescent="0.25">
      <c r="A41" s="298" t="s">
        <v>192</v>
      </c>
      <c r="B41" s="114" t="s">
        <v>193</v>
      </c>
      <c r="C41" s="306" t="s">
        <v>141</v>
      </c>
      <c r="D41" s="301">
        <v>3000</v>
      </c>
      <c r="E41" s="302"/>
      <c r="F41" s="302"/>
    </row>
    <row r="42" spans="1:6" x14ac:dyDescent="0.25">
      <c r="A42" s="113" t="s">
        <v>75</v>
      </c>
      <c r="B42" s="114" t="s">
        <v>230</v>
      </c>
      <c r="C42" s="306" t="s">
        <v>231</v>
      </c>
      <c r="D42" s="105">
        <v>75000</v>
      </c>
    </row>
    <row r="43" spans="1:6" x14ac:dyDescent="0.25">
      <c r="A43" s="225" t="s">
        <v>119</v>
      </c>
      <c r="B43" s="135" t="s">
        <v>232</v>
      </c>
      <c r="C43" s="231" t="s">
        <v>233</v>
      </c>
      <c r="D43" s="301">
        <v>100000</v>
      </c>
    </row>
    <row r="44" spans="1:6" s="302" customFormat="1" x14ac:dyDescent="0.25">
      <c r="A44" s="225" t="s">
        <v>234</v>
      </c>
      <c r="B44" s="134" t="s">
        <v>235</v>
      </c>
      <c r="C44" s="229" t="s">
        <v>233</v>
      </c>
      <c r="D44" s="301">
        <v>7500</v>
      </c>
      <c r="E44" s="116"/>
      <c r="F44"/>
    </row>
    <row r="45" spans="1:6" x14ac:dyDescent="0.25">
      <c r="A45" s="113" t="s">
        <v>119</v>
      </c>
      <c r="B45" s="135" t="s">
        <v>194</v>
      </c>
      <c r="C45" s="230" t="s">
        <v>236</v>
      </c>
      <c r="D45" s="105">
        <f>11496.73+2874.18</f>
        <v>14370.91</v>
      </c>
    </row>
    <row r="46" spans="1:6" x14ac:dyDescent="0.25">
      <c r="A46" s="296" t="s">
        <v>149</v>
      </c>
      <c r="B46" s="134" t="s">
        <v>186</v>
      </c>
      <c r="C46" s="303" t="s">
        <v>237</v>
      </c>
      <c r="D46" s="297">
        <f>3296.33+1500</f>
        <v>4796.33</v>
      </c>
    </row>
    <row r="47" spans="1:6" x14ac:dyDescent="0.25">
      <c r="A47" s="296" t="s">
        <v>154</v>
      </c>
      <c r="B47" s="134" t="s">
        <v>197</v>
      </c>
      <c r="C47" s="303" t="s">
        <v>154</v>
      </c>
      <c r="D47" s="297">
        <f>7391.16*4</f>
        <v>29564.639999999999</v>
      </c>
    </row>
    <row r="48" spans="1:6" x14ac:dyDescent="0.25">
      <c r="A48" s="113" t="s">
        <v>149</v>
      </c>
      <c r="B48" s="135" t="s">
        <v>152</v>
      </c>
      <c r="C48" s="233" t="s">
        <v>153</v>
      </c>
      <c r="D48" s="105">
        <f>30000+10000</f>
        <v>40000</v>
      </c>
    </row>
    <row r="49" spans="1:5" x14ac:dyDescent="0.25">
      <c r="A49" s="113" t="s">
        <v>147</v>
      </c>
      <c r="B49" s="135" t="s">
        <v>148</v>
      </c>
      <c r="C49" s="233" t="s">
        <v>147</v>
      </c>
      <c r="D49" s="105">
        <f>8697.51*4</f>
        <v>34790.04</v>
      </c>
    </row>
    <row r="50" spans="1:5" x14ac:dyDescent="0.25">
      <c r="A50" s="296" t="s">
        <v>110</v>
      </c>
      <c r="B50" s="134" t="s">
        <v>198</v>
      </c>
      <c r="C50" s="316" t="s">
        <v>110</v>
      </c>
      <c r="D50" s="297">
        <v>50000</v>
      </c>
    </row>
    <row r="51" spans="1:5" ht="15" customHeight="1" x14ac:dyDescent="0.25">
      <c r="A51" s="298" t="s">
        <v>225</v>
      </c>
      <c r="B51" s="306" t="s">
        <v>198</v>
      </c>
      <c r="C51" s="307" t="s">
        <v>225</v>
      </c>
      <c r="D51" s="301">
        <v>4166.66</v>
      </c>
    </row>
    <row r="52" spans="1:5" ht="15" customHeight="1" x14ac:dyDescent="0.25">
      <c r="A52" s="113" t="s">
        <v>200</v>
      </c>
      <c r="B52" s="135" t="s">
        <v>146</v>
      </c>
      <c r="C52" s="233" t="s">
        <v>238</v>
      </c>
      <c r="D52" s="105">
        <f>10385.85+3740.02+8000</f>
        <v>22125.870000000003</v>
      </c>
    </row>
    <row r="53" spans="1:5" x14ac:dyDescent="0.25">
      <c r="A53" s="113" t="s">
        <v>202</v>
      </c>
      <c r="B53" s="135" t="s">
        <v>143</v>
      </c>
      <c r="C53" s="233" t="s">
        <v>239</v>
      </c>
      <c r="D53" s="105">
        <f>11744.6+11274.83+28657.17</f>
        <v>51676.6</v>
      </c>
    </row>
    <row r="54" spans="1:5" x14ac:dyDescent="0.25">
      <c r="A54" s="298" t="s">
        <v>155</v>
      </c>
      <c r="B54" s="306" t="s">
        <v>156</v>
      </c>
      <c r="C54" s="317" t="s">
        <v>157</v>
      </c>
      <c r="D54" s="301">
        <v>44112.79</v>
      </c>
    </row>
    <row r="55" spans="1:5" x14ac:dyDescent="0.25">
      <c r="A55" s="298" t="s">
        <v>173</v>
      </c>
      <c r="B55" s="318" t="s">
        <v>174</v>
      </c>
      <c r="C55" s="319" t="s">
        <v>173</v>
      </c>
      <c r="D55" s="301">
        <v>44807.28</v>
      </c>
    </row>
    <row r="56" spans="1:5" x14ac:dyDescent="0.25">
      <c r="A56" s="320" t="s">
        <v>167</v>
      </c>
      <c r="B56" s="321" t="s">
        <v>168</v>
      </c>
      <c r="C56" s="233" t="s">
        <v>169</v>
      </c>
      <c r="D56" s="105">
        <v>51790.239999999998</v>
      </c>
      <c r="E56" s="116"/>
    </row>
    <row r="57" spans="1:5" x14ac:dyDescent="0.25">
      <c r="A57" s="322" t="s">
        <v>204</v>
      </c>
      <c r="B57" s="134" t="s">
        <v>205</v>
      </c>
      <c r="C57" s="323" t="s">
        <v>206</v>
      </c>
      <c r="D57" s="313">
        <v>2500</v>
      </c>
    </row>
    <row r="63" spans="1:5" x14ac:dyDescent="0.25">
      <c r="E63" s="116"/>
    </row>
    <row r="64" spans="1:5" x14ac:dyDescent="0.25">
      <c r="E64" s="116"/>
    </row>
    <row r="65" spans="1:5" x14ac:dyDescent="0.25">
      <c r="E65" s="116"/>
    </row>
    <row r="66" spans="1:5" x14ac:dyDescent="0.25">
      <c r="A66" s="140"/>
      <c r="B66" s="140"/>
      <c r="D66" s="116"/>
    </row>
    <row r="67" spans="1:5" x14ac:dyDescent="0.25">
      <c r="D67" s="116"/>
    </row>
    <row r="68" spans="1:5" x14ac:dyDescent="0.25">
      <c r="D68" s="116"/>
    </row>
    <row r="70" spans="1:5" x14ac:dyDescent="0.25">
      <c r="D70" s="116"/>
    </row>
  </sheetData>
  <mergeCells count="6">
    <mergeCell ref="B8:C8"/>
    <mergeCell ref="A2:B2"/>
    <mergeCell ref="B4:C4"/>
    <mergeCell ref="B5:C5"/>
    <mergeCell ref="B6:C6"/>
    <mergeCell ref="B7:C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3" ma:contentTypeDescription="Een nieuw document maken." ma:contentTypeScope="" ma:versionID="b89bbd0d09405f89a02fcb80abfcd489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c870eaddf530558e2783b93f80590d3d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5CDE56-2F56-4C68-A308-393D0A015D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035EED-D150-4E8E-B0CE-A264460881B9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e58823c3-9226-4bb7-a434-941750dd958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4F991EC-BED3-46C7-B4D8-EC6C27E48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RRAC14</vt:lpstr>
      <vt:lpstr>14Detail73</vt:lpstr>
      <vt:lpstr>RRAC15</vt:lpstr>
      <vt:lpstr>15Detail73</vt:lpstr>
      <vt:lpstr>RRAC16</vt:lpstr>
      <vt:lpstr>16Detail73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Droogenbroeck, Daniel</dc:creator>
  <cp:lastModifiedBy>Van Neste, Ulrike</cp:lastModifiedBy>
  <dcterms:created xsi:type="dcterms:W3CDTF">2017-12-22T06:56:23Z</dcterms:created>
  <dcterms:modified xsi:type="dcterms:W3CDTF">2018-01-03T08:32:56Z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_docset_NoMedatataSyncRequired">
    <vt:lpwstr>False</vt:lpwstr>
  </property>
</Properties>
</file>