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kabinetvandeurzen.vo.proximuscloudsharepoint.be/sec/SV/PV 2017-2018/SV 179 Centra algemeen welzijnswerk (CAW's) - Financiering/"/>
    </mc:Choice>
  </mc:AlternateContent>
  <bookViews>
    <workbookView xWindow="0" yWindow="0" windowWidth="23040" windowHeight="8790" activeTab="4"/>
  </bookViews>
  <sheets>
    <sheet name="RRAC14" sheetId="1" r:id="rId1"/>
    <sheet name="14Detail73" sheetId="2" r:id="rId2"/>
    <sheet name="RRAC15" sheetId="3" r:id="rId3"/>
    <sheet name="15Detail73" sheetId="4" r:id="rId4"/>
    <sheet name="RRAC16" sheetId="5" r:id="rId5"/>
    <sheet name="16Detail73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6" l="1"/>
  <c r="D16" i="6"/>
  <c r="D9" i="6"/>
  <c r="D5" i="6" s="1"/>
  <c r="D7" i="6"/>
  <c r="S31" i="5" l="1"/>
  <c r="S29" i="5"/>
  <c r="S25" i="5"/>
  <c r="S23" i="5"/>
  <c r="S20" i="5"/>
  <c r="S19" i="5"/>
  <c r="S18" i="5"/>
  <c r="K18" i="5"/>
  <c r="J18" i="5"/>
  <c r="J17" i="5"/>
  <c r="I17" i="5"/>
  <c r="S17" i="5" s="1"/>
  <c r="S16" i="5"/>
  <c r="J16" i="5"/>
  <c r="T15" i="5"/>
  <c r="P15" i="5"/>
  <c r="J15" i="5" s="1"/>
  <c r="S15" i="5" s="1"/>
  <c r="P14" i="5"/>
  <c r="O14" i="5"/>
  <c r="N14" i="5"/>
  <c r="L14" i="5"/>
  <c r="J14" i="5" s="1"/>
  <c r="S14" i="5" s="1"/>
  <c r="K14" i="5"/>
  <c r="P13" i="5"/>
  <c r="O13" i="5"/>
  <c r="K13" i="5"/>
  <c r="I13" i="5"/>
  <c r="P12" i="5"/>
  <c r="J12" i="5"/>
  <c r="S12" i="5" s="1"/>
  <c r="S11" i="5"/>
  <c r="R10" i="5"/>
  <c r="Q10" i="5"/>
  <c r="Q9" i="5" s="1"/>
  <c r="Q21" i="5" s="1"/>
  <c r="Q27" i="5" s="1"/>
  <c r="Q33" i="5" s="1"/>
  <c r="P10" i="5"/>
  <c r="O10" i="5"/>
  <c r="N10" i="5"/>
  <c r="M10" i="5"/>
  <c r="M9" i="5" s="1"/>
  <c r="M21" i="5" s="1"/>
  <c r="M27" i="5" s="1"/>
  <c r="M33" i="5" s="1"/>
  <c r="L10" i="5"/>
  <c r="L13" i="5" s="1"/>
  <c r="K10" i="5"/>
  <c r="I10" i="5"/>
  <c r="R9" i="5"/>
  <c r="R21" i="5" s="1"/>
  <c r="R27" i="5" s="1"/>
  <c r="R33" i="5" s="1"/>
  <c r="P9" i="5"/>
  <c r="P21" i="5" s="1"/>
  <c r="P27" i="5" s="1"/>
  <c r="P33" i="5" s="1"/>
  <c r="O9" i="5"/>
  <c r="O21" i="5" s="1"/>
  <c r="O27" i="5" s="1"/>
  <c r="O33" i="5" s="1"/>
  <c r="N9" i="5"/>
  <c r="N21" i="5" s="1"/>
  <c r="N27" i="5" s="1"/>
  <c r="N33" i="5" s="1"/>
  <c r="K9" i="5"/>
  <c r="K21" i="5" s="1"/>
  <c r="K27" i="5" s="1"/>
  <c r="K33" i="5" s="1"/>
  <c r="Q5" i="5"/>
  <c r="P5" i="5"/>
  <c r="O5" i="5"/>
  <c r="N5" i="5"/>
  <c r="J5" i="5" s="1"/>
  <c r="S5" i="5" s="1"/>
  <c r="J13" i="5" l="1"/>
  <c r="S13" i="5" s="1"/>
  <c r="L9" i="5"/>
  <c r="L21" i="5" s="1"/>
  <c r="L27" i="5" s="1"/>
  <c r="L33" i="5" s="1"/>
  <c r="I9" i="5"/>
  <c r="J10" i="5"/>
  <c r="J9" i="5" s="1"/>
  <c r="J21" i="5" s="1"/>
  <c r="J27" i="5" s="1"/>
  <c r="J33" i="5" s="1"/>
  <c r="I21" i="5" l="1"/>
  <c r="I27" i="5" s="1"/>
  <c r="I33" i="5" s="1"/>
  <c r="S9" i="5"/>
  <c r="S21" i="5" s="1"/>
  <c r="S27" i="5" s="1"/>
  <c r="S33" i="5" s="1"/>
  <c r="S10" i="5"/>
  <c r="D16" i="4" l="1"/>
  <c r="D9" i="4"/>
  <c r="D7" i="4"/>
  <c r="D5" i="4"/>
  <c r="R31" i="3" l="1"/>
  <c r="R29" i="3"/>
  <c r="R25" i="3"/>
  <c r="R23" i="3"/>
  <c r="R19" i="3"/>
  <c r="Q18" i="3"/>
  <c r="N18" i="3"/>
  <c r="K18" i="3"/>
  <c r="J18" i="3"/>
  <c r="R18" i="3" s="1"/>
  <c r="I17" i="3"/>
  <c r="R17" i="3" s="1"/>
  <c r="R16" i="3"/>
  <c r="R15" i="3"/>
  <c r="Q14" i="3"/>
  <c r="P14" i="3"/>
  <c r="O14" i="3"/>
  <c r="N14" i="3"/>
  <c r="L14" i="3"/>
  <c r="K14" i="3"/>
  <c r="J14" i="3"/>
  <c r="R14" i="3" s="1"/>
  <c r="Q13" i="3"/>
  <c r="P13" i="3"/>
  <c r="O13" i="3"/>
  <c r="J13" i="3" s="1"/>
  <c r="N13" i="3"/>
  <c r="L13" i="3"/>
  <c r="K13" i="3"/>
  <c r="I13" i="3"/>
  <c r="R13" i="3" s="1"/>
  <c r="J12" i="3"/>
  <c r="J10" i="3" s="1"/>
  <c r="J9" i="3" s="1"/>
  <c r="J21" i="3" s="1"/>
  <c r="J27" i="3" s="1"/>
  <c r="J33" i="3" s="1"/>
  <c r="R11" i="3"/>
  <c r="Q10" i="3"/>
  <c r="P10" i="3"/>
  <c r="P9" i="3" s="1"/>
  <c r="P21" i="3" s="1"/>
  <c r="P27" i="3" s="1"/>
  <c r="P33" i="3" s="1"/>
  <c r="O10" i="3"/>
  <c r="O9" i="3" s="1"/>
  <c r="O21" i="3" s="1"/>
  <c r="O27" i="3" s="1"/>
  <c r="O33" i="3" s="1"/>
  <c r="N10" i="3"/>
  <c r="M10" i="3"/>
  <c r="L10" i="3"/>
  <c r="L9" i="3" s="1"/>
  <c r="L21" i="3" s="1"/>
  <c r="L27" i="3" s="1"/>
  <c r="L33" i="3" s="1"/>
  <c r="K10" i="3"/>
  <c r="K9" i="3" s="1"/>
  <c r="K21" i="3" s="1"/>
  <c r="K27" i="3" s="1"/>
  <c r="K33" i="3" s="1"/>
  <c r="I10" i="3"/>
  <c r="R10" i="3" s="1"/>
  <c r="Q9" i="3"/>
  <c r="Q21" i="3" s="1"/>
  <c r="Q27" i="3" s="1"/>
  <c r="Q33" i="3" s="1"/>
  <c r="N9" i="3"/>
  <c r="N21" i="3" s="1"/>
  <c r="N27" i="3" s="1"/>
  <c r="N33" i="3" s="1"/>
  <c r="M9" i="3"/>
  <c r="M21" i="3" s="1"/>
  <c r="M27" i="3" s="1"/>
  <c r="M33" i="3" s="1"/>
  <c r="I9" i="3"/>
  <c r="I21" i="3" s="1"/>
  <c r="I27" i="3" s="1"/>
  <c r="I33" i="3" s="1"/>
  <c r="Q5" i="3"/>
  <c r="P5" i="3"/>
  <c r="O5" i="3"/>
  <c r="J5" i="3" s="1"/>
  <c r="R5" i="3" s="1"/>
  <c r="R9" i="3" l="1"/>
  <c r="R21" i="3" s="1"/>
  <c r="R27" i="3" s="1"/>
  <c r="R33" i="3" s="1"/>
  <c r="R12" i="3"/>
  <c r="D9" i="2" l="1"/>
  <c r="D5" i="2" s="1"/>
  <c r="P31" i="1" l="1"/>
  <c r="P29" i="1"/>
  <c r="P25" i="1"/>
  <c r="P23" i="1"/>
  <c r="I21" i="1"/>
  <c r="I27" i="1" s="1"/>
  <c r="I33" i="1" s="1"/>
  <c r="P19" i="1"/>
  <c r="M18" i="1"/>
  <c r="J18" i="1"/>
  <c r="P18" i="1" s="1"/>
  <c r="I17" i="1"/>
  <c r="P17" i="1" s="1"/>
  <c r="P16" i="1"/>
  <c r="P15" i="1"/>
  <c r="M14" i="1"/>
  <c r="L14" i="1"/>
  <c r="K14" i="1"/>
  <c r="J14" i="1" s="1"/>
  <c r="P14" i="1" s="1"/>
  <c r="M13" i="1"/>
  <c r="K13" i="1"/>
  <c r="I13" i="1"/>
  <c r="J13" i="1" s="1"/>
  <c r="M12" i="1"/>
  <c r="M10" i="1" s="1"/>
  <c r="M9" i="1" s="1"/>
  <c r="M21" i="1" s="1"/>
  <c r="M27" i="1" s="1"/>
  <c r="M33" i="1" s="1"/>
  <c r="I12" i="1"/>
  <c r="J12" i="1" s="1"/>
  <c r="P11" i="1"/>
  <c r="N10" i="1"/>
  <c r="L10" i="1"/>
  <c r="K10" i="1"/>
  <c r="O9" i="1"/>
  <c r="O21" i="1" s="1"/>
  <c r="O27" i="1" s="1"/>
  <c r="O33" i="1" s="1"/>
  <c r="N9" i="1"/>
  <c r="N21" i="1" s="1"/>
  <c r="N27" i="1" s="1"/>
  <c r="N33" i="1" s="1"/>
  <c r="L9" i="1"/>
  <c r="L21" i="1" s="1"/>
  <c r="L27" i="1" s="1"/>
  <c r="L33" i="1" s="1"/>
  <c r="I9" i="1"/>
  <c r="N5" i="1"/>
  <c r="J5" i="1"/>
  <c r="P5" i="1" s="1"/>
  <c r="J10" i="1" l="1"/>
  <c r="K9" i="1"/>
  <c r="K21" i="1" s="1"/>
  <c r="K27" i="1" s="1"/>
  <c r="K33" i="1" s="1"/>
  <c r="P12" i="1"/>
  <c r="P13" i="1"/>
  <c r="J9" i="1" l="1"/>
  <c r="P10" i="1"/>
  <c r="J21" i="1" l="1"/>
  <c r="J27" i="1" s="1"/>
  <c r="J33" i="1" s="1"/>
  <c r="P9" i="1"/>
  <c r="P21" i="1" s="1"/>
  <c r="P27" i="1" s="1"/>
  <c r="P33" i="1" s="1"/>
</calcChain>
</file>

<file path=xl/sharedStrings.xml><?xml version="1.0" encoding="utf-8"?>
<sst xmlns="http://schemas.openxmlformats.org/spreadsheetml/2006/main" count="378" uniqueCount="104">
  <si>
    <t>Bijlage 1: Resultatenrekening per activiteitencentrum</t>
  </si>
  <si>
    <t xml:space="preserve">Naam vzw:CAW Centraal -West-Vlaanderen </t>
  </si>
  <si>
    <t>Codes</t>
  </si>
  <si>
    <t>Vzw</t>
  </si>
  <si>
    <t xml:space="preserve">Activiteitencentrumvzw
</t>
  </si>
  <si>
    <t>Activiteitencentrum
msoc</t>
  </si>
  <si>
    <t>Activiteitencentrum
elp</t>
  </si>
  <si>
    <t>Activiteitencentrum
schuldhulp biz</t>
  </si>
  <si>
    <t xml:space="preserve">Activiteitencentrum
woonzorg </t>
  </si>
  <si>
    <t xml:space="preserve">Activiteitencentrum
</t>
  </si>
  <si>
    <t>CONTROLE</t>
  </si>
  <si>
    <t>Aantal VTE</t>
  </si>
  <si>
    <t>RESULTATENREKENING</t>
  </si>
  <si>
    <t>Bedrijfsopbrengsten en bedrijfskosten</t>
  </si>
  <si>
    <t>Brutomarge</t>
  </si>
  <si>
    <t>(+/-)</t>
  </si>
  <si>
    <t>Bedrijfsopbrengsten</t>
  </si>
  <si>
    <t>70/74</t>
  </si>
  <si>
    <t>Omzet</t>
  </si>
  <si>
    <t>Lidgeld, schenkingen, legaten en subsidies</t>
  </si>
  <si>
    <t>Handelsgoederen, grond- en hulpstoffen;
diensten en diverse goederen</t>
  </si>
  <si>
    <t>60/61</t>
  </si>
  <si>
    <t>Bezoldigingen, sociale lasten en pensioenen
(toel. VI, 2) …………………………………………………….</t>
  </si>
  <si>
    <t>Afschrijvingen en waardeverminderingen op
oprichtingskosten, op immateriële en materiële vaste
activa……………………………………………………………..</t>
  </si>
  <si>
    <t>Waardeverminderingen op voorraden, bestellingen in
uitvoering en handelsvorderingen (toevoegingen-,
terugnemingen +)……………………………………………….</t>
  </si>
  <si>
    <t>631/4</t>
  </si>
  <si>
    <t>Voorzieningen voor risico's en kosten (toevoegingen-,
bestedingen en terugnemingen +)……………………………</t>
  </si>
  <si>
    <t>635/8</t>
  </si>
  <si>
    <t>Andere bedrijfskosten………………………………………….</t>
  </si>
  <si>
    <t>640/8</t>
  </si>
  <si>
    <t>Als herstructureringskosten geactiveerde
bedrijfskosten …………………………………………………..</t>
  </si>
  <si>
    <t>(-)</t>
  </si>
  <si>
    <t>Bedrijfswinst (bedrijfsverlies)……………………………………</t>
  </si>
  <si>
    <t>Financiële opbrengsten…………………………………………</t>
  </si>
  <si>
    <t>Financiële kosten ………………………………………………..</t>
  </si>
  <si>
    <t>Winst (verlies) uit de gewone bedrijfsuitoefening ………….</t>
  </si>
  <si>
    <t>Uitzonderlijke opbrengsten ……………………………………</t>
  </si>
  <si>
    <t>Uitzonderlijke kosten ……………………………………………</t>
  </si>
  <si>
    <t>Winst (verlies) van het boekjaar …………………………………………</t>
  </si>
  <si>
    <t>Bijlage 4: DETAIL VAN DE 73-REKENINGEN (lijst van subsidies)</t>
  </si>
  <si>
    <t xml:space="preserve">Naam VZW:CAW Centraal-West-Vlaanderen </t>
  </si>
  <si>
    <t>730/731</t>
  </si>
  <si>
    <t>Lidgelden</t>
  </si>
  <si>
    <t>732/733</t>
  </si>
  <si>
    <t>Schenkingen</t>
  </si>
  <si>
    <t>734/735</t>
  </si>
  <si>
    <t>Legaten</t>
  </si>
  <si>
    <t xml:space="preserve">736 
737  
738 </t>
  </si>
  <si>
    <t>Kapitaal- en intrestsubsidies
Werkingssubsides Vlaamse Overheid 
Overige werkingssubsidies en werkingstoelagen</t>
  </si>
  <si>
    <t>Subsidieverlener</t>
  </si>
  <si>
    <t>Doel</t>
  </si>
  <si>
    <t>Activiteitencentrum</t>
  </si>
  <si>
    <t>Bedrag</t>
  </si>
  <si>
    <t xml:space="preserve">vipa </t>
  </si>
  <si>
    <t xml:space="preserve">kap subs maloulaan </t>
  </si>
  <si>
    <t>vo</t>
  </si>
  <si>
    <t xml:space="preserve">kap subs Maloulaan verbouwing </t>
  </si>
  <si>
    <t xml:space="preserve">rotary </t>
  </si>
  <si>
    <t xml:space="preserve">kap subs Lombaardstraat verbouwing </t>
  </si>
  <si>
    <t xml:space="preserve">deeram </t>
  </si>
  <si>
    <t xml:space="preserve">kap subs Nijverheidsstraat </t>
  </si>
  <si>
    <t>kap sub Krekelstraat</t>
  </si>
  <si>
    <t xml:space="preserve">giften </t>
  </si>
  <si>
    <t xml:space="preserve">kap subs Roeselare </t>
  </si>
  <si>
    <t>Vlaamse gemeenschap</t>
  </si>
  <si>
    <t xml:space="preserve">werkingsubsidie </t>
  </si>
  <si>
    <t>biz</t>
  </si>
  <si>
    <t xml:space="preserve">provincie </t>
  </si>
  <si>
    <t xml:space="preserve">werkingssubsidie </t>
  </si>
  <si>
    <t>woonzorg</t>
  </si>
  <si>
    <t xml:space="preserve">crisisnetwerk </t>
  </si>
  <si>
    <t xml:space="preserve">gemeenten en ocmw's </t>
  </si>
  <si>
    <t>crisisnetwerk en andere subsidies</t>
  </si>
  <si>
    <t xml:space="preserve">sociale maribel </t>
  </si>
  <si>
    <t xml:space="preserve">gesco </t>
  </si>
  <si>
    <t xml:space="preserve">vivo </t>
  </si>
  <si>
    <t xml:space="preserve">vorming </t>
  </si>
  <si>
    <t xml:space="preserve">stad Roeselare </t>
  </si>
  <si>
    <t>werkingssubsidie</t>
  </si>
  <si>
    <t>msoc</t>
  </si>
  <si>
    <t xml:space="preserve">huisartsen middenwest vlaanderen </t>
  </si>
  <si>
    <t>elp</t>
  </si>
  <si>
    <t xml:space="preserve">dag zonder krediet </t>
  </si>
  <si>
    <t xml:space="preserve">biz </t>
  </si>
  <si>
    <t xml:space="preserve">Naam vzw: CAW Centraal -West-Vlaanderen </t>
  </si>
  <si>
    <t>Activiteitencentrum
VZW</t>
  </si>
  <si>
    <t>Activiteitencentrum
MSOC</t>
  </si>
  <si>
    <t>Activiteitencentrum
ELP</t>
  </si>
  <si>
    <t>Activiteitencentrum
Schuldhulp BIZ</t>
  </si>
  <si>
    <t xml:space="preserve">Activiteitencentrum
Woonzorg </t>
  </si>
  <si>
    <t xml:space="preserve">Activiteitencentrum
Z Onderdak impuls welzijn </t>
  </si>
  <si>
    <t xml:space="preserve">Activiteitencentrum
re entry </t>
  </si>
  <si>
    <t xml:space="preserve">Activiteitencentrum
prev uithuiszetting
Homans </t>
  </si>
  <si>
    <t xml:space="preserve">Naam VZW:  CAW Centraal -West-Vlaaanderen  </t>
  </si>
  <si>
    <t xml:space="preserve">kap subs Brugseweg </t>
  </si>
  <si>
    <t xml:space="preserve">kindergeluk </t>
  </si>
  <si>
    <t xml:space="preserve">kap subs </t>
  </si>
  <si>
    <t xml:space="preserve">prev uithuiszetting </t>
  </si>
  <si>
    <t xml:space="preserve">z onderdak </t>
  </si>
  <si>
    <t xml:space="preserve">re entry </t>
  </si>
  <si>
    <t>Stad Roeselare</t>
  </si>
  <si>
    <t xml:space="preserve">Activiteitencentrum
vluchtelingen </t>
  </si>
  <si>
    <t>overdracht nr 2017</t>
  </si>
  <si>
    <t xml:space="preserve">vluchtelingen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</si>
</sst>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0" fontId="5" fillId="0" borderId="2" xfId="0" applyFont="1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4" fillId="2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4" fontId="0" fillId="0" borderId="6" xfId="0" applyNumberForma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top"/>
    </xf>
    <xf numFmtId="0" fontId="0" fillId="0" borderId="0" xfId="0" applyAlignment="1" applyProtection="1">
      <alignment vertical="top"/>
      <protection locked="0"/>
    </xf>
    <xf numFmtId="4" fontId="4" fillId="4" borderId="10" xfId="0" applyNumberFormat="1" applyFont="1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0" fontId="0" fillId="4" borderId="11" xfId="0" applyFill="1" applyBorder="1" applyAlignment="1" applyProtection="1">
      <alignment horizontal="center" vertical="top"/>
      <protection locked="0"/>
    </xf>
    <xf numFmtId="0" fontId="4" fillId="4" borderId="11" xfId="0" applyFont="1" applyFill="1" applyBorder="1" applyAlignment="1" applyProtection="1">
      <alignment horizontal="center" vertical="top"/>
      <protection locked="0"/>
    </xf>
    <xf numFmtId="0" fontId="0" fillId="3" borderId="11" xfId="0" applyFill="1" applyBorder="1" applyAlignment="1" applyProtection="1">
      <alignment horizontal="center" vertical="top"/>
    </xf>
    <xf numFmtId="0" fontId="3" fillId="0" borderId="13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4" fontId="0" fillId="0" borderId="14" xfId="0" applyNumberFormat="1" applyBorder="1" applyAlignment="1" applyProtection="1">
      <protection locked="0"/>
    </xf>
    <xf numFmtId="3" fontId="0" fillId="0" borderId="15" xfId="0" applyNumberFormat="1" applyBorder="1" applyAlignment="1" applyProtection="1">
      <protection locked="0"/>
    </xf>
    <xf numFmtId="3" fontId="4" fillId="0" borderId="14" xfId="0" applyNumberFormat="1" applyFont="1" applyBorder="1" applyAlignment="1" applyProtection="1">
      <protection locked="0"/>
    </xf>
    <xf numFmtId="3" fontId="0" fillId="0" borderId="14" xfId="0" applyNumberFormat="1" applyBorder="1" applyAlignment="1" applyProtection="1">
      <protection locked="0"/>
    </xf>
    <xf numFmtId="3" fontId="0" fillId="3" borderId="14" xfId="0" applyNumberFormat="1" applyFill="1" applyBorder="1" applyAlignment="1" applyProtection="1"/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4" fontId="0" fillId="0" borderId="16" xfId="0" applyNumberFormat="1" applyBorder="1" applyAlignment="1" applyProtection="1">
      <protection locked="0"/>
    </xf>
    <xf numFmtId="3" fontId="0" fillId="0" borderId="0" xfId="0" applyNumberFormat="1" applyBorder="1" applyAlignment="1" applyProtection="1">
      <protection locked="0"/>
    </xf>
    <xf numFmtId="3" fontId="0" fillId="0" borderId="16" xfId="0" applyNumberFormat="1" applyBorder="1" applyAlignment="1" applyProtection="1">
      <protection locked="0"/>
    </xf>
    <xf numFmtId="3" fontId="0" fillId="3" borderId="16" xfId="0" applyNumberFormat="1" applyFill="1" applyBorder="1" applyAlignment="1" applyProtection="1"/>
    <xf numFmtId="0" fontId="0" fillId="0" borderId="13" xfId="0" applyBorder="1" applyAlignment="1" applyProtection="1"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4" fontId="0" fillId="0" borderId="0" xfId="0" applyNumberFormat="1" applyBorder="1" applyAlignment="1" applyProtection="1">
      <protection locked="0"/>
    </xf>
    <xf numFmtId="4" fontId="0" fillId="3" borderId="16" xfId="0" applyNumberFormat="1" applyFill="1" applyBorder="1" applyAlignment="1" applyProtection="1"/>
    <xf numFmtId="0" fontId="0" fillId="0" borderId="0" xfId="0" applyBorder="1" applyAlignment="1" applyProtection="1">
      <protection locked="0"/>
    </xf>
    <xf numFmtId="4" fontId="0" fillId="0" borderId="17" xfId="0" applyNumberFormat="1" applyBorder="1" applyAlignment="1" applyProtection="1">
      <protection locked="0"/>
    </xf>
    <xf numFmtId="3" fontId="0" fillId="0" borderId="17" xfId="0" applyNumberFormat="1" applyBorder="1" applyAlignment="1" applyProtection="1">
      <protection locked="0"/>
    </xf>
    <xf numFmtId="4" fontId="0" fillId="0" borderId="1" xfId="0" applyNumberFormat="1" applyBorder="1" applyAlignment="1" applyProtection="1">
      <protection locked="0"/>
    </xf>
    <xf numFmtId="4" fontId="0" fillId="3" borderId="17" xfId="0" applyNumberFormat="1" applyFill="1" applyBorder="1" applyAlignment="1" applyProtection="1"/>
    <xf numFmtId="4" fontId="0" fillId="0" borderId="18" xfId="0" applyNumberFormat="1" applyBorder="1" applyAlignment="1" applyProtection="1">
      <protection locked="0"/>
    </xf>
    <xf numFmtId="4" fontId="0" fillId="0" borderId="19" xfId="0" applyNumberFormat="1" applyBorder="1" applyAlignment="1" applyProtection="1">
      <protection locked="0"/>
    </xf>
    <xf numFmtId="4" fontId="0" fillId="3" borderId="18" xfId="0" applyNumberFormat="1" applyFill="1" applyBorder="1" applyAlignment="1" applyProtection="1"/>
    <xf numFmtId="0" fontId="0" fillId="0" borderId="13" xfId="0" applyBorder="1" applyAlignment="1" applyProtection="1">
      <alignment wrapText="1"/>
      <protection locked="0"/>
    </xf>
    <xf numFmtId="4" fontId="0" fillId="0" borderId="20" xfId="0" applyNumberFormat="1" applyBorder="1" applyAlignment="1" applyProtection="1">
      <protection locked="0"/>
    </xf>
    <xf numFmtId="4" fontId="0" fillId="0" borderId="21" xfId="0" applyNumberFormat="1" applyBorder="1" applyAlignment="1" applyProtection="1">
      <protection locked="0"/>
    </xf>
    <xf numFmtId="4" fontId="0" fillId="3" borderId="20" xfId="0" applyNumberFormat="1" applyFill="1" applyBorder="1" applyAlignment="1" applyProtection="1"/>
    <xf numFmtId="0" fontId="7" fillId="0" borderId="0" xfId="0" applyFont="1" applyBorder="1" applyAlignment="1" applyProtection="1">
      <alignment wrapText="1"/>
      <protection locked="0"/>
    </xf>
    <xf numFmtId="4" fontId="4" fillId="0" borderId="20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right" vertical="top"/>
      <protection locked="0"/>
    </xf>
    <xf numFmtId="4" fontId="0" fillId="0" borderId="16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3" borderId="16" xfId="0" applyNumberFormat="1" applyFill="1" applyBorder="1" applyProtection="1"/>
    <xf numFmtId="0" fontId="7" fillId="0" borderId="13" xfId="0" applyFont="1" applyBorder="1" applyAlignment="1" applyProtection="1"/>
    <xf numFmtId="0" fontId="0" fillId="0" borderId="0" xfId="0" applyBorder="1" applyAlignment="1" applyProtection="1">
      <alignment horizontal="left"/>
    </xf>
    <xf numFmtId="4" fontId="0" fillId="0" borderId="22" xfId="0" applyNumberFormat="1" applyBorder="1" applyAlignment="1" applyProtection="1">
      <protection locked="0"/>
    </xf>
    <xf numFmtId="4" fontId="0" fillId="0" borderId="23" xfId="0" applyNumberFormat="1" applyBorder="1" applyAlignment="1" applyProtection="1">
      <protection locked="0"/>
    </xf>
    <xf numFmtId="4" fontId="0" fillId="3" borderId="22" xfId="0" applyNumberFormat="1" applyFill="1" applyBorder="1" applyAlignment="1" applyProtection="1"/>
    <xf numFmtId="0" fontId="0" fillId="0" borderId="0" xfId="0" applyProtection="1"/>
    <xf numFmtId="0" fontId="0" fillId="0" borderId="12" xfId="0" applyBorder="1" applyProtection="1"/>
    <xf numFmtId="4" fontId="0" fillId="0" borderId="24" xfId="0" applyNumberFormat="1" applyBorder="1" applyAlignment="1" applyProtection="1">
      <protection locked="0"/>
    </xf>
    <xf numFmtId="4" fontId="0" fillId="0" borderId="2" xfId="0" applyNumberFormat="1" applyBorder="1" applyAlignment="1" applyProtection="1">
      <protection locked="0"/>
    </xf>
    <xf numFmtId="4" fontId="0" fillId="3" borderId="24" xfId="0" applyNumberFormat="1" applyFill="1" applyBorder="1" applyAlignment="1" applyProtection="1"/>
    <xf numFmtId="0" fontId="3" fillId="0" borderId="12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4" fontId="0" fillId="0" borderId="17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4" fontId="0" fillId="3" borderId="17" xfId="0" applyNumberFormat="1" applyFill="1" applyBorder="1" applyProtection="1"/>
    <xf numFmtId="4" fontId="0" fillId="0" borderId="22" xfId="0" applyNumberFormat="1" applyBorder="1" applyProtection="1">
      <protection locked="0"/>
    </xf>
    <xf numFmtId="4" fontId="0" fillId="0" borderId="23" xfId="0" applyNumberFormat="1" applyBorder="1" applyProtection="1">
      <protection locked="0"/>
    </xf>
    <xf numFmtId="4" fontId="0" fillId="3" borderId="22" xfId="0" applyNumberFormat="1" applyFill="1" applyBorder="1" applyProtection="1"/>
    <xf numFmtId="0" fontId="7" fillId="0" borderId="13" xfId="0" applyFont="1" applyBorder="1" applyProtection="1">
      <protection locked="0"/>
    </xf>
    <xf numFmtId="0" fontId="7" fillId="0" borderId="13" xfId="0" applyFont="1" applyBorder="1" applyProtection="1"/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17" xfId="0" applyNumberFormat="1" applyBorder="1" applyProtection="1">
      <protection locked="0"/>
    </xf>
    <xf numFmtId="3" fontId="0" fillId="3" borderId="17" xfId="0" applyNumberFormat="1" applyFill="1" applyBorder="1" applyProtection="1"/>
    <xf numFmtId="0" fontId="9" fillId="0" borderId="0" xfId="0" applyFont="1"/>
    <xf numFmtId="0" fontId="3" fillId="5" borderId="28" xfId="0" applyFont="1" applyFill="1" applyBorder="1" applyAlignment="1">
      <alignment horizontal="center" vertical="top" wrapText="1"/>
    </xf>
    <xf numFmtId="4" fontId="3" fillId="5" borderId="31" xfId="0" applyNumberFormat="1" applyFont="1" applyFill="1" applyBorder="1" applyAlignment="1" applyProtection="1">
      <alignment vertical="top"/>
    </xf>
    <xf numFmtId="0" fontId="0" fillId="0" borderId="32" xfId="0" applyNumberFormat="1" applyFill="1" applyBorder="1" applyAlignment="1">
      <alignment horizontal="center" vertical="top" wrapText="1"/>
    </xf>
    <xf numFmtId="4" fontId="0" fillId="0" borderId="35" xfId="0" applyNumberFormat="1" applyFill="1" applyBorder="1" applyAlignment="1">
      <alignment vertical="top" wrapText="1"/>
    </xf>
    <xf numFmtId="0" fontId="0" fillId="0" borderId="38" xfId="0" applyNumberFormat="1" applyFill="1" applyBorder="1" applyAlignment="1">
      <alignment horizontal="center" vertical="top" wrapText="1"/>
    </xf>
    <xf numFmtId="4" fontId="0" fillId="0" borderId="41" xfId="0" applyNumberFormat="1" applyFill="1" applyBorder="1" applyAlignment="1">
      <alignment vertical="top" wrapText="1"/>
    </xf>
    <xf numFmtId="0" fontId="0" fillId="0" borderId="8" xfId="0" applyNumberFormat="1" applyFill="1" applyBorder="1" applyAlignment="1">
      <alignment horizontal="center" vertical="top" wrapText="1"/>
    </xf>
    <xf numFmtId="2" fontId="3" fillId="5" borderId="31" xfId="0" applyNumberFormat="1" applyFont="1" applyFill="1" applyBorder="1" applyAlignment="1" applyProtection="1">
      <alignment vertical="top"/>
    </xf>
    <xf numFmtId="0" fontId="3" fillId="0" borderId="3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3" fillId="0" borderId="31" xfId="0" applyNumberFormat="1" applyFont="1" applyFill="1" applyBorder="1" applyAlignment="1">
      <alignment horizontal="center" vertical="top" wrapText="1"/>
    </xf>
    <xf numFmtId="0" fontId="4" fillId="0" borderId="32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vertical="top"/>
    </xf>
    <xf numFmtId="0" fontId="4" fillId="0" borderId="35" xfId="0" applyNumberFormat="1" applyFont="1" applyFill="1" applyBorder="1" applyAlignment="1">
      <alignment vertical="top" wrapText="1"/>
    </xf>
    <xf numFmtId="4" fontId="0" fillId="0" borderId="0" xfId="0" applyNumberFormat="1"/>
    <xf numFmtId="4" fontId="0" fillId="0" borderId="17" xfId="0" applyNumberFormat="1" applyFill="1" applyBorder="1" applyAlignment="1">
      <alignment vertical="top"/>
    </xf>
    <xf numFmtId="0" fontId="0" fillId="0" borderId="35" xfId="0" applyNumberFormat="1" applyFill="1" applyBorder="1" applyAlignment="1">
      <alignment vertical="top" wrapText="1"/>
    </xf>
    <xf numFmtId="0" fontId="0" fillId="0" borderId="42" xfId="0" applyNumberFormat="1" applyBorder="1"/>
    <xf numFmtId="0" fontId="0" fillId="0" borderId="22" xfId="0" applyBorder="1"/>
    <xf numFmtId="0" fontId="0" fillId="0" borderId="43" xfId="0" applyNumberFormat="1" applyBorder="1"/>
    <xf numFmtId="4" fontId="0" fillId="0" borderId="43" xfId="0" applyNumberFormat="1" applyBorder="1"/>
    <xf numFmtId="0" fontId="0" fillId="0" borderId="44" xfId="0" applyNumberFormat="1" applyBorder="1"/>
    <xf numFmtId="0" fontId="0" fillId="0" borderId="6" xfId="0" applyBorder="1"/>
    <xf numFmtId="0" fontId="0" fillId="0" borderId="45" xfId="0" applyNumberFormat="1" applyBorder="1"/>
    <xf numFmtId="4" fontId="0" fillId="0" borderId="45" xfId="0" applyNumberFormat="1" applyBorder="1"/>
    <xf numFmtId="0" fontId="0" fillId="0" borderId="0" xfId="0" applyBorder="1"/>
    <xf numFmtId="2" fontId="0" fillId="0" borderId="0" xfId="0" applyNumberFormat="1" applyProtection="1"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4" borderId="10" xfId="0" applyFill="1" applyBorder="1" applyAlignment="1" applyProtection="1">
      <alignment horizontal="center" vertical="top"/>
      <protection locked="0"/>
    </xf>
    <xf numFmtId="2" fontId="0" fillId="4" borderId="9" xfId="0" applyNumberFormat="1" applyFill="1" applyBorder="1" applyAlignment="1" applyProtection="1">
      <alignment horizontal="center" vertical="top"/>
      <protection locked="0"/>
    </xf>
    <xf numFmtId="2" fontId="0" fillId="4" borderId="11" xfId="0" applyNumberFormat="1" applyFill="1" applyBorder="1" applyAlignment="1" applyProtection="1">
      <alignment horizontal="center" vertical="top"/>
      <protection locked="0"/>
    </xf>
    <xf numFmtId="2" fontId="0" fillId="3" borderId="11" xfId="0" applyNumberFormat="1" applyFill="1" applyBorder="1" applyAlignment="1" applyProtection="1">
      <alignment horizontal="center" vertical="top"/>
    </xf>
    <xf numFmtId="3" fontId="0" fillId="0" borderId="18" xfId="0" applyNumberFormat="1" applyBorder="1" applyAlignment="1" applyProtection="1">
      <protection locked="0"/>
    </xf>
    <xf numFmtId="3" fontId="0" fillId="0" borderId="20" xfId="0" applyNumberFormat="1" applyBorder="1" applyAlignment="1" applyProtection="1">
      <protection locked="0"/>
    </xf>
    <xf numFmtId="3" fontId="0" fillId="0" borderId="16" xfId="0" applyNumberFormat="1" applyBorder="1" applyProtection="1">
      <protection locked="0"/>
    </xf>
    <xf numFmtId="3" fontId="0" fillId="0" borderId="22" xfId="0" applyNumberFormat="1" applyBorder="1" applyAlignment="1" applyProtection="1">
      <protection locked="0"/>
    </xf>
    <xf numFmtId="3" fontId="0" fillId="0" borderId="24" xfId="0" applyNumberFormat="1" applyBorder="1" applyAlignment="1" applyProtection="1">
      <protection locked="0"/>
    </xf>
    <xf numFmtId="3" fontId="0" fillId="0" borderId="22" xfId="0" applyNumberFormat="1" applyBorder="1" applyProtection="1">
      <protection locked="0"/>
    </xf>
    <xf numFmtId="0" fontId="10" fillId="0" borderId="32" xfId="0" applyNumberFormat="1" applyFont="1" applyFill="1" applyBorder="1" applyAlignment="1">
      <alignment horizontal="center" vertical="top" wrapText="1"/>
    </xf>
    <xf numFmtId="4" fontId="10" fillId="0" borderId="17" xfId="0" applyNumberFormat="1" applyFont="1" applyFill="1" applyBorder="1" applyAlignment="1">
      <alignment vertical="top"/>
    </xf>
    <xf numFmtId="0" fontId="10" fillId="0" borderId="35" xfId="0" applyNumberFormat="1" applyFont="1" applyFill="1" applyBorder="1" applyAlignment="1">
      <alignment vertical="top" wrapText="1"/>
    </xf>
    <xf numFmtId="4" fontId="10" fillId="0" borderId="35" xfId="0" applyNumberFormat="1" applyFont="1" applyFill="1" applyBorder="1" applyAlignment="1">
      <alignment vertical="top" wrapText="1"/>
    </xf>
    <xf numFmtId="3" fontId="0" fillId="6" borderId="14" xfId="0" applyNumberFormat="1" applyFill="1" applyBorder="1" applyAlignment="1" applyProtection="1">
      <protection locked="0"/>
    </xf>
    <xf numFmtId="3" fontId="0" fillId="6" borderId="15" xfId="0" applyNumberFormat="1" applyFill="1" applyBorder="1" applyAlignment="1" applyProtection="1">
      <protection locked="0"/>
    </xf>
    <xf numFmtId="3" fontId="0" fillId="2" borderId="14" xfId="0" applyNumberFormat="1" applyFill="1" applyBorder="1" applyAlignment="1" applyProtection="1">
      <protection locked="0"/>
    </xf>
    <xf numFmtId="4" fontId="0" fillId="2" borderId="14" xfId="0" applyNumberFormat="1" applyFill="1" applyBorder="1" applyAlignment="1" applyProtection="1">
      <protection locked="0"/>
    </xf>
    <xf numFmtId="3" fontId="0" fillId="2" borderId="15" xfId="0" applyNumberFormat="1" applyFill="1" applyBorder="1" applyAlignment="1" applyProtection="1">
      <protection locked="0"/>
    </xf>
    <xf numFmtId="3" fontId="0" fillId="6" borderId="14" xfId="0" applyNumberFormat="1" applyFill="1" applyBorder="1" applyAlignment="1" applyProtection="1"/>
    <xf numFmtId="3" fontId="0" fillId="6" borderId="16" xfId="0" applyNumberFormat="1" applyFill="1" applyBorder="1" applyAlignment="1" applyProtection="1">
      <protection locked="0"/>
    </xf>
    <xf numFmtId="3" fontId="0" fillId="6" borderId="0" xfId="0" applyNumberFormat="1" applyFill="1" applyBorder="1" applyAlignment="1" applyProtection="1">
      <protection locked="0"/>
    </xf>
    <xf numFmtId="3" fontId="0" fillId="2" borderId="16" xfId="0" applyNumberFormat="1" applyFill="1" applyBorder="1" applyAlignment="1" applyProtection="1">
      <protection locked="0"/>
    </xf>
    <xf numFmtId="4" fontId="0" fillId="2" borderId="16" xfId="0" applyNumberFormat="1" applyFill="1" applyBorder="1" applyAlignment="1" applyProtection="1">
      <protection locked="0"/>
    </xf>
    <xf numFmtId="3" fontId="0" fillId="2" borderId="0" xfId="0" applyNumberFormat="1" applyFill="1" applyBorder="1" applyAlignment="1" applyProtection="1">
      <protection locked="0"/>
    </xf>
    <xf numFmtId="3" fontId="0" fillId="6" borderId="16" xfId="0" applyNumberFormat="1" applyFill="1" applyBorder="1" applyAlignment="1" applyProtection="1"/>
    <xf numFmtId="4" fontId="0" fillId="6" borderId="16" xfId="0" applyNumberFormat="1" applyFill="1" applyBorder="1" applyAlignment="1" applyProtection="1">
      <protection locked="0"/>
    </xf>
    <xf numFmtId="4" fontId="0" fillId="2" borderId="0" xfId="0" applyNumberFormat="1" applyFill="1" applyBorder="1" applyAlignment="1" applyProtection="1">
      <protection locked="0"/>
    </xf>
    <xf numFmtId="4" fontId="0" fillId="6" borderId="16" xfId="0" applyNumberFormat="1" applyFill="1" applyBorder="1" applyAlignment="1" applyProtection="1"/>
    <xf numFmtId="3" fontId="0" fillId="2" borderId="17" xfId="0" applyNumberFormat="1" applyFill="1" applyBorder="1" applyAlignment="1" applyProtection="1">
      <protection locked="0"/>
    </xf>
    <xf numFmtId="4" fontId="0" fillId="6" borderId="1" xfId="0" applyNumberFormat="1" applyFill="1" applyBorder="1" applyAlignment="1" applyProtection="1">
      <protection locked="0"/>
    </xf>
    <xf numFmtId="4" fontId="0" fillId="2" borderId="17" xfId="0" applyNumberFormat="1" applyFill="1" applyBorder="1" applyAlignment="1" applyProtection="1">
      <protection locked="0"/>
    </xf>
    <xf numFmtId="4" fontId="0" fillId="2" borderId="1" xfId="0" applyNumberFormat="1" applyFill="1" applyBorder="1" applyAlignment="1" applyProtection="1">
      <protection locked="0"/>
    </xf>
    <xf numFmtId="3" fontId="0" fillId="2" borderId="18" xfId="0" applyNumberFormat="1" applyFill="1" applyBorder="1" applyAlignment="1" applyProtection="1">
      <protection locked="0"/>
    </xf>
    <xf numFmtId="4" fontId="0" fillId="2" borderId="19" xfId="0" applyNumberFormat="1" applyFill="1" applyBorder="1" applyAlignment="1" applyProtection="1">
      <protection locked="0"/>
    </xf>
    <xf numFmtId="4" fontId="0" fillId="2" borderId="18" xfId="0" applyNumberFormat="1" applyFill="1" applyBorder="1" applyAlignment="1" applyProtection="1">
      <protection locked="0"/>
    </xf>
    <xf numFmtId="3" fontId="0" fillId="2" borderId="20" xfId="0" applyNumberFormat="1" applyFill="1" applyBorder="1" applyAlignment="1" applyProtection="1">
      <protection locked="0"/>
    </xf>
    <xf numFmtId="4" fontId="0" fillId="2" borderId="21" xfId="0" applyNumberFormat="1" applyFill="1" applyBorder="1" applyAlignment="1" applyProtection="1">
      <protection locked="0"/>
    </xf>
    <xf numFmtId="4" fontId="0" fillId="2" borderId="20" xfId="0" applyNumberFormat="1" applyFill="1" applyBorder="1" applyAlignment="1" applyProtection="1">
      <protection locked="0"/>
    </xf>
    <xf numFmtId="4" fontId="0" fillId="6" borderId="21" xfId="0" applyNumberFormat="1" applyFill="1" applyBorder="1" applyAlignment="1" applyProtection="1">
      <protection locked="0"/>
    </xf>
    <xf numFmtId="4" fontId="0" fillId="6" borderId="19" xfId="0" applyNumberFormat="1" applyFill="1" applyBorder="1" applyAlignment="1" applyProtection="1">
      <protection locked="0"/>
    </xf>
    <xf numFmtId="4" fontId="0" fillId="2" borderId="22" xfId="0" applyNumberFormat="1" applyFill="1" applyBorder="1"/>
    <xf numFmtId="4" fontId="4" fillId="2" borderId="20" xfId="0" applyNumberFormat="1" applyFont="1" applyFill="1" applyBorder="1" applyAlignment="1" applyProtection="1">
      <protection locked="0"/>
    </xf>
    <xf numFmtId="3" fontId="0" fillId="2" borderId="16" xfId="0" applyNumberFormat="1" applyFill="1" applyBorder="1" applyProtection="1">
      <protection locked="0"/>
    </xf>
    <xf numFmtId="4" fontId="0" fillId="2" borderId="0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3" fontId="0" fillId="2" borderId="24" xfId="0" applyNumberFormat="1" applyFill="1" applyBorder="1" applyAlignment="1" applyProtection="1">
      <protection locked="0"/>
    </xf>
    <xf numFmtId="4" fontId="0" fillId="2" borderId="2" xfId="0" applyNumberFormat="1" applyFill="1" applyBorder="1" applyAlignment="1" applyProtection="1">
      <protection locked="0"/>
    </xf>
    <xf numFmtId="4" fontId="0" fillId="2" borderId="24" xfId="0" applyNumberFormat="1" applyFill="1" applyBorder="1" applyAlignment="1" applyProtection="1">
      <protection locked="0"/>
    </xf>
    <xf numFmtId="4" fontId="0" fillId="2" borderId="24" xfId="0" applyNumberFormat="1" applyFill="1" applyBorder="1" applyAlignment="1" applyProtection="1"/>
    <xf numFmtId="4" fontId="0" fillId="2" borderId="17" xfId="0" applyNumberFormat="1" applyFill="1" applyBorder="1" applyAlignment="1" applyProtection="1"/>
    <xf numFmtId="3" fontId="0" fillId="2" borderId="1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7" xfId="0" applyNumberFormat="1" applyFill="1" applyBorder="1" applyProtection="1"/>
    <xf numFmtId="3" fontId="0" fillId="2" borderId="22" xfId="0" applyNumberFormat="1" applyFill="1" applyBorder="1" applyProtection="1">
      <protection locked="0"/>
    </xf>
    <xf numFmtId="4" fontId="0" fillId="2" borderId="23" xfId="0" applyNumberFormat="1" applyFill="1" applyBorder="1" applyProtection="1">
      <protection locked="0"/>
    </xf>
    <xf numFmtId="4" fontId="0" fillId="2" borderId="22" xfId="0" applyNumberFormat="1" applyFill="1" applyBorder="1" applyProtection="1">
      <protection locked="0"/>
    </xf>
    <xf numFmtId="4" fontId="0" fillId="2" borderId="22" xfId="0" applyNumberFormat="1" applyFill="1" applyBorder="1" applyProtection="1"/>
    <xf numFmtId="4" fontId="0" fillId="2" borderId="16" xfId="0" applyNumberFormat="1" applyFill="1" applyBorder="1" applyProtection="1"/>
    <xf numFmtId="3" fontId="0" fillId="2" borderId="17" xfId="0" applyNumberFormat="1" applyFill="1" applyBorder="1" applyProtection="1"/>
    <xf numFmtId="4" fontId="0" fillId="6" borderId="35" xfId="0" applyNumberFormat="1" applyFill="1" applyBorder="1" applyAlignment="1">
      <alignment vertical="top" wrapText="1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8" fillId="0" borderId="12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7" fillId="0" borderId="0" xfId="0" applyNumberFormat="1" applyFont="1" applyBorder="1" applyAlignment="1" applyProtection="1">
      <protection locked="0"/>
    </xf>
    <xf numFmtId="49" fontId="7" fillId="0" borderId="0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Alignment="1"/>
    <xf numFmtId="0" fontId="2" fillId="0" borderId="1" xfId="0" applyFont="1" applyBorder="1" applyAlignment="1" applyProtection="1">
      <protection locked="0"/>
    </xf>
    <xf numFmtId="0" fontId="3" fillId="0" borderId="1" xfId="0" applyFont="1" applyBorder="1" applyAlignment="1"/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/>
    <xf numFmtId="4" fontId="3" fillId="5" borderId="29" xfId="0" applyNumberFormat="1" applyFont="1" applyFill="1" applyBorder="1" applyAlignment="1">
      <alignment vertical="top"/>
    </xf>
    <xf numFmtId="0" fontId="0" fillId="0" borderId="30" xfId="0" applyBorder="1" applyAlignment="1">
      <alignment vertical="top"/>
    </xf>
    <xf numFmtId="4" fontId="0" fillId="0" borderId="33" xfId="0" applyNumberFormat="1" applyFill="1" applyBorder="1" applyAlignment="1">
      <alignment vertical="top"/>
    </xf>
    <xf numFmtId="0" fontId="0" fillId="0" borderId="34" xfId="0" applyBorder="1" applyAlignment="1">
      <alignment vertical="top"/>
    </xf>
    <xf numFmtId="4" fontId="0" fillId="0" borderId="36" xfId="0" applyNumberFormat="1" applyFill="1" applyBorder="1" applyAlignment="1">
      <alignment vertical="top"/>
    </xf>
    <xf numFmtId="0" fontId="0" fillId="0" borderId="37" xfId="0" applyBorder="1" applyAlignment="1">
      <alignment vertical="top"/>
    </xf>
    <xf numFmtId="4" fontId="0" fillId="0" borderId="39" xfId="0" applyNumberFormat="1" applyFill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</cellXfs>
  <cellStyles count="1">
    <cellStyle name="Standaard" xfId="0" builtinId="0"/>
  </cellStyles>
  <dxfs count="16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sqref="A1:XFD1048576"/>
    </sheetView>
  </sheetViews>
  <sheetFormatPr defaultColWidth="9.140625" defaultRowHeight="15" x14ac:dyDescent="0.25"/>
  <cols>
    <col min="1" max="1" width="2.7109375" style="1" customWidth="1"/>
    <col min="2" max="2" width="4.7109375" style="1" customWidth="1"/>
    <col min="3" max="3" width="3.7109375" style="1" customWidth="1"/>
    <col min="4" max="5" width="9.140625" style="1"/>
    <col min="6" max="6" width="22.5703125" style="1" customWidth="1"/>
    <col min="7" max="7" width="4.42578125" style="1" customWidth="1"/>
    <col min="8" max="8" width="6.28515625" style="1" customWidth="1"/>
    <col min="9" max="9" width="14.7109375" style="2" customWidth="1"/>
    <col min="10" max="15" width="16.85546875" style="1" customWidth="1"/>
    <col min="16" max="16" width="12.28515625" style="1" customWidth="1"/>
    <col min="17" max="16384" width="9.140625" style="1"/>
  </cols>
  <sheetData>
    <row r="1" spans="1:16" ht="18" x14ac:dyDescent="0.25">
      <c r="A1" s="201" t="s">
        <v>0</v>
      </c>
      <c r="B1" s="201"/>
      <c r="C1" s="201"/>
      <c r="D1" s="201"/>
      <c r="E1" s="201"/>
      <c r="F1" s="201"/>
      <c r="G1" s="201"/>
      <c r="H1" s="202"/>
      <c r="I1" s="202"/>
      <c r="J1" s="202"/>
    </row>
    <row r="2" spans="1:16" ht="15.75" x14ac:dyDescent="0.25">
      <c r="A2" s="203" t="s">
        <v>1</v>
      </c>
      <c r="B2" s="203"/>
      <c r="C2" s="203"/>
      <c r="D2" s="204"/>
      <c r="E2" s="204"/>
      <c r="F2" s="204"/>
      <c r="G2" s="204"/>
      <c r="H2" s="204"/>
      <c r="I2" s="204"/>
      <c r="J2" s="2"/>
      <c r="N2" s="3"/>
    </row>
    <row r="3" spans="1:16" ht="15.75" x14ac:dyDescent="0.25">
      <c r="A3" s="4"/>
      <c r="B3" s="4"/>
      <c r="C3" s="4"/>
      <c r="D3" s="5"/>
      <c r="E3" s="6"/>
      <c r="F3" s="6"/>
      <c r="G3" s="6"/>
      <c r="H3" s="6"/>
      <c r="I3" s="7"/>
      <c r="N3" s="8"/>
      <c r="O3" s="9"/>
    </row>
    <row r="4" spans="1:16" s="19" customFormat="1" ht="45.75" thickBot="1" x14ac:dyDescent="0.3">
      <c r="A4" s="10"/>
      <c r="B4" s="11"/>
      <c r="C4" s="11"/>
      <c r="D4" s="11"/>
      <c r="E4" s="11"/>
      <c r="F4" s="11"/>
      <c r="G4" s="12"/>
      <c r="H4" s="13" t="s">
        <v>2</v>
      </c>
      <c r="I4" s="14" t="s">
        <v>3</v>
      </c>
      <c r="J4" s="15" t="s">
        <v>4</v>
      </c>
      <c r="K4" s="16" t="s">
        <v>5</v>
      </c>
      <c r="L4" s="16" t="s">
        <v>6</v>
      </c>
      <c r="M4" s="16" t="s">
        <v>7</v>
      </c>
      <c r="N4" s="17" t="s">
        <v>8</v>
      </c>
      <c r="O4" s="15" t="s">
        <v>9</v>
      </c>
      <c r="P4" s="18" t="s">
        <v>10</v>
      </c>
    </row>
    <row r="5" spans="1:16" s="19" customFormat="1" ht="15" customHeight="1" thickBot="1" x14ac:dyDescent="0.3">
      <c r="A5" s="205" t="s">
        <v>11</v>
      </c>
      <c r="B5" s="206"/>
      <c r="C5" s="206"/>
      <c r="D5" s="206"/>
      <c r="E5" s="206"/>
      <c r="F5" s="206"/>
      <c r="G5" s="206"/>
      <c r="H5" s="206"/>
      <c r="I5" s="20">
        <v>67.8</v>
      </c>
      <c r="J5" s="21">
        <f>I5-K5-L5-M5-N5</f>
        <v>65.56</v>
      </c>
      <c r="K5" s="22">
        <v>0.21</v>
      </c>
      <c r="L5" s="22">
        <v>0.55000000000000004</v>
      </c>
      <c r="M5" s="22">
        <v>1</v>
      </c>
      <c r="N5" s="23">
        <f>0.8*0.6</f>
        <v>0.48</v>
      </c>
      <c r="O5" s="21"/>
      <c r="P5" s="24">
        <f>I5-SUM(J5:O5)</f>
        <v>0</v>
      </c>
    </row>
    <row r="6" spans="1:16" x14ac:dyDescent="0.25">
      <c r="A6" s="207" t="s">
        <v>12</v>
      </c>
      <c r="B6" s="208"/>
      <c r="C6" s="208"/>
      <c r="D6" s="208"/>
      <c r="E6" s="208"/>
      <c r="F6" s="208"/>
      <c r="G6" s="25"/>
      <c r="H6" s="26"/>
      <c r="I6" s="27"/>
      <c r="J6" s="28"/>
      <c r="K6" s="29"/>
      <c r="L6" s="29"/>
      <c r="M6" s="30"/>
      <c r="N6" s="30"/>
      <c r="O6" s="28"/>
      <c r="P6" s="31"/>
    </row>
    <row r="7" spans="1:16" x14ac:dyDescent="0.25">
      <c r="A7" s="32"/>
      <c r="B7" s="26"/>
      <c r="C7" s="26"/>
      <c r="D7" s="26"/>
      <c r="E7" s="26"/>
      <c r="F7" s="26"/>
      <c r="G7" s="33"/>
      <c r="H7" s="26"/>
      <c r="I7" s="34"/>
      <c r="J7" s="35"/>
      <c r="K7" s="36"/>
      <c r="L7" s="36"/>
      <c r="M7" s="36"/>
      <c r="N7" s="36"/>
      <c r="O7" s="35"/>
      <c r="P7" s="37"/>
    </row>
    <row r="8" spans="1:16" x14ac:dyDescent="0.25">
      <c r="A8" s="183" t="s">
        <v>13</v>
      </c>
      <c r="B8" s="184"/>
      <c r="C8" s="184"/>
      <c r="D8" s="184"/>
      <c r="E8" s="184"/>
      <c r="F8" s="184"/>
      <c r="G8" s="38"/>
      <c r="H8" s="26"/>
      <c r="I8" s="34"/>
      <c r="J8" s="35"/>
      <c r="K8" s="36"/>
      <c r="L8" s="36"/>
      <c r="M8" s="36"/>
      <c r="N8" s="36"/>
      <c r="O8" s="35"/>
      <c r="P8" s="37"/>
    </row>
    <row r="9" spans="1:16" x14ac:dyDescent="0.25">
      <c r="A9" s="39"/>
      <c r="B9" s="40" t="s">
        <v>14</v>
      </c>
      <c r="C9" s="41"/>
      <c r="D9" s="41"/>
      <c r="E9" s="41"/>
      <c r="F9" s="41"/>
      <c r="G9" s="42" t="s">
        <v>15</v>
      </c>
      <c r="H9" s="43">
        <v>9900</v>
      </c>
      <c r="I9" s="34">
        <f>I10-I13</f>
        <v>4031382.5300000003</v>
      </c>
      <c r="J9" s="36">
        <f t="shared" ref="J9:O9" si="0">J10-J13</f>
        <v>3874775.6999999997</v>
      </c>
      <c r="K9" s="44">
        <f t="shared" si="0"/>
        <v>13313.52</v>
      </c>
      <c r="L9" s="34">
        <f>L10-L13</f>
        <v>30061.75</v>
      </c>
      <c r="M9" s="34">
        <f>M10-M13</f>
        <v>87402.86</v>
      </c>
      <c r="N9" s="34">
        <f>N10-N13</f>
        <v>25828.699999999997</v>
      </c>
      <c r="O9" s="44">
        <f t="shared" si="0"/>
        <v>0</v>
      </c>
      <c r="P9" s="45">
        <f>I9-SUM(J9:O9)</f>
        <v>0</v>
      </c>
    </row>
    <row r="10" spans="1:16" x14ac:dyDescent="0.25">
      <c r="A10" s="32"/>
      <c r="B10" s="46"/>
      <c r="C10" s="196" t="s">
        <v>16</v>
      </c>
      <c r="D10" s="196"/>
      <c r="E10" s="196"/>
      <c r="F10" s="196"/>
      <c r="G10" s="38"/>
      <c r="H10" s="43" t="s">
        <v>17</v>
      </c>
      <c r="I10" s="47">
        <v>4584194</v>
      </c>
      <c r="J10" s="48">
        <f>I10-K10-L10-M10-N10</f>
        <v>4419272.8499999996</v>
      </c>
      <c r="K10" s="48">
        <f t="shared" ref="K10:L10" si="1">K12+K11</f>
        <v>13500</v>
      </c>
      <c r="L10" s="48">
        <f t="shared" si="1"/>
        <v>30202.03</v>
      </c>
      <c r="M10" s="48">
        <f>M12+M11</f>
        <v>92673.75</v>
      </c>
      <c r="N10" s="48">
        <f>N12+N11</f>
        <v>28545.37</v>
      </c>
      <c r="O10" s="49"/>
      <c r="P10" s="50">
        <f t="shared" ref="P10:P19" si="2">I10-SUM(J10:O10)</f>
        <v>0</v>
      </c>
    </row>
    <row r="11" spans="1:16" x14ac:dyDescent="0.25">
      <c r="A11" s="32"/>
      <c r="B11" s="195"/>
      <c r="C11" s="196"/>
      <c r="D11" s="197" t="s">
        <v>18</v>
      </c>
      <c r="E11" s="196"/>
      <c r="F11" s="196"/>
      <c r="G11" s="38"/>
      <c r="H11" s="43">
        <v>70</v>
      </c>
      <c r="I11" s="51">
        <v>259579.94</v>
      </c>
      <c r="J11" s="52">
        <v>259579.94</v>
      </c>
      <c r="K11" s="51">
        <v>0</v>
      </c>
      <c r="L11" s="51">
        <v>0</v>
      </c>
      <c r="M11" s="51">
        <v>0</v>
      </c>
      <c r="N11" s="51"/>
      <c r="O11" s="52"/>
      <c r="P11" s="53">
        <f t="shared" si="2"/>
        <v>0</v>
      </c>
    </row>
    <row r="12" spans="1:16" ht="14.45" customHeight="1" x14ac:dyDescent="0.25">
      <c r="A12" s="32"/>
      <c r="B12" s="26"/>
      <c r="C12" s="26"/>
      <c r="D12" s="198" t="s">
        <v>19</v>
      </c>
      <c r="E12" s="199"/>
      <c r="F12" s="199"/>
      <c r="G12" s="54"/>
      <c r="H12" s="43">
        <v>73</v>
      </c>
      <c r="I12" s="55">
        <f>4223013.5</f>
        <v>4223013.5</v>
      </c>
      <c r="J12" s="56">
        <f>I12-K12-L12-M12-N12</f>
        <v>4058092.35</v>
      </c>
      <c r="K12" s="55">
        <v>13500</v>
      </c>
      <c r="L12" s="55">
        <v>30202.03</v>
      </c>
      <c r="M12" s="55">
        <f>62613.86+5000+6906.42+15653.47+2500</f>
        <v>92673.75</v>
      </c>
      <c r="N12" s="55">
        <v>28545.37</v>
      </c>
      <c r="O12" s="56"/>
      <c r="P12" s="57">
        <f t="shared" si="2"/>
        <v>0</v>
      </c>
    </row>
    <row r="13" spans="1:16" ht="14.45" customHeight="1" x14ac:dyDescent="0.25">
      <c r="A13" s="32"/>
      <c r="B13" s="58"/>
      <c r="C13" s="189" t="s">
        <v>20</v>
      </c>
      <c r="D13" s="200"/>
      <c r="E13" s="200"/>
      <c r="F13" s="200"/>
      <c r="G13" s="38"/>
      <c r="H13" s="43" t="s">
        <v>21</v>
      </c>
      <c r="I13" s="55">
        <f>92889.72+459921.75</f>
        <v>552811.47</v>
      </c>
      <c r="J13" s="56">
        <f>I13-K13-L13-M13-N13</f>
        <v>544497.14999999991</v>
      </c>
      <c r="K13" s="55">
        <f>46.2+140.28</f>
        <v>186.48000000000002</v>
      </c>
      <c r="L13" s="55">
        <v>140.28</v>
      </c>
      <c r="M13" s="55">
        <f>3770.89+1500</f>
        <v>5270.8899999999994</v>
      </c>
      <c r="N13" s="55">
        <v>2716.67</v>
      </c>
      <c r="O13" s="56"/>
      <c r="P13" s="57">
        <f>I13-SUM(J13:O13)</f>
        <v>0</v>
      </c>
    </row>
    <row r="14" spans="1:16" ht="14.45" customHeight="1" x14ac:dyDescent="0.25">
      <c r="A14" s="32"/>
      <c r="B14" s="189" t="s">
        <v>22</v>
      </c>
      <c r="C14" s="189"/>
      <c r="D14" s="189"/>
      <c r="E14" s="189"/>
      <c r="F14" s="189"/>
      <c r="G14" s="38" t="s">
        <v>15</v>
      </c>
      <c r="H14" s="43">
        <v>62</v>
      </c>
      <c r="I14" s="51">
        <v>3674378.26</v>
      </c>
      <c r="J14" s="2">
        <f>I14-K14-L14-M14-N14</f>
        <v>3556655.14</v>
      </c>
      <c r="K14" s="52">
        <f>7325.97+2391.83+958.17+3.08+200</f>
        <v>10879.05</v>
      </c>
      <c r="L14" s="51">
        <f>21752.43+7160.45+323.87+200</f>
        <v>29436.75</v>
      </c>
      <c r="M14" s="51">
        <f>35662.3+2547.03+12436.2+884+28.84-96.33+5+115.92+24.36</f>
        <v>51607.319999999992</v>
      </c>
      <c r="N14" s="51">
        <v>25800</v>
      </c>
      <c r="O14" s="52"/>
      <c r="P14" s="57">
        <f>I14-SUM(J14:O14)</f>
        <v>0</v>
      </c>
    </row>
    <row r="15" spans="1:16" ht="14.45" customHeight="1" x14ac:dyDescent="0.25">
      <c r="A15" s="32"/>
      <c r="B15" s="189" t="s">
        <v>23</v>
      </c>
      <c r="C15" s="189"/>
      <c r="D15" s="189"/>
      <c r="E15" s="189"/>
      <c r="F15" s="189"/>
      <c r="G15" s="38" t="s">
        <v>15</v>
      </c>
      <c r="H15" s="43">
        <v>630</v>
      </c>
      <c r="I15" s="55">
        <v>199600.55</v>
      </c>
      <c r="J15" s="56">
        <v>199600.55</v>
      </c>
      <c r="K15" s="55">
        <v>0</v>
      </c>
      <c r="L15" s="55">
        <v>0</v>
      </c>
      <c r="M15" s="55">
        <v>0</v>
      </c>
      <c r="N15" s="55">
        <v>0</v>
      </c>
      <c r="O15" s="56"/>
      <c r="P15" s="57">
        <f t="shared" si="2"/>
        <v>0</v>
      </c>
    </row>
    <row r="16" spans="1:16" ht="14.45" customHeight="1" x14ac:dyDescent="0.25">
      <c r="A16" s="32"/>
      <c r="B16" s="189" t="s">
        <v>24</v>
      </c>
      <c r="C16" s="189"/>
      <c r="D16" s="189"/>
      <c r="E16" s="189"/>
      <c r="F16" s="189"/>
      <c r="G16" s="38" t="s">
        <v>15</v>
      </c>
      <c r="H16" s="43" t="s">
        <v>25</v>
      </c>
      <c r="I16" s="55">
        <v>7010.37</v>
      </c>
      <c r="J16" s="56">
        <v>7010.37</v>
      </c>
      <c r="K16" s="59">
        <v>0</v>
      </c>
      <c r="L16" s="59">
        <v>0</v>
      </c>
      <c r="M16" s="59">
        <v>0</v>
      </c>
      <c r="N16" s="55">
        <v>0</v>
      </c>
      <c r="O16" s="56"/>
      <c r="P16" s="57">
        <f t="shared" si="2"/>
        <v>0</v>
      </c>
    </row>
    <row r="17" spans="1:16" ht="14.45" customHeight="1" x14ac:dyDescent="0.25">
      <c r="A17" s="32"/>
      <c r="B17" s="189" t="s">
        <v>26</v>
      </c>
      <c r="C17" s="189"/>
      <c r="D17" s="189"/>
      <c r="E17" s="189"/>
      <c r="F17" s="189"/>
      <c r="G17" s="38" t="s">
        <v>15</v>
      </c>
      <c r="H17" s="43" t="s">
        <v>27</v>
      </c>
      <c r="I17" s="55">
        <f>-3940.3+22633.45</f>
        <v>18693.150000000001</v>
      </c>
      <c r="J17" s="56">
        <v>18693.150000000001</v>
      </c>
      <c r="K17" s="55"/>
      <c r="L17" s="55"/>
      <c r="M17" s="55">
        <v>0</v>
      </c>
      <c r="N17" s="55"/>
      <c r="O17" s="56"/>
      <c r="P17" s="57">
        <f t="shared" si="2"/>
        <v>0</v>
      </c>
    </row>
    <row r="18" spans="1:16" ht="14.45" customHeight="1" x14ac:dyDescent="0.25">
      <c r="A18" s="32"/>
      <c r="B18" s="190" t="s">
        <v>28</v>
      </c>
      <c r="C18" s="190"/>
      <c r="D18" s="190"/>
      <c r="E18" s="190"/>
      <c r="F18" s="190"/>
      <c r="G18" s="38"/>
      <c r="H18" s="43" t="s">
        <v>29</v>
      </c>
      <c r="I18" s="55">
        <v>74728.13</v>
      </c>
      <c r="J18" s="56">
        <f>I18-K18-L18-M18</f>
        <v>36541.040000000008</v>
      </c>
      <c r="K18" s="55">
        <v>2400</v>
      </c>
      <c r="L18" s="55"/>
      <c r="M18" s="55">
        <f>35438.78+348.31</f>
        <v>35787.089999999997</v>
      </c>
      <c r="N18" s="55">
        <v>0</v>
      </c>
      <c r="O18" s="56"/>
      <c r="P18" s="57">
        <f>I18-SUM(J18:O18)</f>
        <v>0</v>
      </c>
    </row>
    <row r="19" spans="1:16" ht="14.45" customHeight="1" x14ac:dyDescent="0.25">
      <c r="A19" s="32"/>
      <c r="B19" s="189" t="s">
        <v>30</v>
      </c>
      <c r="C19" s="189"/>
      <c r="D19" s="189"/>
      <c r="E19" s="189"/>
      <c r="F19" s="189"/>
      <c r="G19" s="38" t="s">
        <v>31</v>
      </c>
      <c r="H19" s="43">
        <v>649</v>
      </c>
      <c r="I19" s="55">
        <v>0</v>
      </c>
      <c r="J19" s="56"/>
      <c r="K19" s="55"/>
      <c r="L19" s="55"/>
      <c r="M19" s="55"/>
      <c r="N19" s="55">
        <v>0</v>
      </c>
      <c r="O19" s="56"/>
      <c r="P19" s="57">
        <f t="shared" si="2"/>
        <v>0</v>
      </c>
    </row>
    <row r="20" spans="1:16" x14ac:dyDescent="0.25">
      <c r="A20" s="32"/>
      <c r="B20" s="60"/>
      <c r="C20" s="5"/>
      <c r="D20" s="46"/>
      <c r="E20" s="46"/>
      <c r="F20" s="46"/>
      <c r="G20" s="38"/>
      <c r="H20" s="43"/>
      <c r="I20" s="61"/>
      <c r="J20" s="62"/>
      <c r="K20" s="61"/>
      <c r="L20" s="61"/>
      <c r="M20" s="61"/>
      <c r="N20" s="61"/>
      <c r="O20" s="62"/>
      <c r="P20" s="63"/>
    </row>
    <row r="21" spans="1:16" s="69" customFormat="1" x14ac:dyDescent="0.25">
      <c r="A21" s="191" t="s">
        <v>32</v>
      </c>
      <c r="B21" s="192"/>
      <c r="C21" s="192"/>
      <c r="D21" s="192"/>
      <c r="E21" s="192"/>
      <c r="F21" s="192"/>
      <c r="G21" s="64" t="s">
        <v>15</v>
      </c>
      <c r="H21" s="65">
        <v>9901</v>
      </c>
      <c r="I21" s="66">
        <f>I9-I14-I15-I16-I17-I18-I19</f>
        <v>56972.070000000502</v>
      </c>
      <c r="J21" s="67">
        <f>J9-J14-J15-J16-J17-J18-J19</f>
        <v>56275.449999999604</v>
      </c>
      <c r="K21" s="67">
        <f>K9-K14-K15-K16-K17-K18-K19</f>
        <v>34.470000000001164</v>
      </c>
      <c r="L21" s="66">
        <f t="shared" ref="L21:O21" si="3">L9-L14-L15-L16-L17-L18-L19</f>
        <v>625</v>
      </c>
      <c r="M21" s="66">
        <f>M9-M14-M15-M16-M17-M18-M19</f>
        <v>8.4500000000116415</v>
      </c>
      <c r="N21" s="66">
        <f t="shared" si="3"/>
        <v>28.69999999999709</v>
      </c>
      <c r="O21" s="67">
        <f t="shared" si="3"/>
        <v>0</v>
      </c>
      <c r="P21" s="68">
        <f>P9-P14-P15-P16-P17-P18-P19</f>
        <v>0</v>
      </c>
    </row>
    <row r="22" spans="1:16" s="69" customFormat="1" x14ac:dyDescent="0.25">
      <c r="A22" s="70"/>
      <c r="B22" s="193"/>
      <c r="C22" s="194"/>
      <c r="D22" s="194"/>
      <c r="E22" s="194"/>
      <c r="F22" s="194"/>
      <c r="G22" s="64"/>
      <c r="H22" s="65"/>
      <c r="I22" s="71"/>
      <c r="J22" s="72"/>
      <c r="K22" s="71"/>
      <c r="L22" s="71"/>
      <c r="M22" s="71"/>
      <c r="N22" s="71"/>
      <c r="O22" s="72"/>
      <c r="P22" s="73"/>
    </row>
    <row r="23" spans="1:16" x14ac:dyDescent="0.25">
      <c r="A23" s="74" t="s">
        <v>33</v>
      </c>
      <c r="B23" s="75"/>
      <c r="C23" s="75"/>
      <c r="D23" s="75"/>
      <c r="E23" s="75"/>
      <c r="F23" s="75"/>
      <c r="G23" s="33"/>
      <c r="H23" s="43">
        <v>75</v>
      </c>
      <c r="I23" s="47">
        <v>8166.89</v>
      </c>
      <c r="J23" s="49">
        <v>8166.89</v>
      </c>
      <c r="K23" s="47"/>
      <c r="L23" s="47"/>
      <c r="M23" s="47"/>
      <c r="N23" s="47"/>
      <c r="O23" s="49"/>
      <c r="P23" s="50">
        <f>I23-SUM(J23:O23)</f>
        <v>0</v>
      </c>
    </row>
    <row r="24" spans="1:16" x14ac:dyDescent="0.25">
      <c r="A24" s="74"/>
      <c r="B24" s="75"/>
      <c r="C24" s="75"/>
      <c r="D24" s="75"/>
      <c r="E24" s="75"/>
      <c r="F24" s="75"/>
      <c r="G24" s="33"/>
      <c r="H24" s="43"/>
      <c r="I24" s="71"/>
      <c r="J24" s="72"/>
      <c r="K24" s="71"/>
      <c r="L24" s="71"/>
      <c r="M24" s="71"/>
      <c r="N24" s="71"/>
      <c r="O24" s="72"/>
      <c r="P24" s="73"/>
    </row>
    <row r="25" spans="1:16" x14ac:dyDescent="0.25">
      <c r="A25" s="183" t="s">
        <v>34</v>
      </c>
      <c r="B25" s="184"/>
      <c r="C25" s="184"/>
      <c r="D25" s="184"/>
      <c r="E25" s="184"/>
      <c r="F25" s="184"/>
      <c r="G25" s="33"/>
      <c r="H25" s="43">
        <v>65</v>
      </c>
      <c r="I25" s="76">
        <v>9877</v>
      </c>
      <c r="J25" s="77">
        <v>9877</v>
      </c>
      <c r="K25" s="76"/>
      <c r="L25" s="76"/>
      <c r="M25" s="76"/>
      <c r="N25" s="76"/>
      <c r="O25" s="77"/>
      <c r="P25" s="78">
        <f>I25-SUM(J25:O25)</f>
        <v>0</v>
      </c>
    </row>
    <row r="26" spans="1:16" x14ac:dyDescent="0.25">
      <c r="A26" s="39"/>
      <c r="B26" s="41"/>
      <c r="C26" s="41"/>
      <c r="D26" s="41"/>
      <c r="E26" s="41"/>
      <c r="F26" s="41"/>
      <c r="G26" s="33"/>
      <c r="H26" s="43"/>
      <c r="I26" s="79"/>
      <c r="J26" s="80"/>
      <c r="K26" s="79"/>
      <c r="L26" s="79"/>
      <c r="M26" s="79"/>
      <c r="N26" s="79"/>
      <c r="O26" s="80"/>
      <c r="P26" s="81"/>
    </row>
    <row r="27" spans="1:16" x14ac:dyDescent="0.25">
      <c r="A27" s="185" t="s">
        <v>35</v>
      </c>
      <c r="B27" s="186"/>
      <c r="C27" s="186"/>
      <c r="D27" s="186"/>
      <c r="E27" s="186"/>
      <c r="F27" s="186"/>
      <c r="G27" s="82" t="s">
        <v>15</v>
      </c>
      <c r="H27" s="43">
        <v>9902</v>
      </c>
      <c r="I27" s="66">
        <f t="shared" ref="I27:O27" si="4">I21+I23-I25</f>
        <v>55261.960000000501</v>
      </c>
      <c r="J27" s="67">
        <f t="shared" si="4"/>
        <v>54565.339999999604</v>
      </c>
      <c r="K27" s="66">
        <f t="shared" si="4"/>
        <v>34.470000000001164</v>
      </c>
      <c r="L27" s="66">
        <f t="shared" si="4"/>
        <v>625</v>
      </c>
      <c r="M27" s="66">
        <f>M21+M23-M25</f>
        <v>8.4500000000116415</v>
      </c>
      <c r="N27" s="66">
        <f t="shared" si="4"/>
        <v>28.69999999999709</v>
      </c>
      <c r="O27" s="67">
        <f t="shared" si="4"/>
        <v>0</v>
      </c>
      <c r="P27" s="68">
        <f>P21+P23-P25</f>
        <v>0</v>
      </c>
    </row>
    <row r="28" spans="1:16" x14ac:dyDescent="0.25">
      <c r="A28" s="32"/>
      <c r="B28" s="26"/>
      <c r="C28" s="26"/>
      <c r="D28" s="26"/>
      <c r="E28" s="26"/>
      <c r="F28" s="26"/>
      <c r="G28" s="33"/>
      <c r="H28" s="43"/>
      <c r="I28" s="61"/>
      <c r="J28" s="62"/>
      <c r="K28" s="61"/>
      <c r="L28" s="61"/>
      <c r="M28" s="61"/>
      <c r="N28" s="61"/>
      <c r="O28" s="62"/>
      <c r="P28" s="63"/>
    </row>
    <row r="29" spans="1:16" x14ac:dyDescent="0.25">
      <c r="A29" s="183" t="s">
        <v>36</v>
      </c>
      <c r="B29" s="184"/>
      <c r="C29" s="184"/>
      <c r="D29" s="184"/>
      <c r="E29" s="184"/>
      <c r="F29" s="184"/>
      <c r="G29" s="33"/>
      <c r="H29" s="43">
        <v>76</v>
      </c>
      <c r="I29" s="47">
        <v>10926.93</v>
      </c>
      <c r="J29" s="49">
        <v>10926.93</v>
      </c>
      <c r="K29" s="47"/>
      <c r="L29" s="47"/>
      <c r="M29" s="47"/>
      <c r="N29" s="47"/>
      <c r="O29" s="49"/>
      <c r="P29" s="50">
        <f>I29-SUM(J29:O29)</f>
        <v>0</v>
      </c>
    </row>
    <row r="30" spans="1:16" x14ac:dyDescent="0.25">
      <c r="A30" s="39"/>
      <c r="B30" s="41"/>
      <c r="C30" s="41"/>
      <c r="D30" s="41"/>
      <c r="E30" s="41"/>
      <c r="F30" s="41"/>
      <c r="G30" s="33"/>
      <c r="H30" s="43"/>
      <c r="I30" s="71"/>
      <c r="J30" s="72"/>
      <c r="K30" s="71"/>
      <c r="L30" s="71"/>
      <c r="M30" s="71"/>
      <c r="N30" s="71"/>
      <c r="O30" s="72"/>
      <c r="P30" s="73"/>
    </row>
    <row r="31" spans="1:16" x14ac:dyDescent="0.25">
      <c r="A31" s="183" t="s">
        <v>37</v>
      </c>
      <c r="B31" s="184"/>
      <c r="C31" s="184"/>
      <c r="D31" s="184"/>
      <c r="E31" s="184"/>
      <c r="F31" s="184"/>
      <c r="G31" s="33"/>
      <c r="H31" s="43">
        <v>66</v>
      </c>
      <c r="I31" s="76">
        <v>0</v>
      </c>
      <c r="J31" s="77">
        <v>0</v>
      </c>
      <c r="K31" s="76"/>
      <c r="L31" s="76"/>
      <c r="M31" s="76"/>
      <c r="N31" s="76"/>
      <c r="O31" s="77"/>
      <c r="P31" s="78">
        <f>I31-SUM(J31:O31)</f>
        <v>0</v>
      </c>
    </row>
    <row r="32" spans="1:16" x14ac:dyDescent="0.25">
      <c r="A32" s="32"/>
      <c r="B32" s="26"/>
      <c r="C32" s="26"/>
      <c r="D32" s="26"/>
      <c r="E32" s="26"/>
      <c r="F32" s="26"/>
      <c r="G32" s="33"/>
      <c r="H32" s="43"/>
      <c r="I32" s="61"/>
      <c r="J32" s="62"/>
      <c r="K32" s="61"/>
      <c r="L32" s="61"/>
      <c r="M32" s="61"/>
      <c r="N32" s="61"/>
      <c r="O32" s="62"/>
      <c r="P32" s="63"/>
    </row>
    <row r="33" spans="1:16" s="69" customFormat="1" x14ac:dyDescent="0.25">
      <c r="A33" s="187" t="s">
        <v>38</v>
      </c>
      <c r="B33" s="188"/>
      <c r="C33" s="188"/>
      <c r="D33" s="188"/>
      <c r="E33" s="188"/>
      <c r="F33" s="188"/>
      <c r="G33" s="83" t="s">
        <v>15</v>
      </c>
      <c r="H33" s="65">
        <v>9904</v>
      </c>
      <c r="I33" s="66">
        <f>I27+I29-I31</f>
        <v>66188.890000000509</v>
      </c>
      <c r="J33" s="67">
        <f>J27+J29-J31</f>
        <v>65492.269999999604</v>
      </c>
      <c r="K33" s="66">
        <f t="shared" ref="K33:O33" si="5">K27+K29-K31</f>
        <v>34.470000000001164</v>
      </c>
      <c r="L33" s="66">
        <f t="shared" si="5"/>
        <v>625</v>
      </c>
      <c r="M33" s="66">
        <f>M27+M29-M31</f>
        <v>8.4500000000116415</v>
      </c>
      <c r="N33" s="66">
        <f t="shared" si="5"/>
        <v>28.69999999999709</v>
      </c>
      <c r="O33" s="67">
        <f t="shared" si="5"/>
        <v>0</v>
      </c>
      <c r="P33" s="68">
        <f>P27+P29-P31</f>
        <v>0</v>
      </c>
    </row>
    <row r="34" spans="1:16" ht="8.25" customHeight="1" thickBot="1" x14ac:dyDescent="0.3">
      <c r="A34" s="84"/>
      <c r="B34" s="85"/>
      <c r="C34" s="85"/>
      <c r="D34" s="85"/>
      <c r="E34" s="85"/>
      <c r="F34" s="85"/>
      <c r="G34" s="86"/>
      <c r="H34" s="87"/>
      <c r="I34" s="76"/>
      <c r="J34" s="88"/>
      <c r="K34" s="89"/>
      <c r="L34" s="89"/>
      <c r="M34" s="89"/>
      <c r="N34" s="89"/>
      <c r="O34" s="88"/>
      <c r="P34" s="90"/>
    </row>
  </sheetData>
  <mergeCells count="23">
    <mergeCell ref="C10:F10"/>
    <mergeCell ref="A1:J1"/>
    <mergeCell ref="A2:I2"/>
    <mergeCell ref="A5:H5"/>
    <mergeCell ref="A6:F6"/>
    <mergeCell ref="A8:F8"/>
    <mergeCell ref="B22:F22"/>
    <mergeCell ref="B11:C11"/>
    <mergeCell ref="D11:F11"/>
    <mergeCell ref="D12:F12"/>
    <mergeCell ref="C13:F13"/>
    <mergeCell ref="B14:F14"/>
    <mergeCell ref="B15:F15"/>
    <mergeCell ref="B16:F16"/>
    <mergeCell ref="B17:F17"/>
    <mergeCell ref="B18:F18"/>
    <mergeCell ref="B19:F19"/>
    <mergeCell ref="A21:F21"/>
    <mergeCell ref="A25:F25"/>
    <mergeCell ref="A27:F27"/>
    <mergeCell ref="A29:F29"/>
    <mergeCell ref="A31:F31"/>
    <mergeCell ref="A33:F33"/>
  </mergeCells>
  <conditionalFormatting sqref="I27:P27 I33:P33 I21:P21">
    <cfRule type="cellIs" dxfId="15" priority="1" stopIfTrue="1" operator="greaterThanOrEqual">
      <formula>0</formula>
    </cfRule>
    <cfRule type="cellIs" dxfId="14" priority="2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sqref="A1:XFD1048576"/>
    </sheetView>
  </sheetViews>
  <sheetFormatPr defaultRowHeight="15" x14ac:dyDescent="0.25"/>
  <cols>
    <col min="1" max="1" width="27.42578125" customWidth="1"/>
    <col min="2" max="2" width="59.140625" customWidth="1"/>
    <col min="3" max="4" width="22.7109375" customWidth="1"/>
    <col min="7" max="7" width="11.7109375" customWidth="1"/>
  </cols>
  <sheetData>
    <row r="1" spans="1:12" ht="18" x14ac:dyDescent="0.25">
      <c r="A1" s="91" t="s">
        <v>39</v>
      </c>
    </row>
    <row r="2" spans="1:12" ht="18" x14ac:dyDescent="0.25">
      <c r="A2" s="91"/>
    </row>
    <row r="3" spans="1:12" ht="23.25" customHeight="1" x14ac:dyDescent="0.25">
      <c r="A3" s="209" t="s">
        <v>40</v>
      </c>
      <c r="B3" s="209"/>
    </row>
    <row r="4" spans="1:12" ht="15.75" thickBot="1" x14ac:dyDescent="0.3"/>
    <row r="5" spans="1:12" ht="15.75" thickBot="1" x14ac:dyDescent="0.3">
      <c r="A5" s="92">
        <v>73</v>
      </c>
      <c r="B5" s="210" t="s">
        <v>19</v>
      </c>
      <c r="C5" s="211"/>
      <c r="D5" s="93">
        <f>SUM(D6:D8)+D9</f>
        <v>4223013.5</v>
      </c>
    </row>
    <row r="6" spans="1:12" x14ac:dyDescent="0.25">
      <c r="A6" s="94" t="s">
        <v>41</v>
      </c>
      <c r="B6" s="212" t="s">
        <v>42</v>
      </c>
      <c r="C6" s="213"/>
      <c r="D6" s="95">
        <v>0</v>
      </c>
    </row>
    <row r="7" spans="1:12" x14ac:dyDescent="0.25">
      <c r="A7" s="94" t="s">
        <v>43</v>
      </c>
      <c r="B7" s="214" t="s">
        <v>44</v>
      </c>
      <c r="C7" s="215"/>
      <c r="D7" s="95">
        <v>16169</v>
      </c>
    </row>
    <row r="8" spans="1:12" ht="15.75" thickBot="1" x14ac:dyDescent="0.3">
      <c r="A8" s="96" t="s">
        <v>45</v>
      </c>
      <c r="B8" s="216" t="s">
        <v>46</v>
      </c>
      <c r="C8" s="217"/>
      <c r="D8" s="97">
        <v>0</v>
      </c>
    </row>
    <row r="9" spans="1:12" ht="39.75" customHeight="1" thickBot="1" x14ac:dyDescent="0.3">
      <c r="A9" s="98" t="s">
        <v>47</v>
      </c>
      <c r="B9" s="218" t="s">
        <v>48</v>
      </c>
      <c r="C9" s="219"/>
      <c r="D9" s="99">
        <f>SUM(D11:D41)</f>
        <v>4206844.5</v>
      </c>
    </row>
    <row r="10" spans="1:12" ht="15.75" thickBot="1" x14ac:dyDescent="0.3">
      <c r="A10" s="100" t="s">
        <v>49</v>
      </c>
      <c r="B10" s="101" t="s">
        <v>50</v>
      </c>
      <c r="C10" s="100" t="s">
        <v>51</v>
      </c>
      <c r="D10" s="102" t="s">
        <v>52</v>
      </c>
    </row>
    <row r="11" spans="1:12" x14ac:dyDescent="0.25">
      <c r="A11" s="103" t="s">
        <v>53</v>
      </c>
      <c r="B11" s="104" t="s">
        <v>54</v>
      </c>
      <c r="C11" s="105" t="s">
        <v>55</v>
      </c>
      <c r="D11" s="95">
        <v>4775.16</v>
      </c>
    </row>
    <row r="12" spans="1:12" x14ac:dyDescent="0.25">
      <c r="A12" s="103" t="s">
        <v>53</v>
      </c>
      <c r="B12" s="104" t="s">
        <v>56</v>
      </c>
      <c r="C12" s="105" t="s">
        <v>55</v>
      </c>
      <c r="D12" s="95">
        <v>10004.120000000001</v>
      </c>
    </row>
    <row r="13" spans="1:12" x14ac:dyDescent="0.25">
      <c r="A13" s="103" t="s">
        <v>57</v>
      </c>
      <c r="B13" s="104" t="s">
        <v>58</v>
      </c>
      <c r="C13" s="105" t="s">
        <v>55</v>
      </c>
      <c r="D13" s="95">
        <v>5000.1099999999997</v>
      </c>
      <c r="G13" s="106"/>
      <c r="H13" s="106"/>
      <c r="I13" s="106"/>
      <c r="J13" s="106"/>
      <c r="K13" s="106"/>
      <c r="L13" s="106"/>
    </row>
    <row r="14" spans="1:12" x14ac:dyDescent="0.25">
      <c r="A14" s="103" t="s">
        <v>59</v>
      </c>
      <c r="B14" s="104" t="s">
        <v>58</v>
      </c>
      <c r="C14" s="105" t="s">
        <v>55</v>
      </c>
      <c r="D14" s="95">
        <v>2326.5</v>
      </c>
      <c r="G14" s="106"/>
      <c r="H14" s="106"/>
      <c r="I14" s="106"/>
      <c r="J14" s="106"/>
      <c r="K14" s="106"/>
      <c r="L14" s="106"/>
    </row>
    <row r="15" spans="1:12" x14ac:dyDescent="0.25">
      <c r="A15" s="103" t="s">
        <v>53</v>
      </c>
      <c r="B15" s="104" t="s">
        <v>60</v>
      </c>
      <c r="C15" s="105" t="s">
        <v>55</v>
      </c>
      <c r="D15" s="95">
        <v>12513.48</v>
      </c>
      <c r="G15" s="106"/>
      <c r="H15" s="106"/>
      <c r="I15" s="106"/>
      <c r="J15" s="106"/>
      <c r="K15" s="106"/>
      <c r="L15" s="106"/>
    </row>
    <row r="16" spans="1:12" x14ac:dyDescent="0.25">
      <c r="A16" s="103" t="s">
        <v>53</v>
      </c>
      <c r="B16" s="104" t="s">
        <v>61</v>
      </c>
      <c r="C16" s="105" t="s">
        <v>55</v>
      </c>
      <c r="D16" s="95">
        <v>29619.14</v>
      </c>
      <c r="G16" s="106"/>
      <c r="H16" s="106"/>
      <c r="I16" s="106"/>
      <c r="J16" s="106"/>
      <c r="K16" s="106"/>
      <c r="L16" s="106"/>
    </row>
    <row r="17" spans="1:12" x14ac:dyDescent="0.25">
      <c r="A17" s="103" t="s">
        <v>62</v>
      </c>
      <c r="B17" s="104" t="s">
        <v>63</v>
      </c>
      <c r="C17" s="105" t="s">
        <v>55</v>
      </c>
      <c r="D17" s="95">
        <v>58378.51</v>
      </c>
      <c r="G17" s="106"/>
      <c r="H17" s="106"/>
      <c r="I17" s="106"/>
      <c r="J17" s="106"/>
      <c r="K17" s="106"/>
      <c r="L17" s="106"/>
    </row>
    <row r="18" spans="1:12" x14ac:dyDescent="0.25">
      <c r="A18" s="103" t="s">
        <v>64</v>
      </c>
      <c r="B18" s="104" t="s">
        <v>65</v>
      </c>
      <c r="C18" s="105" t="s">
        <v>55</v>
      </c>
      <c r="D18" s="95">
        <v>3581792.45</v>
      </c>
      <c r="G18" s="106"/>
      <c r="H18" s="106"/>
      <c r="I18" s="106"/>
      <c r="J18" s="106"/>
      <c r="K18" s="106"/>
      <c r="L18" s="106"/>
    </row>
    <row r="19" spans="1:12" x14ac:dyDescent="0.25">
      <c r="A19" s="103" t="s">
        <v>64</v>
      </c>
      <c r="B19" s="104" t="s">
        <v>65</v>
      </c>
      <c r="C19" s="105" t="s">
        <v>66</v>
      </c>
      <c r="D19" s="95">
        <v>78267.33</v>
      </c>
      <c r="G19" s="106"/>
      <c r="H19" s="106"/>
      <c r="I19" s="106"/>
      <c r="J19" s="106"/>
      <c r="K19" s="106"/>
      <c r="L19" s="106"/>
    </row>
    <row r="20" spans="1:12" x14ac:dyDescent="0.25">
      <c r="A20" s="103" t="s">
        <v>67</v>
      </c>
      <c r="B20" s="104" t="s">
        <v>68</v>
      </c>
      <c r="C20" s="105" t="s">
        <v>69</v>
      </c>
      <c r="D20" s="95">
        <v>22879.51</v>
      </c>
      <c r="G20" s="106"/>
      <c r="H20" s="106"/>
      <c r="I20" s="106"/>
      <c r="J20" s="106"/>
      <c r="K20" s="106"/>
      <c r="L20" s="106"/>
    </row>
    <row r="21" spans="1:12" x14ac:dyDescent="0.25">
      <c r="A21" s="103" t="s">
        <v>67</v>
      </c>
      <c r="B21" s="104" t="s">
        <v>70</v>
      </c>
      <c r="C21" s="105" t="s">
        <v>55</v>
      </c>
      <c r="D21" s="95">
        <v>3770</v>
      </c>
      <c r="G21" s="106"/>
      <c r="H21" s="106"/>
      <c r="I21" s="106"/>
      <c r="J21" s="106"/>
      <c r="K21" s="106"/>
      <c r="L21" s="106"/>
    </row>
    <row r="22" spans="1:12" x14ac:dyDescent="0.25">
      <c r="A22" s="103" t="s">
        <v>71</v>
      </c>
      <c r="B22" s="104" t="s">
        <v>72</v>
      </c>
      <c r="C22" s="105" t="s">
        <v>55</v>
      </c>
      <c r="D22" s="95">
        <v>9455</v>
      </c>
      <c r="G22" s="106"/>
      <c r="H22" s="106"/>
      <c r="I22" s="106"/>
      <c r="J22" s="106"/>
      <c r="K22" s="106"/>
      <c r="L22" s="106"/>
    </row>
    <row r="23" spans="1:12" x14ac:dyDescent="0.25">
      <c r="A23" s="103" t="s">
        <v>73</v>
      </c>
      <c r="B23" s="104" t="s">
        <v>73</v>
      </c>
      <c r="C23" s="105" t="s">
        <v>55</v>
      </c>
      <c r="D23" s="95">
        <v>281334.40999999997</v>
      </c>
      <c r="G23" s="106"/>
      <c r="H23" s="106"/>
      <c r="I23" s="106"/>
      <c r="J23" s="106"/>
      <c r="K23" s="106"/>
      <c r="L23" s="106"/>
    </row>
    <row r="24" spans="1:12" x14ac:dyDescent="0.25">
      <c r="A24" s="103" t="s">
        <v>74</v>
      </c>
      <c r="B24" s="104" t="s">
        <v>74</v>
      </c>
      <c r="C24" s="105" t="s">
        <v>55</v>
      </c>
      <c r="D24" s="95">
        <v>56712.88</v>
      </c>
      <c r="G24" s="106"/>
      <c r="H24" s="106"/>
      <c r="I24" s="106"/>
      <c r="J24" s="106"/>
      <c r="K24" s="106"/>
      <c r="L24" s="106"/>
    </row>
    <row r="25" spans="1:12" x14ac:dyDescent="0.25">
      <c r="A25" s="103" t="s">
        <v>75</v>
      </c>
      <c r="B25" s="104" t="s">
        <v>76</v>
      </c>
      <c r="C25" s="105" t="s">
        <v>55</v>
      </c>
      <c r="D25" s="95">
        <v>2488.0500000000002</v>
      </c>
    </row>
    <row r="26" spans="1:12" x14ac:dyDescent="0.25">
      <c r="A26" s="103" t="s">
        <v>77</v>
      </c>
      <c r="B26" s="104" t="s">
        <v>78</v>
      </c>
      <c r="C26" s="105" t="s">
        <v>79</v>
      </c>
      <c r="D26" s="95">
        <v>12325.82</v>
      </c>
    </row>
    <row r="27" spans="1:12" ht="25.5" x14ac:dyDescent="0.25">
      <c r="A27" s="103" t="s">
        <v>80</v>
      </c>
      <c r="B27" s="104" t="s">
        <v>78</v>
      </c>
      <c r="C27" s="105" t="s">
        <v>81</v>
      </c>
      <c r="D27" s="95">
        <v>30202.03</v>
      </c>
    </row>
    <row r="28" spans="1:12" x14ac:dyDescent="0.25">
      <c r="A28" s="103" t="s">
        <v>67</v>
      </c>
      <c r="B28" s="104" t="s">
        <v>82</v>
      </c>
      <c r="C28" s="105" t="s">
        <v>83</v>
      </c>
      <c r="D28" s="95">
        <v>5000</v>
      </c>
    </row>
    <row r="29" spans="1:12" x14ac:dyDescent="0.25">
      <c r="A29" s="94"/>
      <c r="B29" s="107"/>
      <c r="C29" s="108"/>
      <c r="D29" s="95"/>
    </row>
    <row r="30" spans="1:12" x14ac:dyDescent="0.25">
      <c r="A30" s="94"/>
      <c r="B30" s="107"/>
      <c r="C30" s="108"/>
      <c r="D30" s="95"/>
    </row>
    <row r="31" spans="1:12" x14ac:dyDescent="0.25">
      <c r="A31" s="94"/>
      <c r="B31" s="107"/>
      <c r="C31" s="108"/>
      <c r="D31" s="95"/>
    </row>
    <row r="32" spans="1:12" x14ac:dyDescent="0.25">
      <c r="A32" s="94"/>
      <c r="B32" s="107"/>
      <c r="C32" s="108"/>
      <c r="D32" s="95"/>
    </row>
    <row r="33" spans="1:4" x14ac:dyDescent="0.25">
      <c r="A33" s="94"/>
      <c r="B33" s="107"/>
      <c r="C33" s="108"/>
      <c r="D33" s="95"/>
    </row>
    <row r="34" spans="1:4" x14ac:dyDescent="0.25">
      <c r="A34" s="94"/>
      <c r="B34" s="107"/>
      <c r="C34" s="108"/>
      <c r="D34" s="95"/>
    </row>
    <row r="35" spans="1:4" x14ac:dyDescent="0.25">
      <c r="A35" s="94"/>
      <c r="B35" s="107"/>
      <c r="C35" s="108"/>
      <c r="D35" s="95"/>
    </row>
    <row r="36" spans="1:4" x14ac:dyDescent="0.25">
      <c r="A36" s="109"/>
      <c r="B36" s="110"/>
      <c r="C36" s="111"/>
      <c r="D36" s="112"/>
    </row>
    <row r="37" spans="1:4" x14ac:dyDescent="0.25">
      <c r="A37" s="109"/>
      <c r="B37" s="110"/>
      <c r="C37" s="111"/>
      <c r="D37" s="112"/>
    </row>
    <row r="38" spans="1:4" x14ac:dyDescent="0.25">
      <c r="A38" s="109"/>
      <c r="B38" s="110"/>
      <c r="C38" s="111"/>
      <c r="D38" s="112"/>
    </row>
    <row r="39" spans="1:4" x14ac:dyDescent="0.25">
      <c r="A39" s="109"/>
      <c r="B39" s="110"/>
      <c r="C39" s="111"/>
      <c r="D39" s="112"/>
    </row>
    <row r="40" spans="1:4" x14ac:dyDescent="0.25">
      <c r="A40" s="109"/>
      <c r="B40" s="110"/>
      <c r="C40" s="111"/>
      <c r="D40" s="112"/>
    </row>
    <row r="41" spans="1:4" ht="15.75" thickBot="1" x14ac:dyDescent="0.3">
      <c r="A41" s="113"/>
      <c r="B41" s="114"/>
      <c r="C41" s="115"/>
      <c r="D41" s="116"/>
    </row>
    <row r="42" spans="1:4" x14ac:dyDescent="0.25">
      <c r="A42" s="117"/>
      <c r="B42" s="117"/>
    </row>
    <row r="43" spans="1:4" x14ac:dyDescent="0.25">
      <c r="A43" s="117"/>
      <c r="B43" s="117"/>
    </row>
  </sheetData>
  <mergeCells count="6">
    <mergeCell ref="B9:C9"/>
    <mergeCell ref="A3:B3"/>
    <mergeCell ref="B5:C5"/>
    <mergeCell ref="B6:C6"/>
    <mergeCell ref="B7:C7"/>
    <mergeCell ref="B8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sqref="A1:XFD1048576"/>
    </sheetView>
  </sheetViews>
  <sheetFormatPr defaultColWidth="9.140625" defaultRowHeight="15" x14ac:dyDescent="0.25"/>
  <cols>
    <col min="1" max="1" width="2.7109375" style="1" customWidth="1"/>
    <col min="2" max="2" width="4.7109375" style="1" customWidth="1"/>
    <col min="3" max="3" width="3.7109375" style="1" customWidth="1"/>
    <col min="4" max="5" width="9.140625" style="1"/>
    <col min="6" max="6" width="22.5703125" style="1" customWidth="1"/>
    <col min="7" max="7" width="4.42578125" style="1" customWidth="1"/>
    <col min="8" max="8" width="6.28515625" style="1" customWidth="1"/>
    <col min="9" max="9" width="14.7109375" style="1" customWidth="1"/>
    <col min="10" max="17" width="16.85546875" style="1" customWidth="1"/>
    <col min="18" max="18" width="11.7109375" style="1" customWidth="1"/>
    <col min="19" max="16384" width="9.140625" style="1"/>
  </cols>
  <sheetData>
    <row r="1" spans="1:18" ht="18" x14ac:dyDescent="0.25">
      <c r="A1" s="201" t="s">
        <v>0</v>
      </c>
      <c r="B1" s="201"/>
      <c r="C1" s="201"/>
      <c r="D1" s="201"/>
      <c r="E1" s="201"/>
      <c r="F1" s="201"/>
      <c r="G1" s="201"/>
      <c r="H1" s="202"/>
      <c r="I1" s="202"/>
      <c r="J1" s="202"/>
    </row>
    <row r="2" spans="1:18" ht="15.75" x14ac:dyDescent="0.25">
      <c r="A2" s="203" t="s">
        <v>84</v>
      </c>
      <c r="B2" s="203"/>
      <c r="C2" s="203"/>
      <c r="D2" s="204"/>
      <c r="E2" s="204"/>
      <c r="F2" s="204"/>
      <c r="G2" s="204"/>
      <c r="H2" s="204"/>
      <c r="I2" s="204"/>
      <c r="J2" s="118"/>
    </row>
    <row r="3" spans="1:18" ht="15.75" x14ac:dyDescent="0.25">
      <c r="A3" s="4"/>
      <c r="B3" s="4"/>
      <c r="C3" s="4"/>
      <c r="D3" s="5"/>
      <c r="E3" s="6"/>
      <c r="F3" s="6"/>
      <c r="G3" s="6"/>
      <c r="H3" s="6"/>
      <c r="I3" s="6"/>
    </row>
    <row r="4" spans="1:18" s="19" customFormat="1" ht="75.75" thickBot="1" x14ac:dyDescent="0.3">
      <c r="A4" s="10"/>
      <c r="B4" s="11"/>
      <c r="C4" s="11"/>
      <c r="D4" s="11"/>
      <c r="E4" s="11"/>
      <c r="F4" s="11"/>
      <c r="G4" s="12"/>
      <c r="H4" s="13" t="s">
        <v>2</v>
      </c>
      <c r="I4" s="119" t="s">
        <v>3</v>
      </c>
      <c r="J4" s="120" t="s">
        <v>85</v>
      </c>
      <c r="K4" s="16" t="s">
        <v>86</v>
      </c>
      <c r="L4" s="16" t="s">
        <v>87</v>
      </c>
      <c r="M4" s="16" t="s">
        <v>88</v>
      </c>
      <c r="N4" s="16" t="s">
        <v>89</v>
      </c>
      <c r="O4" s="120" t="s">
        <v>90</v>
      </c>
      <c r="P4" s="120" t="s">
        <v>91</v>
      </c>
      <c r="Q4" s="120" t="s">
        <v>92</v>
      </c>
      <c r="R4" s="18" t="s">
        <v>10</v>
      </c>
    </row>
    <row r="5" spans="1:18" s="19" customFormat="1" ht="15" customHeight="1" thickBot="1" x14ac:dyDescent="0.3">
      <c r="A5" s="205" t="s">
        <v>11</v>
      </c>
      <c r="B5" s="206"/>
      <c r="C5" s="206"/>
      <c r="D5" s="206"/>
      <c r="E5" s="206"/>
      <c r="F5" s="206"/>
      <c r="G5" s="206"/>
      <c r="H5" s="206"/>
      <c r="I5" s="121">
        <v>70.099999999999994</v>
      </c>
      <c r="J5" s="122">
        <f>I5-K5-L5-M5-N5-O5-P5-Q5</f>
        <v>66.507948717948736</v>
      </c>
      <c r="K5" s="123">
        <v>0.21</v>
      </c>
      <c r="L5" s="123">
        <v>0.55000000000000004</v>
      </c>
      <c r="M5" s="123">
        <v>1</v>
      </c>
      <c r="N5" s="123">
        <v>0.8</v>
      </c>
      <c r="O5" s="122">
        <f>0.5*2/12</f>
        <v>8.3333333333333329E-2</v>
      </c>
      <c r="P5" s="122">
        <f>0.5*2/12</f>
        <v>8.3333333333333329E-2</v>
      </c>
      <c r="Q5" s="122">
        <f>45/52*1</f>
        <v>0.86538461538461542</v>
      </c>
      <c r="R5" s="124">
        <f>I5-SUM(J5:Q5)</f>
        <v>0</v>
      </c>
    </row>
    <row r="6" spans="1:18" x14ac:dyDescent="0.25">
      <c r="A6" s="207" t="s">
        <v>12</v>
      </c>
      <c r="B6" s="208"/>
      <c r="C6" s="208"/>
      <c r="D6" s="208"/>
      <c r="E6" s="208"/>
      <c r="F6" s="208"/>
      <c r="G6" s="25"/>
      <c r="H6" s="26"/>
      <c r="I6" s="30"/>
      <c r="J6" s="28"/>
      <c r="K6" s="30"/>
      <c r="L6" s="30"/>
      <c r="M6" s="30"/>
      <c r="N6" s="30"/>
      <c r="O6" s="28"/>
      <c r="P6" s="28"/>
      <c r="Q6" s="28"/>
      <c r="R6" s="31"/>
    </row>
    <row r="7" spans="1:18" x14ac:dyDescent="0.25">
      <c r="A7" s="32"/>
      <c r="B7" s="26"/>
      <c r="C7" s="26"/>
      <c r="D7" s="26"/>
      <c r="E7" s="26"/>
      <c r="F7" s="26"/>
      <c r="G7" s="33"/>
      <c r="H7" s="26"/>
      <c r="I7" s="36"/>
      <c r="J7" s="35"/>
      <c r="K7" s="36"/>
      <c r="L7" s="36"/>
      <c r="M7" s="36"/>
      <c r="N7" s="36"/>
      <c r="O7" s="35"/>
      <c r="P7" s="35"/>
      <c r="Q7" s="35"/>
      <c r="R7" s="37"/>
    </row>
    <row r="8" spans="1:18" x14ac:dyDescent="0.25">
      <c r="A8" s="183" t="s">
        <v>13</v>
      </c>
      <c r="B8" s="184"/>
      <c r="C8" s="184"/>
      <c r="D8" s="184"/>
      <c r="E8" s="184"/>
      <c r="F8" s="184"/>
      <c r="G8" s="38"/>
      <c r="H8" s="26"/>
      <c r="I8" s="36"/>
      <c r="J8" s="35"/>
      <c r="K8" s="36"/>
      <c r="L8" s="36"/>
      <c r="M8" s="36"/>
      <c r="N8" s="36"/>
      <c r="O8" s="35"/>
      <c r="P8" s="35"/>
      <c r="Q8" s="35"/>
      <c r="R8" s="37"/>
    </row>
    <row r="9" spans="1:18" x14ac:dyDescent="0.25">
      <c r="A9" s="39"/>
      <c r="B9" s="40" t="s">
        <v>14</v>
      </c>
      <c r="C9" s="41"/>
      <c r="D9" s="41"/>
      <c r="E9" s="41"/>
      <c r="F9" s="41"/>
      <c r="G9" s="42" t="s">
        <v>15</v>
      </c>
      <c r="H9" s="43">
        <v>9900</v>
      </c>
      <c r="I9" s="36">
        <f>I10-I13</f>
        <v>4140558.4899999993</v>
      </c>
      <c r="J9" s="34">
        <f t="shared" ref="J9:Q9" si="0">J10-J13</f>
        <v>3931025.3633333314</v>
      </c>
      <c r="K9" s="44">
        <f t="shared" si="0"/>
        <v>12522.52</v>
      </c>
      <c r="L9" s="34">
        <f>L10-L13</f>
        <v>30975.25</v>
      </c>
      <c r="M9" s="34">
        <f>M10-M13</f>
        <v>76771.7</v>
      </c>
      <c r="N9" s="34">
        <f>N10-N13</f>
        <v>28039.79</v>
      </c>
      <c r="O9" s="44">
        <f t="shared" si="0"/>
        <v>12094.166666666666</v>
      </c>
      <c r="P9" s="44">
        <f t="shared" si="0"/>
        <v>2967.67</v>
      </c>
      <c r="Q9" s="44">
        <f t="shared" si="0"/>
        <v>46162.030000000006</v>
      </c>
      <c r="R9" s="45">
        <f t="shared" ref="R9:R19" si="1">I9-SUM(J9:Q9)</f>
        <v>0</v>
      </c>
    </row>
    <row r="10" spans="1:18" x14ac:dyDescent="0.25">
      <c r="A10" s="32"/>
      <c r="B10" s="46"/>
      <c r="C10" s="196" t="s">
        <v>16</v>
      </c>
      <c r="D10" s="196"/>
      <c r="E10" s="196"/>
      <c r="F10" s="196"/>
      <c r="G10" s="38"/>
      <c r="H10" s="43" t="s">
        <v>17</v>
      </c>
      <c r="I10" s="48">
        <f>I11+I12+127482.56</f>
        <v>4705845.9499999993</v>
      </c>
      <c r="J10" s="49">
        <f>J11+J12+127482.56-1828.54-19.2-58.07-63.46-60.33</f>
        <v>4484007.6199999982</v>
      </c>
      <c r="K10" s="47">
        <f>K11+K12+19.2</f>
        <v>12903.12</v>
      </c>
      <c r="L10" s="47">
        <f>L11+L12+58.07</f>
        <v>32393.35</v>
      </c>
      <c r="M10" s="47">
        <f>M11+M12+1828.54</f>
        <v>79105.36</v>
      </c>
      <c r="N10" s="47">
        <f>N11+N12+63.46</f>
        <v>29213.5</v>
      </c>
      <c r="O10" s="49">
        <f>O11+O12</f>
        <v>13563.8</v>
      </c>
      <c r="P10" s="49">
        <f>P11+P12</f>
        <v>3311</v>
      </c>
      <c r="Q10" s="49">
        <f>Q11+Q12+60.33</f>
        <v>51348.200000000004</v>
      </c>
      <c r="R10" s="50">
        <f t="shared" si="1"/>
        <v>0</v>
      </c>
    </row>
    <row r="11" spans="1:18" x14ac:dyDescent="0.25">
      <c r="A11" s="32"/>
      <c r="B11" s="195"/>
      <c r="C11" s="196"/>
      <c r="D11" s="197" t="s">
        <v>18</v>
      </c>
      <c r="E11" s="196"/>
      <c r="F11" s="196"/>
      <c r="G11" s="38"/>
      <c r="H11" s="43">
        <v>70</v>
      </c>
      <c r="I11" s="125">
        <v>252576.87</v>
      </c>
      <c r="J11" s="52">
        <v>252576.87</v>
      </c>
      <c r="K11" s="51"/>
      <c r="L11" s="51"/>
      <c r="M11" s="51"/>
      <c r="N11" s="51"/>
      <c r="O11" s="52"/>
      <c r="P11" s="52"/>
      <c r="Q11" s="52"/>
      <c r="R11" s="53">
        <f t="shared" si="1"/>
        <v>0</v>
      </c>
    </row>
    <row r="12" spans="1:18" ht="14.45" customHeight="1" x14ac:dyDescent="0.25">
      <c r="A12" s="32"/>
      <c r="B12" s="26"/>
      <c r="C12" s="26"/>
      <c r="D12" s="198" t="s">
        <v>19</v>
      </c>
      <c r="E12" s="199"/>
      <c r="F12" s="199"/>
      <c r="G12" s="54"/>
      <c r="H12" s="43">
        <v>73</v>
      </c>
      <c r="I12" s="126">
        <v>4325786.5199999996</v>
      </c>
      <c r="J12" s="56">
        <f>I12-K12-L12-M12-N12-P12-Q12-O12</f>
        <v>4105977.7899999991</v>
      </c>
      <c r="K12" s="55">
        <v>12883.92</v>
      </c>
      <c r="L12" s="55">
        <v>32335.279999999999</v>
      </c>
      <c r="M12" s="55">
        <v>77276.820000000007</v>
      </c>
      <c r="N12" s="55">
        <v>29150.04</v>
      </c>
      <c r="O12" s="56">
        <v>13563.8</v>
      </c>
      <c r="P12" s="56">
        <v>3311</v>
      </c>
      <c r="Q12" s="56">
        <v>51287.87</v>
      </c>
      <c r="R12" s="57">
        <f t="shared" si="1"/>
        <v>0</v>
      </c>
    </row>
    <row r="13" spans="1:18" ht="14.45" customHeight="1" x14ac:dyDescent="0.25">
      <c r="A13" s="32"/>
      <c r="B13" s="58"/>
      <c r="C13" s="189" t="s">
        <v>20</v>
      </c>
      <c r="D13" s="200"/>
      <c r="E13" s="200"/>
      <c r="F13" s="200"/>
      <c r="G13" s="38"/>
      <c r="H13" s="43" t="s">
        <v>21</v>
      </c>
      <c r="I13" s="126">
        <f>94260.32+471027.14</f>
        <v>565287.46</v>
      </c>
      <c r="J13" s="56">
        <f>I13-K13-L13-M13-N13-O13-P13-Q13</f>
        <v>552982.25666666671</v>
      </c>
      <c r="K13" s="55">
        <f>37.4+143.1+200.1</f>
        <v>380.6</v>
      </c>
      <c r="L13" s="55">
        <f>153.33+1050+214.77</f>
        <v>1418.1</v>
      </c>
      <c r="M13" s="55">
        <v>2333.66</v>
      </c>
      <c r="N13" s="55">
        <f>39.33+61.96+30.6+25.99+852.28+163.55</f>
        <v>1173.71</v>
      </c>
      <c r="O13" s="56">
        <f>36.3+(1300/3)+(250*2)+500</f>
        <v>1469.6333333333332</v>
      </c>
      <c r="P13" s="56">
        <f>277.7+56.5+10.22-1.09</f>
        <v>343.33000000000004</v>
      </c>
      <c r="Q13" s="56">
        <f>25+205.99+764.73+224.95+381.5+901.68+2400+282.32</f>
        <v>5186.17</v>
      </c>
      <c r="R13" s="57">
        <f t="shared" si="1"/>
        <v>0</v>
      </c>
    </row>
    <row r="14" spans="1:18" ht="14.45" customHeight="1" x14ac:dyDescent="0.25">
      <c r="A14" s="32"/>
      <c r="B14" s="189" t="s">
        <v>22</v>
      </c>
      <c r="C14" s="189"/>
      <c r="D14" s="189"/>
      <c r="E14" s="189"/>
      <c r="F14" s="189"/>
      <c r="G14" s="38" t="s">
        <v>15</v>
      </c>
      <c r="H14" s="43">
        <v>62</v>
      </c>
      <c r="I14" s="125">
        <v>3699377.32</v>
      </c>
      <c r="J14" s="52">
        <f>I14-K14-L14-M14-N14-O14-P14-Q14</f>
        <v>3511321.0967999999</v>
      </c>
      <c r="K14" s="51">
        <f>7641.94+2480.58</f>
        <v>10122.52</v>
      </c>
      <c r="L14" s="51">
        <f>22951.64+7735.93+287.68</f>
        <v>30975.25</v>
      </c>
      <c r="M14" s="51">
        <v>52022.54</v>
      </c>
      <c r="N14" s="51">
        <f>25387.28+8207.43+1497.69</f>
        <v>35092.400000000001</v>
      </c>
      <c r="O14" s="52">
        <f>17905.96*0.67</f>
        <v>11996.993200000001</v>
      </c>
      <c r="P14" s="52">
        <f>2202.7+770.48-5.51</f>
        <v>2967.6699999999996</v>
      </c>
      <c r="Q14" s="52">
        <f>31352.72+2225.35+1253.13+10812.38-764.73</f>
        <v>44878.849999999991</v>
      </c>
      <c r="R14" s="57">
        <f t="shared" si="1"/>
        <v>0</v>
      </c>
    </row>
    <row r="15" spans="1:18" ht="14.45" customHeight="1" x14ac:dyDescent="0.25">
      <c r="A15" s="32"/>
      <c r="B15" s="189" t="s">
        <v>23</v>
      </c>
      <c r="C15" s="189"/>
      <c r="D15" s="189"/>
      <c r="E15" s="189"/>
      <c r="F15" s="189"/>
      <c r="G15" s="38" t="s">
        <v>15</v>
      </c>
      <c r="H15" s="43">
        <v>630</v>
      </c>
      <c r="I15" s="126">
        <v>242590.67</v>
      </c>
      <c r="J15" s="56">
        <v>242590.67</v>
      </c>
      <c r="K15" s="55"/>
      <c r="L15" s="55"/>
      <c r="M15" s="55"/>
      <c r="N15" s="55"/>
      <c r="O15" s="56"/>
      <c r="P15" s="56"/>
      <c r="Q15" s="56">
        <v>0</v>
      </c>
      <c r="R15" s="57">
        <f t="shared" si="1"/>
        <v>0</v>
      </c>
    </row>
    <row r="16" spans="1:18" ht="14.45" customHeight="1" x14ac:dyDescent="0.25">
      <c r="A16" s="32"/>
      <c r="B16" s="189" t="s">
        <v>24</v>
      </c>
      <c r="C16" s="189"/>
      <c r="D16" s="189"/>
      <c r="E16" s="189"/>
      <c r="F16" s="189"/>
      <c r="G16" s="38" t="s">
        <v>15</v>
      </c>
      <c r="H16" s="43" t="s">
        <v>25</v>
      </c>
      <c r="I16" s="126">
        <v>4107.47</v>
      </c>
      <c r="J16" s="56">
        <v>4107.47</v>
      </c>
      <c r="K16" s="55"/>
      <c r="L16" s="55"/>
      <c r="M16" s="55"/>
      <c r="N16" s="55"/>
      <c r="O16" s="56"/>
      <c r="P16" s="56"/>
      <c r="Q16" s="56">
        <v>0</v>
      </c>
      <c r="R16" s="57">
        <f t="shared" si="1"/>
        <v>0</v>
      </c>
    </row>
    <row r="17" spans="1:18" ht="14.45" customHeight="1" x14ac:dyDescent="0.25">
      <c r="A17" s="32"/>
      <c r="B17" s="189" t="s">
        <v>26</v>
      </c>
      <c r="C17" s="189"/>
      <c r="D17" s="189"/>
      <c r="E17" s="189"/>
      <c r="F17" s="189"/>
      <c r="G17" s="38" t="s">
        <v>15</v>
      </c>
      <c r="H17" s="43" t="s">
        <v>27</v>
      </c>
      <c r="I17" s="126">
        <f>14020.06+8672.56</f>
        <v>22692.62</v>
      </c>
      <c r="J17" s="56">
        <v>22692.62</v>
      </c>
      <c r="K17" s="55"/>
      <c r="L17" s="55"/>
      <c r="M17" s="55"/>
      <c r="N17" s="55"/>
      <c r="O17" s="56"/>
      <c r="P17" s="56"/>
      <c r="Q17" s="56"/>
      <c r="R17" s="57">
        <f t="shared" si="1"/>
        <v>0</v>
      </c>
    </row>
    <row r="18" spans="1:18" ht="14.45" customHeight="1" x14ac:dyDescent="0.25">
      <c r="A18" s="32"/>
      <c r="B18" s="190" t="s">
        <v>28</v>
      </c>
      <c r="C18" s="190"/>
      <c r="D18" s="190"/>
      <c r="E18" s="190"/>
      <c r="F18" s="190"/>
      <c r="G18" s="38"/>
      <c r="H18" s="43" t="s">
        <v>29</v>
      </c>
      <c r="I18" s="126">
        <v>65888.570000000007</v>
      </c>
      <c r="J18" s="56">
        <f>I18-K18-L18-M18-N18-O18-P18-Q18</f>
        <v>37096.230000000003</v>
      </c>
      <c r="K18" s="55">
        <f>2400</f>
        <v>2400</v>
      </c>
      <c r="L18" s="55"/>
      <c r="M18" s="55">
        <v>24749.16</v>
      </c>
      <c r="N18" s="55">
        <f>320+26.5+13.5</f>
        <v>360</v>
      </c>
      <c r="O18" s="56">
        <v>0</v>
      </c>
      <c r="P18" s="56">
        <v>0</v>
      </c>
      <c r="Q18" s="56">
        <f>381.5+901.68</f>
        <v>1283.1799999999998</v>
      </c>
      <c r="R18" s="57">
        <f t="shared" si="1"/>
        <v>0</v>
      </c>
    </row>
    <row r="19" spans="1:18" ht="14.45" customHeight="1" x14ac:dyDescent="0.25">
      <c r="A19" s="32"/>
      <c r="B19" s="189" t="s">
        <v>30</v>
      </c>
      <c r="C19" s="189"/>
      <c r="D19" s="189"/>
      <c r="E19" s="189"/>
      <c r="F19" s="189"/>
      <c r="G19" s="38" t="s">
        <v>31</v>
      </c>
      <c r="H19" s="43">
        <v>649</v>
      </c>
      <c r="I19" s="126">
        <v>0</v>
      </c>
      <c r="J19" s="56"/>
      <c r="K19" s="55"/>
      <c r="L19" s="55"/>
      <c r="M19" s="55"/>
      <c r="N19" s="55"/>
      <c r="O19" s="56"/>
      <c r="P19" s="56"/>
      <c r="Q19" s="56"/>
      <c r="R19" s="57">
        <f t="shared" si="1"/>
        <v>0</v>
      </c>
    </row>
    <row r="20" spans="1:18" x14ac:dyDescent="0.25">
      <c r="A20" s="32"/>
      <c r="B20" s="60"/>
      <c r="C20" s="5"/>
      <c r="D20" s="46"/>
      <c r="E20" s="46"/>
      <c r="F20" s="46"/>
      <c r="G20" s="38"/>
      <c r="H20" s="43"/>
      <c r="I20" s="127"/>
      <c r="J20" s="62"/>
      <c r="K20" s="61"/>
      <c r="L20" s="61"/>
      <c r="M20" s="61"/>
      <c r="N20" s="61"/>
      <c r="O20" s="62"/>
      <c r="P20" s="62"/>
      <c r="Q20" s="62"/>
      <c r="R20" s="57"/>
    </row>
    <row r="21" spans="1:18" s="69" customFormat="1" x14ac:dyDescent="0.25">
      <c r="A21" s="191" t="s">
        <v>32</v>
      </c>
      <c r="B21" s="192"/>
      <c r="C21" s="192"/>
      <c r="D21" s="192"/>
      <c r="E21" s="192"/>
      <c r="F21" s="192"/>
      <c r="G21" s="64" t="s">
        <v>15</v>
      </c>
      <c r="H21" s="65">
        <v>9901</v>
      </c>
      <c r="I21" s="128">
        <f>I9-I14-I15-I16-I17-I18-I19</f>
        <v>105901.83999999944</v>
      </c>
      <c r="J21" s="67">
        <f>J9-J14-J15-J16-J17-J18-J19</f>
        <v>113217.27653333146</v>
      </c>
      <c r="K21" s="66">
        <f>K9-K14-K15-K16-K17-K18-K19</f>
        <v>0</v>
      </c>
      <c r="L21" s="66">
        <f t="shared" ref="L21:Q21" si="2">L9-L14-L15-L16-L17-L18-L19</f>
        <v>0</v>
      </c>
      <c r="M21" s="66">
        <f>M9-M14-M15-M16-M17-M18-M19</f>
        <v>-3.637978807091713E-12</v>
      </c>
      <c r="N21" s="66">
        <f t="shared" si="2"/>
        <v>-7412.6100000000006</v>
      </c>
      <c r="O21" s="67">
        <f t="shared" si="2"/>
        <v>97.173466666665263</v>
      </c>
      <c r="P21" s="67">
        <f t="shared" si="2"/>
        <v>4.5474735088646412E-13</v>
      </c>
      <c r="Q21" s="67">
        <f t="shared" si="2"/>
        <v>1.5006662579253316E-11</v>
      </c>
      <c r="R21" s="68">
        <f>R9-R14-R15-R16-R17-R18-R19</f>
        <v>0</v>
      </c>
    </row>
    <row r="22" spans="1:18" s="69" customFormat="1" x14ac:dyDescent="0.25">
      <c r="A22" s="70"/>
      <c r="B22" s="193"/>
      <c r="C22" s="194"/>
      <c r="D22" s="194"/>
      <c r="E22" s="194"/>
      <c r="F22" s="194"/>
      <c r="G22" s="64"/>
      <c r="H22" s="65"/>
      <c r="I22" s="129"/>
      <c r="J22" s="72"/>
      <c r="K22" s="71"/>
      <c r="L22" s="71"/>
      <c r="M22" s="71"/>
      <c r="N22" s="71"/>
      <c r="O22" s="72"/>
      <c r="P22" s="72"/>
      <c r="Q22" s="72"/>
      <c r="R22" s="73"/>
    </row>
    <row r="23" spans="1:18" x14ac:dyDescent="0.25">
      <c r="A23" s="74" t="s">
        <v>33</v>
      </c>
      <c r="B23" s="75"/>
      <c r="C23" s="75"/>
      <c r="D23" s="75"/>
      <c r="E23" s="75"/>
      <c r="F23" s="75"/>
      <c r="G23" s="33"/>
      <c r="H23" s="43">
        <v>75</v>
      </c>
      <c r="I23" s="48">
        <v>4069.46</v>
      </c>
      <c r="J23" s="49">
        <v>4069.46</v>
      </c>
      <c r="K23" s="47"/>
      <c r="L23" s="47"/>
      <c r="M23" s="47"/>
      <c r="N23" s="47"/>
      <c r="O23" s="49"/>
      <c r="P23" s="49"/>
      <c r="Q23" s="49"/>
      <c r="R23" s="50">
        <f>I23-SUM(J23:Q23)</f>
        <v>0</v>
      </c>
    </row>
    <row r="24" spans="1:18" x14ac:dyDescent="0.25">
      <c r="A24" s="74"/>
      <c r="B24" s="75"/>
      <c r="C24" s="75"/>
      <c r="D24" s="75"/>
      <c r="E24" s="75"/>
      <c r="F24" s="75"/>
      <c r="G24" s="33"/>
      <c r="H24" s="43"/>
      <c r="I24" s="129"/>
      <c r="J24" s="72"/>
      <c r="K24" s="71"/>
      <c r="L24" s="71"/>
      <c r="M24" s="71"/>
      <c r="N24" s="71"/>
      <c r="O24" s="72"/>
      <c r="P24" s="72"/>
      <c r="Q24" s="72"/>
      <c r="R24" s="73"/>
    </row>
    <row r="25" spans="1:18" x14ac:dyDescent="0.25">
      <c r="A25" s="183" t="s">
        <v>34</v>
      </c>
      <c r="B25" s="184"/>
      <c r="C25" s="184"/>
      <c r="D25" s="184"/>
      <c r="E25" s="184"/>
      <c r="F25" s="184"/>
      <c r="G25" s="33"/>
      <c r="H25" s="43">
        <v>65</v>
      </c>
      <c r="I25" s="89">
        <v>14616</v>
      </c>
      <c r="J25" s="77">
        <v>14616</v>
      </c>
      <c r="K25" s="76"/>
      <c r="L25" s="76"/>
      <c r="M25" s="76"/>
      <c r="N25" s="76"/>
      <c r="O25" s="77"/>
      <c r="P25" s="77"/>
      <c r="Q25" s="77"/>
      <c r="R25" s="78">
        <f>I25-SUM(J25:Q25)</f>
        <v>0</v>
      </c>
    </row>
    <row r="26" spans="1:18" x14ac:dyDescent="0.25">
      <c r="A26" s="39"/>
      <c r="B26" s="41"/>
      <c r="C26" s="41"/>
      <c r="D26" s="41"/>
      <c r="E26" s="41"/>
      <c r="F26" s="41"/>
      <c r="G26" s="33"/>
      <c r="H26" s="43"/>
      <c r="I26" s="130"/>
      <c r="J26" s="80"/>
      <c r="K26" s="79"/>
      <c r="L26" s="79"/>
      <c r="M26" s="79"/>
      <c r="N26" s="79"/>
      <c r="O26" s="80"/>
      <c r="P26" s="80"/>
      <c r="Q26" s="80"/>
      <c r="R26" s="81"/>
    </row>
    <row r="27" spans="1:18" x14ac:dyDescent="0.25">
      <c r="A27" s="185" t="s">
        <v>35</v>
      </c>
      <c r="B27" s="186"/>
      <c r="C27" s="186"/>
      <c r="D27" s="186"/>
      <c r="E27" s="186"/>
      <c r="F27" s="186"/>
      <c r="G27" s="82" t="s">
        <v>15</v>
      </c>
      <c r="H27" s="43">
        <v>9902</v>
      </c>
      <c r="I27" s="128">
        <f>I21+I23-I25</f>
        <v>95355.29999999945</v>
      </c>
      <c r="J27" s="67">
        <f t="shared" ref="J27:Q27" si="3">J21+J23-J25</f>
        <v>102670.73653333147</v>
      </c>
      <c r="K27" s="66">
        <f t="shared" si="3"/>
        <v>0</v>
      </c>
      <c r="L27" s="66">
        <f t="shared" si="3"/>
        <v>0</v>
      </c>
      <c r="M27" s="66">
        <f>M21+M23-M25</f>
        <v>-3.637978807091713E-12</v>
      </c>
      <c r="N27" s="66">
        <f t="shared" si="3"/>
        <v>-7412.6100000000006</v>
      </c>
      <c r="O27" s="67">
        <f t="shared" si="3"/>
        <v>97.173466666665263</v>
      </c>
      <c r="P27" s="67">
        <f t="shared" si="3"/>
        <v>4.5474735088646412E-13</v>
      </c>
      <c r="Q27" s="67">
        <f t="shared" si="3"/>
        <v>1.5006662579253316E-11</v>
      </c>
      <c r="R27" s="68">
        <f>R21+R23-R25</f>
        <v>0</v>
      </c>
    </row>
    <row r="28" spans="1:18" x14ac:dyDescent="0.25">
      <c r="A28" s="32"/>
      <c r="B28" s="26"/>
      <c r="C28" s="26"/>
      <c r="D28" s="26"/>
      <c r="E28" s="26"/>
      <c r="F28" s="26"/>
      <c r="G28" s="33"/>
      <c r="H28" s="43"/>
      <c r="I28" s="127"/>
      <c r="J28" s="62"/>
      <c r="K28" s="61"/>
      <c r="L28" s="61"/>
      <c r="M28" s="61"/>
      <c r="N28" s="61"/>
      <c r="O28" s="62"/>
      <c r="P28" s="62"/>
      <c r="Q28" s="62"/>
      <c r="R28" s="63"/>
    </row>
    <row r="29" spans="1:18" x14ac:dyDescent="0.25">
      <c r="A29" s="183" t="s">
        <v>36</v>
      </c>
      <c r="B29" s="184"/>
      <c r="C29" s="184"/>
      <c r="D29" s="184"/>
      <c r="E29" s="184"/>
      <c r="F29" s="184"/>
      <c r="G29" s="33"/>
      <c r="H29" s="43">
        <v>76</v>
      </c>
      <c r="I29" s="48">
        <v>10925.94</v>
      </c>
      <c r="J29" s="49">
        <v>10925.94</v>
      </c>
      <c r="K29" s="47"/>
      <c r="L29" s="47"/>
      <c r="M29" s="47"/>
      <c r="N29" s="47"/>
      <c r="O29" s="49"/>
      <c r="P29" s="49"/>
      <c r="Q29" s="49"/>
      <c r="R29" s="50">
        <f>I29-SUM(J29:Q29)</f>
        <v>0</v>
      </c>
    </row>
    <row r="30" spans="1:18" x14ac:dyDescent="0.25">
      <c r="A30" s="39"/>
      <c r="B30" s="41"/>
      <c r="C30" s="41"/>
      <c r="D30" s="41"/>
      <c r="E30" s="41"/>
      <c r="F30" s="41"/>
      <c r="G30" s="33"/>
      <c r="H30" s="43"/>
      <c r="I30" s="129"/>
      <c r="J30" s="72"/>
      <c r="K30" s="71"/>
      <c r="L30" s="71"/>
      <c r="M30" s="71"/>
      <c r="N30" s="71"/>
      <c r="O30" s="72"/>
      <c r="P30" s="72"/>
      <c r="Q30" s="72"/>
      <c r="R30" s="73"/>
    </row>
    <row r="31" spans="1:18" x14ac:dyDescent="0.25">
      <c r="A31" s="183" t="s">
        <v>37</v>
      </c>
      <c r="B31" s="184"/>
      <c r="C31" s="184"/>
      <c r="D31" s="184"/>
      <c r="E31" s="184"/>
      <c r="F31" s="184"/>
      <c r="G31" s="33"/>
      <c r="H31" s="43">
        <v>66</v>
      </c>
      <c r="I31" s="89"/>
      <c r="J31" s="77"/>
      <c r="K31" s="76"/>
      <c r="L31" s="76"/>
      <c r="M31" s="76"/>
      <c r="N31" s="76"/>
      <c r="O31" s="77"/>
      <c r="P31" s="77"/>
      <c r="Q31" s="77"/>
      <c r="R31" s="78">
        <f>I31-SUM(J31:Q31)</f>
        <v>0</v>
      </c>
    </row>
    <row r="32" spans="1:18" x14ac:dyDescent="0.25">
      <c r="A32" s="32"/>
      <c r="B32" s="26"/>
      <c r="C32" s="26"/>
      <c r="D32" s="26"/>
      <c r="E32" s="26"/>
      <c r="F32" s="26"/>
      <c r="G32" s="33"/>
      <c r="H32" s="43"/>
      <c r="I32" s="127"/>
      <c r="J32" s="62"/>
      <c r="K32" s="61"/>
      <c r="L32" s="61"/>
      <c r="M32" s="61"/>
      <c r="N32" s="61"/>
      <c r="O32" s="62"/>
      <c r="P32" s="62"/>
      <c r="Q32" s="62"/>
      <c r="R32" s="63"/>
    </row>
    <row r="33" spans="1:18" s="69" customFormat="1" x14ac:dyDescent="0.25">
      <c r="A33" s="187" t="s">
        <v>38</v>
      </c>
      <c r="B33" s="188"/>
      <c r="C33" s="188"/>
      <c r="D33" s="188"/>
      <c r="E33" s="188"/>
      <c r="F33" s="188"/>
      <c r="G33" s="83" t="s">
        <v>15</v>
      </c>
      <c r="H33" s="65">
        <v>9904</v>
      </c>
      <c r="I33" s="128">
        <f>I27+I29-I31</f>
        <v>106281.23999999945</v>
      </c>
      <c r="J33" s="67">
        <f t="shared" ref="J33:Q33" si="4">J27+J29-J31</f>
        <v>113596.67653333147</v>
      </c>
      <c r="K33" s="66">
        <f t="shared" si="4"/>
        <v>0</v>
      </c>
      <c r="L33" s="66">
        <f t="shared" si="4"/>
        <v>0</v>
      </c>
      <c r="M33" s="66">
        <f>M27+M29-M31</f>
        <v>-3.637978807091713E-12</v>
      </c>
      <c r="N33" s="66">
        <f t="shared" si="4"/>
        <v>-7412.6100000000006</v>
      </c>
      <c r="O33" s="67">
        <f t="shared" si="4"/>
        <v>97.173466666665263</v>
      </c>
      <c r="P33" s="67">
        <f t="shared" si="4"/>
        <v>4.5474735088646412E-13</v>
      </c>
      <c r="Q33" s="67">
        <f t="shared" si="4"/>
        <v>1.5006662579253316E-11</v>
      </c>
      <c r="R33" s="68">
        <f>R27+R29-R31</f>
        <v>0</v>
      </c>
    </row>
    <row r="34" spans="1:18" ht="8.25" customHeight="1" thickBot="1" x14ac:dyDescent="0.3">
      <c r="A34" s="84"/>
      <c r="B34" s="85"/>
      <c r="C34" s="85"/>
      <c r="D34" s="85"/>
      <c r="E34" s="85"/>
      <c r="F34" s="85"/>
      <c r="G34" s="86"/>
      <c r="H34" s="87"/>
      <c r="I34" s="89"/>
      <c r="J34" s="88"/>
      <c r="K34" s="89"/>
      <c r="L34" s="89"/>
      <c r="M34" s="89"/>
      <c r="N34" s="89"/>
      <c r="O34" s="88"/>
      <c r="P34" s="88"/>
      <c r="Q34" s="88"/>
      <c r="R34" s="90"/>
    </row>
  </sheetData>
  <mergeCells count="23">
    <mergeCell ref="C10:F10"/>
    <mergeCell ref="A1:J1"/>
    <mergeCell ref="A2:I2"/>
    <mergeCell ref="A5:H5"/>
    <mergeCell ref="A6:F6"/>
    <mergeCell ref="A8:F8"/>
    <mergeCell ref="B22:F22"/>
    <mergeCell ref="B11:C11"/>
    <mergeCell ref="D11:F11"/>
    <mergeCell ref="D12:F12"/>
    <mergeCell ref="C13:F13"/>
    <mergeCell ref="B14:F14"/>
    <mergeCell ref="B15:F15"/>
    <mergeCell ref="B16:F16"/>
    <mergeCell ref="B17:F17"/>
    <mergeCell ref="B18:F18"/>
    <mergeCell ref="B19:F19"/>
    <mergeCell ref="A21:F21"/>
    <mergeCell ref="A25:F25"/>
    <mergeCell ref="A27:F27"/>
    <mergeCell ref="A29:F29"/>
    <mergeCell ref="A31:F31"/>
    <mergeCell ref="A33:F33"/>
  </mergeCells>
  <conditionalFormatting sqref="I21:O21 I27:O27 I33:O33 R33 R27 R21">
    <cfRule type="cellIs" dxfId="13" priority="5" stopIfTrue="1" operator="greaterThanOrEqual">
      <formula>0</formula>
    </cfRule>
    <cfRule type="cellIs" dxfId="12" priority="6" stopIfTrue="1" operator="lessThan">
      <formula>0</formula>
    </cfRule>
  </conditionalFormatting>
  <conditionalFormatting sqref="P21 P27 P33">
    <cfRule type="cellIs" dxfId="11" priority="3" stopIfTrue="1" operator="greaterThanOrEqual">
      <formula>0</formula>
    </cfRule>
    <cfRule type="cellIs" dxfId="10" priority="4" stopIfTrue="1" operator="lessThan">
      <formula>0</formula>
    </cfRule>
  </conditionalFormatting>
  <conditionalFormatting sqref="Q21 Q27 Q33">
    <cfRule type="cellIs" dxfId="9" priority="1" stopIfTrue="1" operator="greaterThanOrEqual">
      <formula>0</formula>
    </cfRule>
    <cfRule type="cellIs" dxfId="8" priority="2" stopIfTrue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A6" sqref="A6"/>
    </sheetView>
  </sheetViews>
  <sheetFormatPr defaultRowHeight="15" x14ac:dyDescent="0.25"/>
  <cols>
    <col min="1" max="1" width="27.42578125" customWidth="1"/>
    <col min="2" max="2" width="59.140625" customWidth="1"/>
    <col min="3" max="4" width="22.7109375" customWidth="1"/>
    <col min="6" max="6" width="11.7109375" customWidth="1"/>
  </cols>
  <sheetData>
    <row r="1" spans="1:6" ht="18" x14ac:dyDescent="0.25">
      <c r="A1" s="91" t="s">
        <v>39</v>
      </c>
    </row>
    <row r="2" spans="1:6" ht="18" x14ac:dyDescent="0.25">
      <c r="A2" s="91"/>
    </row>
    <row r="3" spans="1:6" ht="23.25" customHeight="1" x14ac:dyDescent="0.25">
      <c r="A3" s="209" t="s">
        <v>93</v>
      </c>
      <c r="B3" s="209"/>
    </row>
    <row r="4" spans="1:6" ht="15.75" thickBot="1" x14ac:dyDescent="0.3"/>
    <row r="5" spans="1:6" ht="15.75" thickBot="1" x14ac:dyDescent="0.3">
      <c r="A5" s="92">
        <v>73</v>
      </c>
      <c r="B5" s="210" t="s">
        <v>19</v>
      </c>
      <c r="C5" s="211"/>
      <c r="D5" s="93">
        <f>SUM(D6:D8)+D9</f>
        <v>4325786.5200000005</v>
      </c>
    </row>
    <row r="6" spans="1:6" x14ac:dyDescent="0.25">
      <c r="A6" s="94" t="s">
        <v>41</v>
      </c>
      <c r="B6" s="212" t="s">
        <v>42</v>
      </c>
      <c r="C6" s="213"/>
      <c r="D6" s="95">
        <v>0</v>
      </c>
    </row>
    <row r="7" spans="1:6" x14ac:dyDescent="0.25">
      <c r="A7" s="94" t="s">
        <v>43</v>
      </c>
      <c r="B7" s="214" t="s">
        <v>44</v>
      </c>
      <c r="C7" s="215"/>
      <c r="D7" s="95">
        <f>382+9543.54</f>
        <v>9925.5400000000009</v>
      </c>
    </row>
    <row r="8" spans="1:6" ht="15.75" thickBot="1" x14ac:dyDescent="0.3">
      <c r="A8" s="96" t="s">
        <v>45</v>
      </c>
      <c r="B8" s="216" t="s">
        <v>46</v>
      </c>
      <c r="C8" s="217"/>
      <c r="D8" s="97">
        <v>0</v>
      </c>
    </row>
    <row r="9" spans="1:6" ht="39.75" customHeight="1" thickBot="1" x14ac:dyDescent="0.3">
      <c r="A9" s="98" t="s">
        <v>47</v>
      </c>
      <c r="B9" s="218" t="s">
        <v>48</v>
      </c>
      <c r="C9" s="219"/>
      <c r="D9" s="93">
        <f>SUM(D11:D46)</f>
        <v>4315860.9800000004</v>
      </c>
    </row>
    <row r="10" spans="1:6" ht="15.75" thickBot="1" x14ac:dyDescent="0.3">
      <c r="A10" s="100" t="s">
        <v>49</v>
      </c>
      <c r="B10" s="101" t="s">
        <v>50</v>
      </c>
      <c r="C10" s="100" t="s">
        <v>51</v>
      </c>
      <c r="D10" s="102" t="s">
        <v>52</v>
      </c>
    </row>
    <row r="11" spans="1:6" x14ac:dyDescent="0.25">
      <c r="A11" s="103" t="s">
        <v>53</v>
      </c>
      <c r="B11" s="104" t="s">
        <v>54</v>
      </c>
      <c r="C11" s="105" t="s">
        <v>55</v>
      </c>
      <c r="D11" s="95">
        <v>4775.17</v>
      </c>
    </row>
    <row r="12" spans="1:6" x14ac:dyDescent="0.25">
      <c r="A12" s="103" t="s">
        <v>53</v>
      </c>
      <c r="B12" s="104" t="s">
        <v>56</v>
      </c>
      <c r="C12" s="105" t="s">
        <v>55</v>
      </c>
      <c r="D12" s="95">
        <v>10004.120000000001</v>
      </c>
    </row>
    <row r="13" spans="1:6" x14ac:dyDescent="0.25">
      <c r="A13" s="103" t="s">
        <v>57</v>
      </c>
      <c r="B13" s="104" t="s">
        <v>58</v>
      </c>
      <c r="C13" s="105" t="s">
        <v>55</v>
      </c>
      <c r="D13" s="95">
        <v>5000.12</v>
      </c>
    </row>
    <row r="14" spans="1:6" x14ac:dyDescent="0.25">
      <c r="A14" s="103" t="s">
        <v>59</v>
      </c>
      <c r="B14" s="104" t="s">
        <v>58</v>
      </c>
      <c r="C14" s="105" t="s">
        <v>55</v>
      </c>
      <c r="D14" s="95">
        <v>2326.5</v>
      </c>
      <c r="F14" s="106"/>
    </row>
    <row r="15" spans="1:6" x14ac:dyDescent="0.25">
      <c r="A15" s="103" t="s">
        <v>53</v>
      </c>
      <c r="B15" s="104" t="s">
        <v>94</v>
      </c>
      <c r="C15" s="105" t="s">
        <v>55</v>
      </c>
      <c r="D15" s="95">
        <v>23477.17</v>
      </c>
      <c r="F15" s="106"/>
    </row>
    <row r="16" spans="1:6" x14ac:dyDescent="0.25">
      <c r="A16" s="103" t="s">
        <v>95</v>
      </c>
      <c r="B16" s="104" t="s">
        <v>96</v>
      </c>
      <c r="C16" s="105" t="s">
        <v>55</v>
      </c>
      <c r="D16" s="95">
        <f>9733.33+1363.18+415.4</f>
        <v>11511.91</v>
      </c>
    </row>
    <row r="17" spans="1:4" x14ac:dyDescent="0.25">
      <c r="A17" s="103" t="s">
        <v>53</v>
      </c>
      <c r="B17" s="104" t="s">
        <v>60</v>
      </c>
      <c r="C17" s="105" t="s">
        <v>55</v>
      </c>
      <c r="D17" s="95">
        <v>11321.49</v>
      </c>
    </row>
    <row r="18" spans="1:4" x14ac:dyDescent="0.25">
      <c r="A18" s="103" t="s">
        <v>53</v>
      </c>
      <c r="B18" s="104" t="s">
        <v>61</v>
      </c>
      <c r="C18" s="105" t="s">
        <v>55</v>
      </c>
      <c r="D18" s="95">
        <v>22132.99</v>
      </c>
    </row>
    <row r="19" spans="1:4" x14ac:dyDescent="0.25">
      <c r="A19" s="103" t="s">
        <v>62</v>
      </c>
      <c r="B19" s="104" t="s">
        <v>63</v>
      </c>
      <c r="C19" s="105" t="s">
        <v>55</v>
      </c>
      <c r="D19" s="95">
        <v>59659.18</v>
      </c>
    </row>
    <row r="20" spans="1:4" x14ac:dyDescent="0.25">
      <c r="A20" s="103" t="s">
        <v>64</v>
      </c>
      <c r="B20" s="104" t="s">
        <v>65</v>
      </c>
      <c r="C20" s="105" t="s">
        <v>55</v>
      </c>
      <c r="D20" s="95">
        <v>3614395.99</v>
      </c>
    </row>
    <row r="21" spans="1:4" x14ac:dyDescent="0.25">
      <c r="A21" s="103" t="s">
        <v>64</v>
      </c>
      <c r="B21" s="104" t="s">
        <v>65</v>
      </c>
      <c r="C21" s="105" t="s">
        <v>66</v>
      </c>
      <c r="D21" s="95">
        <v>77276.820000000007</v>
      </c>
    </row>
    <row r="22" spans="1:4" x14ac:dyDescent="0.25">
      <c r="A22" s="103" t="s">
        <v>67</v>
      </c>
      <c r="B22" s="104" t="s">
        <v>68</v>
      </c>
      <c r="C22" s="105" t="s">
        <v>69</v>
      </c>
      <c r="D22" s="95">
        <v>29150.04</v>
      </c>
    </row>
    <row r="23" spans="1:4" x14ac:dyDescent="0.25">
      <c r="A23" s="103" t="s">
        <v>64</v>
      </c>
      <c r="B23" s="104" t="s">
        <v>65</v>
      </c>
      <c r="C23" s="105" t="s">
        <v>97</v>
      </c>
      <c r="D23" s="95">
        <v>51287.87</v>
      </c>
    </row>
    <row r="24" spans="1:4" x14ac:dyDescent="0.25">
      <c r="A24" s="103" t="s">
        <v>67</v>
      </c>
      <c r="B24" s="104" t="s">
        <v>65</v>
      </c>
      <c r="C24" s="105" t="s">
        <v>98</v>
      </c>
      <c r="D24" s="95">
        <v>13563.8</v>
      </c>
    </row>
    <row r="25" spans="1:4" x14ac:dyDescent="0.25">
      <c r="A25" s="103" t="s">
        <v>67</v>
      </c>
      <c r="B25" s="104" t="s">
        <v>65</v>
      </c>
      <c r="C25" s="105" t="s">
        <v>99</v>
      </c>
      <c r="D25" s="95">
        <v>3311</v>
      </c>
    </row>
    <row r="26" spans="1:4" x14ac:dyDescent="0.25">
      <c r="A26" s="103" t="s">
        <v>67</v>
      </c>
      <c r="B26" s="104" t="s">
        <v>70</v>
      </c>
      <c r="C26" s="105" t="s">
        <v>55</v>
      </c>
      <c r="D26" s="95">
        <v>19745.88</v>
      </c>
    </row>
    <row r="27" spans="1:4" x14ac:dyDescent="0.25">
      <c r="A27" s="103" t="s">
        <v>71</v>
      </c>
      <c r="B27" s="104" t="s">
        <v>72</v>
      </c>
      <c r="C27" s="105" t="s">
        <v>55</v>
      </c>
      <c r="D27" s="95">
        <v>7980</v>
      </c>
    </row>
    <row r="28" spans="1:4" x14ac:dyDescent="0.25">
      <c r="A28" s="103" t="s">
        <v>73</v>
      </c>
      <c r="B28" s="104" t="s">
        <v>73</v>
      </c>
      <c r="C28" s="105" t="s">
        <v>55</v>
      </c>
      <c r="D28" s="95">
        <v>265052.94</v>
      </c>
    </row>
    <row r="29" spans="1:4" x14ac:dyDescent="0.25">
      <c r="A29" s="103" t="s">
        <v>74</v>
      </c>
      <c r="B29" s="104" t="s">
        <v>74</v>
      </c>
      <c r="C29" s="105" t="s">
        <v>55</v>
      </c>
      <c r="D29" s="95">
        <v>38319.9</v>
      </c>
    </row>
    <row r="30" spans="1:4" x14ac:dyDescent="0.25">
      <c r="A30" s="103" t="s">
        <v>75</v>
      </c>
      <c r="B30" s="104" t="s">
        <v>76</v>
      </c>
      <c r="C30" s="105" t="s">
        <v>55</v>
      </c>
      <c r="D30" s="95">
        <v>348.89</v>
      </c>
    </row>
    <row r="31" spans="1:4" x14ac:dyDescent="0.25">
      <c r="A31" s="103" t="s">
        <v>100</v>
      </c>
      <c r="B31" s="104" t="s">
        <v>78</v>
      </c>
      <c r="C31" s="105" t="s">
        <v>79</v>
      </c>
      <c r="D31" s="95">
        <v>12883.92</v>
      </c>
    </row>
    <row r="32" spans="1:4" ht="25.5" x14ac:dyDescent="0.25">
      <c r="A32" s="103" t="s">
        <v>80</v>
      </c>
      <c r="B32" s="104" t="s">
        <v>78</v>
      </c>
      <c r="C32" s="105" t="s">
        <v>81</v>
      </c>
      <c r="D32" s="95">
        <v>32335.279999999999</v>
      </c>
    </row>
    <row r="33" spans="1:4" x14ac:dyDescent="0.25">
      <c r="A33" s="103"/>
      <c r="B33" s="104"/>
      <c r="C33" s="105"/>
      <c r="D33" s="95"/>
    </row>
    <row r="34" spans="1:4" x14ac:dyDescent="0.25">
      <c r="A34" s="131"/>
      <c r="B34" s="132"/>
      <c r="C34" s="133"/>
      <c r="D34" s="134"/>
    </row>
    <row r="35" spans="1:4" x14ac:dyDescent="0.25">
      <c r="A35" s="94"/>
      <c r="B35" s="107"/>
      <c r="C35" s="108"/>
      <c r="D35" s="95"/>
    </row>
    <row r="36" spans="1:4" x14ac:dyDescent="0.25">
      <c r="A36" s="94"/>
      <c r="B36" s="107"/>
      <c r="C36" s="108"/>
      <c r="D36" s="95"/>
    </row>
    <row r="37" spans="1:4" x14ac:dyDescent="0.25">
      <c r="A37" s="94"/>
      <c r="B37" s="107"/>
      <c r="C37" s="108"/>
      <c r="D37" s="95"/>
    </row>
    <row r="38" spans="1:4" x14ac:dyDescent="0.25">
      <c r="A38" s="94"/>
      <c r="B38" s="107"/>
      <c r="C38" s="108"/>
      <c r="D38" s="95"/>
    </row>
    <row r="39" spans="1:4" x14ac:dyDescent="0.25">
      <c r="A39" s="94"/>
      <c r="B39" s="107"/>
      <c r="C39" s="108"/>
      <c r="D39" s="95"/>
    </row>
    <row r="40" spans="1:4" x14ac:dyDescent="0.25">
      <c r="A40" s="94"/>
      <c r="B40" s="107"/>
      <c r="C40" s="108"/>
      <c r="D40" s="95"/>
    </row>
    <row r="41" spans="1:4" x14ac:dyDescent="0.25">
      <c r="A41" s="109"/>
      <c r="B41" s="110"/>
      <c r="C41" s="111"/>
      <c r="D41" s="112"/>
    </row>
    <row r="42" spans="1:4" x14ac:dyDescent="0.25">
      <c r="A42" s="109"/>
      <c r="B42" s="110"/>
      <c r="C42" s="111"/>
      <c r="D42" s="112"/>
    </row>
    <row r="43" spans="1:4" x14ac:dyDescent="0.25">
      <c r="A43" s="109"/>
      <c r="B43" s="110"/>
      <c r="C43" s="111"/>
      <c r="D43" s="112"/>
    </row>
    <row r="44" spans="1:4" x14ac:dyDescent="0.25">
      <c r="A44" s="109"/>
      <c r="B44" s="110"/>
      <c r="C44" s="111"/>
      <c r="D44" s="112"/>
    </row>
    <row r="45" spans="1:4" x14ac:dyDescent="0.25">
      <c r="A45" s="109"/>
      <c r="B45" s="110"/>
      <c r="C45" s="111"/>
      <c r="D45" s="112"/>
    </row>
    <row r="46" spans="1:4" ht="15.75" thickBot="1" x14ac:dyDescent="0.3">
      <c r="A46" s="113"/>
      <c r="B46" s="114"/>
      <c r="C46" s="115"/>
      <c r="D46" s="116"/>
    </row>
    <row r="47" spans="1:4" x14ac:dyDescent="0.25">
      <c r="A47" s="117"/>
      <c r="B47" s="117"/>
    </row>
    <row r="48" spans="1:4" x14ac:dyDescent="0.25">
      <c r="A48" s="117"/>
      <c r="B48" s="117"/>
    </row>
  </sheetData>
  <mergeCells count="6">
    <mergeCell ref="B9:C9"/>
    <mergeCell ref="A3:B3"/>
    <mergeCell ref="B5:C5"/>
    <mergeCell ref="B6:C6"/>
    <mergeCell ref="B7:C7"/>
    <mergeCell ref="B8:C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workbookViewId="0">
      <selection activeCell="A2" sqref="A2:I2"/>
    </sheetView>
  </sheetViews>
  <sheetFormatPr defaultColWidth="9.140625" defaultRowHeight="15" x14ac:dyDescent="0.25"/>
  <cols>
    <col min="1" max="1" width="2.7109375" style="1" customWidth="1"/>
    <col min="2" max="2" width="4.7109375" style="1" customWidth="1"/>
    <col min="3" max="3" width="3.7109375" style="1" customWidth="1"/>
    <col min="4" max="5" width="9.140625" style="1"/>
    <col min="6" max="6" width="22.5703125" style="1" customWidth="1"/>
    <col min="7" max="7" width="4.42578125" style="1" customWidth="1"/>
    <col min="8" max="8" width="6.28515625" style="1" customWidth="1"/>
    <col min="9" max="9" width="14.7109375" style="1" customWidth="1"/>
    <col min="10" max="18" width="16.85546875" style="1" customWidth="1"/>
    <col min="19" max="19" width="11.7109375" style="1" customWidth="1"/>
    <col min="20" max="16384" width="9.140625" style="1"/>
  </cols>
  <sheetData>
    <row r="1" spans="1:20" ht="18" x14ac:dyDescent="0.25">
      <c r="A1" s="201" t="s">
        <v>0</v>
      </c>
      <c r="B1" s="201"/>
      <c r="C1" s="201"/>
      <c r="D1" s="201"/>
      <c r="E1" s="201"/>
      <c r="F1" s="201"/>
      <c r="G1" s="201"/>
      <c r="H1" s="202"/>
      <c r="I1" s="202"/>
      <c r="J1" s="202"/>
      <c r="K1" s="1">
        <v>2016</v>
      </c>
    </row>
    <row r="2" spans="1:20" ht="15.75" x14ac:dyDescent="0.25">
      <c r="A2" s="203" t="s">
        <v>84</v>
      </c>
      <c r="B2" s="203"/>
      <c r="C2" s="203"/>
      <c r="D2" s="204"/>
      <c r="E2" s="204"/>
      <c r="F2" s="204"/>
      <c r="G2" s="204"/>
      <c r="H2" s="204"/>
      <c r="I2" s="204"/>
      <c r="J2" s="118"/>
    </row>
    <row r="3" spans="1:20" ht="15.75" x14ac:dyDescent="0.25">
      <c r="A3" s="4"/>
      <c r="B3" s="4"/>
      <c r="C3" s="4"/>
      <c r="D3" s="5"/>
      <c r="E3" s="6"/>
      <c r="F3" s="6"/>
      <c r="G3" s="6"/>
      <c r="H3" s="6"/>
      <c r="I3" s="6"/>
    </row>
    <row r="4" spans="1:20" s="19" customFormat="1" ht="26.25" customHeight="1" thickBot="1" x14ac:dyDescent="0.3">
      <c r="A4" s="10"/>
      <c r="B4" s="11"/>
      <c r="C4" s="11"/>
      <c r="D4" s="11"/>
      <c r="E4" s="11"/>
      <c r="F4" s="11"/>
      <c r="G4" s="12"/>
      <c r="H4" s="13" t="s">
        <v>2</v>
      </c>
      <c r="I4" s="119" t="s">
        <v>3</v>
      </c>
      <c r="J4" s="120" t="s">
        <v>85</v>
      </c>
      <c r="K4" s="16" t="s">
        <v>86</v>
      </c>
      <c r="L4" s="16" t="s">
        <v>87</v>
      </c>
      <c r="M4" s="16" t="s">
        <v>88</v>
      </c>
      <c r="N4" s="16" t="s">
        <v>89</v>
      </c>
      <c r="O4" s="16" t="s">
        <v>90</v>
      </c>
      <c r="P4" s="16" t="s">
        <v>91</v>
      </c>
      <c r="Q4" s="16" t="s">
        <v>92</v>
      </c>
      <c r="R4" s="120" t="s">
        <v>101</v>
      </c>
      <c r="S4" s="18" t="s">
        <v>10</v>
      </c>
    </row>
    <row r="5" spans="1:20" s="19" customFormat="1" ht="15" customHeight="1" thickBot="1" x14ac:dyDescent="0.3">
      <c r="A5" s="205" t="s">
        <v>11</v>
      </c>
      <c r="B5" s="206"/>
      <c r="C5" s="206"/>
      <c r="D5" s="206"/>
      <c r="E5" s="206"/>
      <c r="F5" s="206"/>
      <c r="G5" s="206"/>
      <c r="H5" s="206"/>
      <c r="I5" s="121">
        <v>76.400000000000006</v>
      </c>
      <c r="J5" s="122">
        <f>I5-K5-L5-M5-N5-O5-P5-Q5-R5</f>
        <v>68.743333333333354</v>
      </c>
      <c r="K5" s="123">
        <v>0.21</v>
      </c>
      <c r="L5" s="123">
        <v>0.55000000000000004</v>
      </c>
      <c r="M5" s="123">
        <v>1</v>
      </c>
      <c r="N5" s="123">
        <f>0.8*10.5/12</f>
        <v>0.70000000000000007</v>
      </c>
      <c r="O5" s="123">
        <f>0.8*8/12</f>
        <v>0.53333333333333333</v>
      </c>
      <c r="P5" s="123">
        <f>0.5*8/12</f>
        <v>0.33333333333333331</v>
      </c>
      <c r="Q5" s="123">
        <f>1</f>
        <v>1</v>
      </c>
      <c r="R5" s="122">
        <v>3.33</v>
      </c>
      <c r="S5" s="124">
        <f>I5-SUM(J5:R5)</f>
        <v>0</v>
      </c>
    </row>
    <row r="6" spans="1:20" x14ac:dyDescent="0.25">
      <c r="A6" s="207" t="s">
        <v>12</v>
      </c>
      <c r="B6" s="208"/>
      <c r="C6" s="208"/>
      <c r="D6" s="208"/>
      <c r="E6" s="208"/>
      <c r="F6" s="208"/>
      <c r="G6" s="25"/>
      <c r="H6" s="26"/>
      <c r="I6" s="135"/>
      <c r="J6" s="136"/>
      <c r="K6" s="137"/>
      <c r="L6" s="138"/>
      <c r="M6" s="137"/>
      <c r="N6" s="137"/>
      <c r="O6" s="137"/>
      <c r="P6" s="137"/>
      <c r="Q6" s="137"/>
      <c r="R6" s="139"/>
      <c r="S6" s="140"/>
    </row>
    <row r="7" spans="1:20" ht="8.25" customHeight="1" x14ac:dyDescent="0.25">
      <c r="A7" s="32"/>
      <c r="B7" s="26"/>
      <c r="C7" s="26"/>
      <c r="D7" s="26"/>
      <c r="E7" s="26"/>
      <c r="F7" s="26"/>
      <c r="G7" s="33"/>
      <c r="H7" s="26"/>
      <c r="I7" s="141"/>
      <c r="J7" s="142"/>
      <c r="K7" s="143"/>
      <c r="L7" s="144"/>
      <c r="M7" s="143"/>
      <c r="N7" s="143"/>
      <c r="O7" s="143"/>
      <c r="P7" s="143"/>
      <c r="Q7" s="143"/>
      <c r="R7" s="145"/>
      <c r="S7" s="146"/>
    </row>
    <row r="8" spans="1:20" x14ac:dyDescent="0.25">
      <c r="A8" s="183" t="s">
        <v>13</v>
      </c>
      <c r="B8" s="184"/>
      <c r="C8" s="184"/>
      <c r="D8" s="184"/>
      <c r="E8" s="184"/>
      <c r="F8" s="184"/>
      <c r="G8" s="38"/>
      <c r="H8" s="26"/>
      <c r="I8" s="141"/>
      <c r="J8" s="142"/>
      <c r="K8" s="143"/>
      <c r="L8" s="144"/>
      <c r="M8" s="143"/>
      <c r="N8" s="143"/>
      <c r="O8" s="143"/>
      <c r="P8" s="143"/>
      <c r="Q8" s="143"/>
      <c r="R8" s="145"/>
      <c r="S8" s="146"/>
    </row>
    <row r="9" spans="1:20" x14ac:dyDescent="0.25">
      <c r="A9" s="39"/>
      <c r="B9" s="40" t="s">
        <v>14</v>
      </c>
      <c r="C9" s="41"/>
      <c r="D9" s="41"/>
      <c r="E9" s="41"/>
      <c r="F9" s="41"/>
      <c r="G9" s="42" t="s">
        <v>15</v>
      </c>
      <c r="H9" s="43">
        <v>9900</v>
      </c>
      <c r="I9" s="143">
        <f>I10-I13</f>
        <v>4458630.71</v>
      </c>
      <c r="J9" s="147">
        <f t="shared" ref="J9:P9" si="0">J10-J13</f>
        <v>4076628.61</v>
      </c>
      <c r="K9" s="148">
        <f t="shared" si="0"/>
        <v>12759.13</v>
      </c>
      <c r="L9" s="144">
        <f>L10-L13</f>
        <v>31690.57</v>
      </c>
      <c r="M9" s="144">
        <f>M10-M13</f>
        <v>74304.209999999992</v>
      </c>
      <c r="N9" s="144">
        <f>N10-N13</f>
        <v>8673.75</v>
      </c>
      <c r="O9" s="144">
        <f t="shared" si="0"/>
        <v>23227.59</v>
      </c>
      <c r="P9" s="144">
        <f t="shared" si="0"/>
        <v>4946.4799999999996</v>
      </c>
      <c r="Q9" s="144">
        <f>Q10-Q13</f>
        <v>49670.84</v>
      </c>
      <c r="R9" s="148">
        <f t="shared" ref="R9" si="1">R10-R13</f>
        <v>176729.53</v>
      </c>
      <c r="S9" s="149">
        <f>I9-SUM(J9:R9)</f>
        <v>0</v>
      </c>
    </row>
    <row r="10" spans="1:20" x14ac:dyDescent="0.25">
      <c r="A10" s="32"/>
      <c r="B10" s="46"/>
      <c r="C10" s="196" t="s">
        <v>16</v>
      </c>
      <c r="D10" s="196"/>
      <c r="E10" s="196"/>
      <c r="F10" s="196"/>
      <c r="G10" s="38"/>
      <c r="H10" s="43" t="s">
        <v>17</v>
      </c>
      <c r="I10" s="150">
        <f>I11+I12+108568.99</f>
        <v>5097108.8099999996</v>
      </c>
      <c r="J10" s="151">
        <f>I10-K10-L10-M10-N10-O10-P10-Q10-R10</f>
        <v>4663546.68</v>
      </c>
      <c r="K10" s="152">
        <f>K11+K12+19.67</f>
        <v>14135.75</v>
      </c>
      <c r="L10" s="152">
        <f>L11+L12+60.15</f>
        <v>31836.58</v>
      </c>
      <c r="M10" s="152">
        <f>M11+M12+584.31</f>
        <v>78711.209999999992</v>
      </c>
      <c r="N10" s="152">
        <f>N11+N12+33.79</f>
        <v>11530.03</v>
      </c>
      <c r="O10" s="152">
        <f>O11+O12+50.27</f>
        <v>25890.3</v>
      </c>
      <c r="P10" s="152">
        <f>P11+P12+22.78</f>
        <v>6603.78</v>
      </c>
      <c r="Q10" s="152">
        <f>Q11+Q12-60.33</f>
        <v>60574.879999999997</v>
      </c>
      <c r="R10" s="153">
        <f>R11+R12+203.6</f>
        <v>204279.6</v>
      </c>
      <c r="S10" s="149">
        <f>I10-SUM(J10:R10)</f>
        <v>0</v>
      </c>
    </row>
    <row r="11" spans="1:20" x14ac:dyDescent="0.25">
      <c r="A11" s="32"/>
      <c r="B11" s="195"/>
      <c r="C11" s="196"/>
      <c r="D11" s="197" t="s">
        <v>18</v>
      </c>
      <c r="E11" s="196"/>
      <c r="F11" s="196"/>
      <c r="G11" s="38"/>
      <c r="H11" s="43">
        <v>70</v>
      </c>
      <c r="I11" s="154">
        <v>258130.43</v>
      </c>
      <c r="J11" s="155">
        <v>258130.43</v>
      </c>
      <c r="K11" s="156"/>
      <c r="L11" s="156"/>
      <c r="M11" s="156"/>
      <c r="N11" s="156"/>
      <c r="O11" s="156"/>
      <c r="P11" s="156"/>
      <c r="Q11" s="156"/>
      <c r="R11" s="155"/>
      <c r="S11" s="149">
        <f t="shared" ref="S11:S20" si="2">I11-SUM(J11:R11)</f>
        <v>0</v>
      </c>
    </row>
    <row r="12" spans="1:20" x14ac:dyDescent="0.25">
      <c r="A12" s="32"/>
      <c r="B12" s="26"/>
      <c r="C12" s="26"/>
      <c r="D12" s="198" t="s">
        <v>19</v>
      </c>
      <c r="E12" s="199"/>
      <c r="F12" s="199"/>
      <c r="G12" s="54"/>
      <c r="H12" s="43">
        <v>73</v>
      </c>
      <c r="I12" s="157">
        <v>4730409.3899999997</v>
      </c>
      <c r="J12" s="158">
        <f>I12-K12-L12-M12-N12-P12-Q12-O12-R12</f>
        <v>4297761.4999999991</v>
      </c>
      <c r="K12" s="159">
        <v>14116.08</v>
      </c>
      <c r="L12" s="159">
        <v>31776.43</v>
      </c>
      <c r="M12" s="159">
        <v>78126.899999999994</v>
      </c>
      <c r="N12" s="159">
        <v>11496.24</v>
      </c>
      <c r="O12" s="159">
        <v>25840.03</v>
      </c>
      <c r="P12" s="159">
        <f>6581</f>
        <v>6581</v>
      </c>
      <c r="Q12" s="159">
        <v>60635.21</v>
      </c>
      <c r="R12" s="158">
        <v>204076</v>
      </c>
      <c r="S12" s="149">
        <f t="shared" si="2"/>
        <v>0</v>
      </c>
    </row>
    <row r="13" spans="1:20" ht="25.5" customHeight="1" x14ac:dyDescent="0.25">
      <c r="A13" s="32"/>
      <c r="B13" s="58"/>
      <c r="C13" s="189" t="s">
        <v>20</v>
      </c>
      <c r="D13" s="200"/>
      <c r="E13" s="200"/>
      <c r="F13" s="200"/>
      <c r="G13" s="38"/>
      <c r="H13" s="43" t="s">
        <v>21</v>
      </c>
      <c r="I13" s="157">
        <f>82213.64+556264.46</f>
        <v>638478.1</v>
      </c>
      <c r="J13" s="160">
        <f>I13-K13-L13-M13-N13-O13-P13-Q13-R13</f>
        <v>586918.06999999995</v>
      </c>
      <c r="K13" s="159">
        <f>14135.75-10359.13-2400</f>
        <v>1376.6200000000008</v>
      </c>
      <c r="L13" s="159">
        <f>L10-L14</f>
        <v>146.01000000000204</v>
      </c>
      <c r="M13" s="159">
        <v>4407</v>
      </c>
      <c r="N13" s="159">
        <v>2856.28</v>
      </c>
      <c r="O13" s="159">
        <f>2662.71</f>
        <v>2662.71</v>
      </c>
      <c r="P13" s="159">
        <f>(2000.63-343.33)</f>
        <v>1657.3000000000002</v>
      </c>
      <c r="Q13" s="159">
        <v>10904.04</v>
      </c>
      <c r="R13" s="158">
        <v>27550.07</v>
      </c>
      <c r="S13" s="149">
        <f>I13-SUM(J13:R13)</f>
        <v>0</v>
      </c>
    </row>
    <row r="14" spans="1:20" ht="26.25" customHeight="1" x14ac:dyDescent="0.25">
      <c r="A14" s="32"/>
      <c r="B14" s="189" t="s">
        <v>22</v>
      </c>
      <c r="C14" s="189"/>
      <c r="D14" s="189"/>
      <c r="E14" s="189"/>
      <c r="F14" s="189"/>
      <c r="G14" s="38" t="s">
        <v>15</v>
      </c>
      <c r="H14" s="43">
        <v>62</v>
      </c>
      <c r="I14" s="154">
        <v>4107500.69</v>
      </c>
      <c r="J14" s="161">
        <f>I14-K14-L14-M14-N14-O14-P14-Q14-R14</f>
        <v>3762117.0300000003</v>
      </c>
      <c r="K14" s="156">
        <f>7833.11+2526.02</f>
        <v>10359.129999999999</v>
      </c>
      <c r="L14" s="156">
        <f>23776.7+7628+285.87</f>
        <v>31690.57</v>
      </c>
      <c r="M14" s="162">
        <v>46824.95</v>
      </c>
      <c r="N14" s="156">
        <f>13467.22+4098.96-515.93</f>
        <v>17050.25</v>
      </c>
      <c r="O14" s="156">
        <f>20103.56+6183.49+340</f>
        <v>26627.050000000003</v>
      </c>
      <c r="P14" s="156">
        <f>(15677.63-2967.67)</f>
        <v>12709.96</v>
      </c>
      <c r="Q14" s="156">
        <v>43715.56</v>
      </c>
      <c r="R14" s="155">
        <v>156406.19</v>
      </c>
      <c r="S14" s="149">
        <f t="shared" si="2"/>
        <v>0</v>
      </c>
    </row>
    <row r="15" spans="1:20" ht="38.25" customHeight="1" x14ac:dyDescent="0.25">
      <c r="A15" s="32"/>
      <c r="B15" s="189" t="s">
        <v>23</v>
      </c>
      <c r="C15" s="189"/>
      <c r="D15" s="189"/>
      <c r="E15" s="189"/>
      <c r="F15" s="189"/>
      <c r="G15" s="38" t="s">
        <v>15</v>
      </c>
      <c r="H15" s="43">
        <v>630</v>
      </c>
      <c r="I15" s="157">
        <v>271874.77</v>
      </c>
      <c r="J15" s="158">
        <f>271874.77-P15-O15-R15</f>
        <v>259087.78</v>
      </c>
      <c r="K15" s="159"/>
      <c r="L15" s="159"/>
      <c r="M15" s="159"/>
      <c r="N15" s="159"/>
      <c r="O15" s="159">
        <v>547.4</v>
      </c>
      <c r="P15" s="159">
        <f>389.55</f>
        <v>389.55</v>
      </c>
      <c r="Q15" s="159">
        <v>0</v>
      </c>
      <c r="R15" s="158">
        <v>11850.04</v>
      </c>
      <c r="S15" s="149">
        <f t="shared" si="2"/>
        <v>0</v>
      </c>
      <c r="T15" s="1">
        <f>T14*0.2</f>
        <v>0</v>
      </c>
    </row>
    <row r="16" spans="1:20" ht="39" customHeight="1" x14ac:dyDescent="0.25">
      <c r="A16" s="32"/>
      <c r="B16" s="189" t="s">
        <v>24</v>
      </c>
      <c r="C16" s="189"/>
      <c r="D16" s="189"/>
      <c r="E16" s="189"/>
      <c r="F16" s="189"/>
      <c r="G16" s="38" t="s">
        <v>15</v>
      </c>
      <c r="H16" s="43" t="s">
        <v>25</v>
      </c>
      <c r="I16" s="157">
        <v>7279.91</v>
      </c>
      <c r="J16" s="158">
        <f>I16</f>
        <v>7279.91</v>
      </c>
      <c r="K16" s="159"/>
      <c r="L16" s="159"/>
      <c r="M16" s="159"/>
      <c r="N16" s="159"/>
      <c r="O16" s="159"/>
      <c r="P16" s="159"/>
      <c r="Q16" s="159">
        <v>0</v>
      </c>
      <c r="R16" s="158">
        <v>0</v>
      </c>
      <c r="S16" s="149">
        <f t="shared" si="2"/>
        <v>0</v>
      </c>
    </row>
    <row r="17" spans="1:19" ht="24.75" customHeight="1" x14ac:dyDescent="0.25">
      <c r="A17" s="32"/>
      <c r="B17" s="189" t="s">
        <v>26</v>
      </c>
      <c r="C17" s="189"/>
      <c r="D17" s="189"/>
      <c r="E17" s="189"/>
      <c r="F17" s="189"/>
      <c r="G17" s="38" t="s">
        <v>15</v>
      </c>
      <c r="H17" s="43" t="s">
        <v>27</v>
      </c>
      <c r="I17" s="157">
        <f>-3738.93-7865</f>
        <v>-11603.93</v>
      </c>
      <c r="J17" s="158">
        <f>I17</f>
        <v>-11603.93</v>
      </c>
      <c r="K17" s="159"/>
      <c r="L17" s="159"/>
      <c r="M17" s="159"/>
      <c r="N17" s="159"/>
      <c r="O17" s="159"/>
      <c r="P17" s="159"/>
      <c r="Q17" s="159"/>
      <c r="R17" s="158"/>
      <c r="S17" s="149">
        <f t="shared" si="2"/>
        <v>0</v>
      </c>
    </row>
    <row r="18" spans="1:19" ht="12.75" customHeight="1" x14ac:dyDescent="0.25">
      <c r="A18" s="32"/>
      <c r="B18" s="190" t="s">
        <v>28</v>
      </c>
      <c r="C18" s="190"/>
      <c r="D18" s="190"/>
      <c r="E18" s="190"/>
      <c r="F18" s="190"/>
      <c r="G18" s="38"/>
      <c r="H18" s="43" t="s">
        <v>29</v>
      </c>
      <c r="I18" s="157">
        <v>82141.22</v>
      </c>
      <c r="J18" s="160">
        <f>I18-K18-L18-M18-N18-O18-P18-Q18-R18</f>
        <v>42013.430000000008</v>
      </c>
      <c r="K18" s="159">
        <f>2400</f>
        <v>2400</v>
      </c>
      <c r="L18" s="159">
        <v>0</v>
      </c>
      <c r="M18" s="159">
        <v>19169.32</v>
      </c>
      <c r="N18" s="159">
        <v>1949.4</v>
      </c>
      <c r="O18" s="159">
        <v>5816.98</v>
      </c>
      <c r="P18" s="159">
        <v>0</v>
      </c>
      <c r="Q18" s="159">
        <v>6607.92</v>
      </c>
      <c r="R18" s="158">
        <v>4184.17</v>
      </c>
      <c r="S18" s="149">
        <f>I18-SUM(J18:R18)</f>
        <v>0</v>
      </c>
    </row>
    <row r="19" spans="1:19" ht="24.75" customHeight="1" x14ac:dyDescent="0.25">
      <c r="A19" s="32"/>
      <c r="B19" s="189" t="s">
        <v>30</v>
      </c>
      <c r="C19" s="189"/>
      <c r="D19" s="189"/>
      <c r="E19" s="189"/>
      <c r="F19" s="189"/>
      <c r="G19" s="38" t="s">
        <v>31</v>
      </c>
      <c r="H19" s="43">
        <v>649</v>
      </c>
      <c r="I19" s="157">
        <v>0</v>
      </c>
      <c r="J19" s="158"/>
      <c r="K19" s="159"/>
      <c r="L19" s="163"/>
      <c r="M19" s="159"/>
      <c r="N19" s="159"/>
      <c r="O19" s="159"/>
      <c r="P19" s="159"/>
      <c r="Q19" s="159"/>
      <c r="R19" s="158"/>
      <c r="S19" s="149">
        <f t="shared" si="2"/>
        <v>0</v>
      </c>
    </row>
    <row r="20" spans="1:19" x14ac:dyDescent="0.25">
      <c r="A20" s="32"/>
      <c r="B20" s="60"/>
      <c r="C20" s="5"/>
      <c r="D20" s="46"/>
      <c r="E20" s="46"/>
      <c r="F20" s="46"/>
      <c r="G20" s="38"/>
      <c r="H20" s="43"/>
      <c r="I20" s="164"/>
      <c r="J20" s="165"/>
      <c r="K20" s="166"/>
      <c r="L20" s="166"/>
      <c r="M20" s="166"/>
      <c r="N20" s="166"/>
      <c r="O20" s="166"/>
      <c r="P20" s="166"/>
      <c r="Q20" s="166"/>
      <c r="R20" s="165"/>
      <c r="S20" s="149">
        <f t="shared" si="2"/>
        <v>0</v>
      </c>
    </row>
    <row r="21" spans="1:19" s="69" customFormat="1" x14ac:dyDescent="0.25">
      <c r="A21" s="191" t="s">
        <v>32</v>
      </c>
      <c r="B21" s="192"/>
      <c r="C21" s="192"/>
      <c r="D21" s="192"/>
      <c r="E21" s="192"/>
      <c r="F21" s="192"/>
      <c r="G21" s="64" t="s">
        <v>15</v>
      </c>
      <c r="H21" s="65">
        <v>9901</v>
      </c>
      <c r="I21" s="128">
        <f t="shared" ref="I21:S21" si="3">I9-I14-I15-I16-I17-I18-I19</f>
        <v>1438.0499999999884</v>
      </c>
      <c r="J21" s="67">
        <f t="shared" si="3"/>
        <v>17734.389999999599</v>
      </c>
      <c r="K21" s="66">
        <f t="shared" si="3"/>
        <v>0</v>
      </c>
      <c r="L21" s="66">
        <f t="shared" si="3"/>
        <v>0</v>
      </c>
      <c r="M21" s="66">
        <f t="shared" si="3"/>
        <v>8309.9399999999951</v>
      </c>
      <c r="N21" s="66">
        <f t="shared" si="3"/>
        <v>-10325.9</v>
      </c>
      <c r="O21" s="66">
        <f t="shared" si="3"/>
        <v>-9763.840000000002</v>
      </c>
      <c r="P21" s="66">
        <f t="shared" si="3"/>
        <v>-8153.03</v>
      </c>
      <c r="Q21" s="66">
        <f t="shared" si="3"/>
        <v>-652.64000000000124</v>
      </c>
      <c r="R21" s="67">
        <f t="shared" si="3"/>
        <v>4289.1299999999956</v>
      </c>
      <c r="S21" s="68">
        <f t="shared" si="3"/>
        <v>0</v>
      </c>
    </row>
    <row r="22" spans="1:19" s="69" customFormat="1" x14ac:dyDescent="0.25">
      <c r="A22" s="70"/>
      <c r="B22" s="193"/>
      <c r="C22" s="194"/>
      <c r="D22" s="194"/>
      <c r="E22" s="194"/>
      <c r="F22" s="194"/>
      <c r="G22" s="64"/>
      <c r="H22" s="65"/>
      <c r="I22" s="167"/>
      <c r="J22" s="168"/>
      <c r="K22" s="169"/>
      <c r="L22" s="169"/>
      <c r="M22" s="169"/>
      <c r="N22" s="169"/>
      <c r="O22" s="169"/>
      <c r="P22" s="169"/>
      <c r="Q22" s="169"/>
      <c r="R22" s="168"/>
      <c r="S22" s="170"/>
    </row>
    <row r="23" spans="1:19" x14ac:dyDescent="0.25">
      <c r="A23" s="74" t="s">
        <v>33</v>
      </c>
      <c r="B23" s="75"/>
      <c r="C23" s="75"/>
      <c r="D23" s="75"/>
      <c r="E23" s="75"/>
      <c r="F23" s="75"/>
      <c r="G23" s="33"/>
      <c r="H23" s="43">
        <v>75</v>
      </c>
      <c r="I23" s="150">
        <v>5098.07</v>
      </c>
      <c r="J23" s="153">
        <v>5098.07</v>
      </c>
      <c r="K23" s="152"/>
      <c r="L23" s="152"/>
      <c r="M23" s="152"/>
      <c r="N23" s="152"/>
      <c r="O23" s="152"/>
      <c r="P23" s="152"/>
      <c r="Q23" s="152"/>
      <c r="R23" s="153"/>
      <c r="S23" s="171">
        <f>I23-SUM(J23:Q23)</f>
        <v>0</v>
      </c>
    </row>
    <row r="24" spans="1:19" x14ac:dyDescent="0.25">
      <c r="A24" s="74"/>
      <c r="B24" s="75"/>
      <c r="C24" s="75"/>
      <c r="D24" s="75"/>
      <c r="E24" s="75"/>
      <c r="F24" s="75"/>
      <c r="G24" s="33"/>
      <c r="H24" s="43"/>
      <c r="I24" s="167"/>
      <c r="J24" s="168"/>
      <c r="K24" s="169"/>
      <c r="L24" s="169"/>
      <c r="M24" s="169"/>
      <c r="N24" s="169"/>
      <c r="O24" s="169"/>
      <c r="P24" s="169"/>
      <c r="Q24" s="169"/>
      <c r="R24" s="168"/>
      <c r="S24" s="170"/>
    </row>
    <row r="25" spans="1:19" x14ac:dyDescent="0.25">
      <c r="A25" s="183" t="s">
        <v>34</v>
      </c>
      <c r="B25" s="184"/>
      <c r="C25" s="184"/>
      <c r="D25" s="184"/>
      <c r="E25" s="184"/>
      <c r="F25" s="184"/>
      <c r="G25" s="33"/>
      <c r="H25" s="43">
        <v>65</v>
      </c>
      <c r="I25" s="172">
        <v>10388.040000000001</v>
      </c>
      <c r="J25" s="173">
        <v>10388.040000000001</v>
      </c>
      <c r="K25" s="174"/>
      <c r="L25" s="174"/>
      <c r="M25" s="174"/>
      <c r="N25" s="174"/>
      <c r="O25" s="174"/>
      <c r="P25" s="174"/>
      <c r="Q25" s="174"/>
      <c r="R25" s="173"/>
      <c r="S25" s="175">
        <f>I25-SUM(J25:Q25)</f>
        <v>0</v>
      </c>
    </row>
    <row r="26" spans="1:19" x14ac:dyDescent="0.25">
      <c r="A26" s="39"/>
      <c r="B26" s="41"/>
      <c r="C26" s="41"/>
      <c r="D26" s="41"/>
      <c r="E26" s="41"/>
      <c r="F26" s="41"/>
      <c r="G26" s="33"/>
      <c r="H26" s="43"/>
      <c r="I26" s="176"/>
      <c r="J26" s="177"/>
      <c r="K26" s="178"/>
      <c r="L26" s="178"/>
      <c r="M26" s="178"/>
      <c r="N26" s="178"/>
      <c r="O26" s="178"/>
      <c r="P26" s="178"/>
      <c r="Q26" s="178"/>
      <c r="R26" s="177"/>
      <c r="S26" s="179"/>
    </row>
    <row r="27" spans="1:19" x14ac:dyDescent="0.25">
      <c r="A27" s="185" t="s">
        <v>35</v>
      </c>
      <c r="B27" s="186"/>
      <c r="C27" s="186"/>
      <c r="D27" s="186"/>
      <c r="E27" s="186"/>
      <c r="F27" s="186"/>
      <c r="G27" s="82" t="s">
        <v>15</v>
      </c>
      <c r="H27" s="43">
        <v>9902</v>
      </c>
      <c r="I27" s="128">
        <f>I21+I23-I25</f>
        <v>-3851.9200000000128</v>
      </c>
      <c r="J27" s="67">
        <f>J21+J23-J25</f>
        <v>12444.419999999598</v>
      </c>
      <c r="K27" s="66">
        <f t="shared" ref="K27:R27" si="4">K21+K23-K25</f>
        <v>0</v>
      </c>
      <c r="L27" s="66">
        <f t="shared" si="4"/>
        <v>0</v>
      </c>
      <c r="M27" s="66">
        <f>M21+M23-M25</f>
        <v>8309.9399999999951</v>
      </c>
      <c r="N27" s="66">
        <f t="shared" si="4"/>
        <v>-10325.9</v>
      </c>
      <c r="O27" s="66">
        <f t="shared" si="4"/>
        <v>-9763.840000000002</v>
      </c>
      <c r="P27" s="66">
        <f t="shared" si="4"/>
        <v>-8153.03</v>
      </c>
      <c r="Q27" s="66">
        <f t="shared" si="4"/>
        <v>-652.64000000000124</v>
      </c>
      <c r="R27" s="67">
        <f t="shared" si="4"/>
        <v>4289.1299999999956</v>
      </c>
      <c r="S27" s="68">
        <f>S21+S23-S25</f>
        <v>0</v>
      </c>
    </row>
    <row r="28" spans="1:19" x14ac:dyDescent="0.25">
      <c r="A28" s="32"/>
      <c r="B28" s="26"/>
      <c r="C28" s="26"/>
      <c r="D28" s="26"/>
      <c r="E28" s="26"/>
      <c r="F28" s="26"/>
      <c r="G28" s="33"/>
      <c r="H28" s="43"/>
      <c r="I28" s="164"/>
      <c r="J28" s="165"/>
      <c r="K28" s="166"/>
      <c r="L28" s="166"/>
      <c r="M28" s="166"/>
      <c r="N28" s="166"/>
      <c r="O28" s="166"/>
      <c r="P28" s="166"/>
      <c r="Q28" s="166"/>
      <c r="R28" s="165"/>
      <c r="S28" s="180"/>
    </row>
    <row r="29" spans="1:19" x14ac:dyDescent="0.25">
      <c r="A29" s="183" t="s">
        <v>36</v>
      </c>
      <c r="B29" s="184"/>
      <c r="C29" s="184"/>
      <c r="D29" s="184"/>
      <c r="E29" s="184"/>
      <c r="F29" s="184"/>
      <c r="G29" s="33"/>
      <c r="H29" s="43">
        <v>76</v>
      </c>
      <c r="I29" s="150">
        <v>10925.94</v>
      </c>
      <c r="J29" s="153">
        <v>10925.94</v>
      </c>
      <c r="K29" s="152"/>
      <c r="L29" s="152"/>
      <c r="M29" s="152"/>
      <c r="N29" s="152"/>
      <c r="O29" s="152"/>
      <c r="P29" s="152"/>
      <c r="Q29" s="152"/>
      <c r="R29" s="153"/>
      <c r="S29" s="171">
        <f>I29-SUM(J29:Q29)</f>
        <v>0</v>
      </c>
    </row>
    <row r="30" spans="1:19" x14ac:dyDescent="0.25">
      <c r="A30" s="39"/>
      <c r="B30" s="41"/>
      <c r="C30" s="41"/>
      <c r="D30" s="41"/>
      <c r="E30" s="41"/>
      <c r="F30" s="41"/>
      <c r="G30" s="33"/>
      <c r="H30" s="43"/>
      <c r="I30" s="167"/>
      <c r="J30" s="168"/>
      <c r="K30" s="169"/>
      <c r="L30" s="169"/>
      <c r="M30" s="169"/>
      <c r="N30" s="169"/>
      <c r="O30" s="169"/>
      <c r="P30" s="169"/>
      <c r="Q30" s="169"/>
      <c r="R30" s="168"/>
      <c r="S30" s="170"/>
    </row>
    <row r="31" spans="1:19" x14ac:dyDescent="0.25">
      <c r="A31" s="183" t="s">
        <v>37</v>
      </c>
      <c r="B31" s="184"/>
      <c r="C31" s="184"/>
      <c r="D31" s="184"/>
      <c r="E31" s="184"/>
      <c r="F31" s="184"/>
      <c r="G31" s="33"/>
      <c r="H31" s="43">
        <v>66</v>
      </c>
      <c r="I31" s="172"/>
      <c r="J31" s="173"/>
      <c r="K31" s="174"/>
      <c r="L31" s="174"/>
      <c r="M31" s="174"/>
      <c r="N31" s="174"/>
      <c r="O31" s="174"/>
      <c r="P31" s="174"/>
      <c r="Q31" s="174"/>
      <c r="R31" s="173"/>
      <c r="S31" s="175">
        <f>I31-SUM(J31:Q31)</f>
        <v>0</v>
      </c>
    </row>
    <row r="32" spans="1:19" x14ac:dyDescent="0.25">
      <c r="A32" s="32"/>
      <c r="B32" s="26"/>
      <c r="C32" s="26"/>
      <c r="D32" s="26"/>
      <c r="E32" s="26"/>
      <c r="F32" s="26"/>
      <c r="G32" s="33"/>
      <c r="H32" s="43"/>
      <c r="I32" s="164"/>
      <c r="J32" s="165"/>
      <c r="K32" s="166"/>
      <c r="L32" s="166"/>
      <c r="M32" s="166"/>
      <c r="N32" s="166"/>
      <c r="O32" s="166"/>
      <c r="P32" s="166"/>
      <c r="Q32" s="166"/>
      <c r="R32" s="165"/>
      <c r="S32" s="180"/>
    </row>
    <row r="33" spans="1:19" s="69" customFormat="1" x14ac:dyDescent="0.25">
      <c r="A33" s="187" t="s">
        <v>38</v>
      </c>
      <c r="B33" s="188"/>
      <c r="C33" s="188"/>
      <c r="D33" s="188"/>
      <c r="E33" s="188"/>
      <c r="F33" s="188"/>
      <c r="G33" s="83" t="s">
        <v>15</v>
      </c>
      <c r="H33" s="65">
        <v>9904</v>
      </c>
      <c r="I33" s="128">
        <f>I27+I29-I31</f>
        <v>7074.0199999999877</v>
      </c>
      <c r="J33" s="67">
        <f t="shared" ref="J33:R33" si="5">J27+J29-J31</f>
        <v>23370.3599999996</v>
      </c>
      <c r="K33" s="66">
        <f t="shared" si="5"/>
        <v>0</v>
      </c>
      <c r="L33" s="66">
        <f t="shared" si="5"/>
        <v>0</v>
      </c>
      <c r="M33" s="66">
        <f>M27+M29-M31</f>
        <v>8309.9399999999951</v>
      </c>
      <c r="N33" s="66">
        <f t="shared" si="5"/>
        <v>-10325.9</v>
      </c>
      <c r="O33" s="66">
        <f t="shared" si="5"/>
        <v>-9763.840000000002</v>
      </c>
      <c r="P33" s="66">
        <f t="shared" si="5"/>
        <v>-8153.03</v>
      </c>
      <c r="Q33" s="66">
        <f t="shared" si="5"/>
        <v>-652.64000000000124</v>
      </c>
      <c r="R33" s="67">
        <f t="shared" si="5"/>
        <v>4289.1299999999956</v>
      </c>
      <c r="S33" s="68">
        <f>S27+S29-S31</f>
        <v>0</v>
      </c>
    </row>
    <row r="34" spans="1:19" ht="8.25" customHeight="1" thickBot="1" x14ac:dyDescent="0.3">
      <c r="A34" s="84"/>
      <c r="B34" s="85"/>
      <c r="C34" s="85"/>
      <c r="D34" s="85"/>
      <c r="E34" s="85"/>
      <c r="F34" s="85"/>
      <c r="G34" s="86"/>
      <c r="H34" s="87"/>
      <c r="I34" s="89"/>
      <c r="J34" s="88"/>
      <c r="K34" s="89"/>
      <c r="L34" s="89"/>
      <c r="M34" s="89"/>
      <c r="N34" s="89"/>
      <c r="O34" s="89"/>
      <c r="P34" s="89"/>
      <c r="Q34" s="89"/>
      <c r="R34" s="88"/>
      <c r="S34" s="181"/>
    </row>
    <row r="35" spans="1:19" x14ac:dyDescent="0.25">
      <c r="M35" s="1" t="s">
        <v>102</v>
      </c>
      <c r="N35" s="3"/>
    </row>
  </sheetData>
  <mergeCells count="23">
    <mergeCell ref="C10:F10"/>
    <mergeCell ref="A1:J1"/>
    <mergeCell ref="A2:I2"/>
    <mergeCell ref="A5:H5"/>
    <mergeCell ref="A6:F6"/>
    <mergeCell ref="A8:F8"/>
    <mergeCell ref="B22:F22"/>
    <mergeCell ref="B11:C11"/>
    <mergeCell ref="D11:F11"/>
    <mergeCell ref="D12:F12"/>
    <mergeCell ref="C13:F13"/>
    <mergeCell ref="B14:F14"/>
    <mergeCell ref="B15:F15"/>
    <mergeCell ref="B16:F16"/>
    <mergeCell ref="B17:F17"/>
    <mergeCell ref="B18:F18"/>
    <mergeCell ref="B19:F19"/>
    <mergeCell ref="A21:F21"/>
    <mergeCell ref="A25:F25"/>
    <mergeCell ref="A27:F27"/>
    <mergeCell ref="A29:F29"/>
    <mergeCell ref="A31:F31"/>
    <mergeCell ref="A33:F33"/>
  </mergeCells>
  <conditionalFormatting sqref="I21:O21 I27:O27 I33:O33 S33 S27 S21">
    <cfRule type="cellIs" dxfId="7" priority="7" stopIfTrue="1" operator="greaterThanOrEqual">
      <formula>0</formula>
    </cfRule>
    <cfRule type="cellIs" dxfId="6" priority="8" stopIfTrue="1" operator="lessThan">
      <formula>0</formula>
    </cfRule>
  </conditionalFormatting>
  <conditionalFormatting sqref="P21 P27 P33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Q21 Q27 Q33">
    <cfRule type="cellIs" dxfId="3" priority="3" stopIfTrue="1" operator="greaterThanOrEqual">
      <formula>0</formula>
    </cfRule>
    <cfRule type="cellIs" dxfId="2" priority="4" stopIfTrue="1" operator="lessThan">
      <formula>0</formula>
    </cfRule>
  </conditionalFormatting>
  <conditionalFormatting sqref="R21 R27 R33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sqref="A1:XFD1048576"/>
    </sheetView>
  </sheetViews>
  <sheetFormatPr defaultRowHeight="15" x14ac:dyDescent="0.25"/>
  <cols>
    <col min="1" max="1" width="27.42578125" customWidth="1"/>
    <col min="2" max="2" width="59.140625" customWidth="1"/>
    <col min="3" max="4" width="22.7109375" customWidth="1"/>
    <col min="6" max="6" width="11.7109375" customWidth="1"/>
  </cols>
  <sheetData>
    <row r="1" spans="1:6" ht="18" x14ac:dyDescent="0.25">
      <c r="A1" s="91" t="s">
        <v>39</v>
      </c>
    </row>
    <row r="2" spans="1:6" ht="18" x14ac:dyDescent="0.25">
      <c r="A2" s="91"/>
    </row>
    <row r="3" spans="1:6" ht="23.25" customHeight="1" x14ac:dyDescent="0.25">
      <c r="A3" s="209" t="s">
        <v>93</v>
      </c>
      <c r="B3" s="209"/>
      <c r="D3">
        <v>2016</v>
      </c>
    </row>
    <row r="4" spans="1:6" ht="15.75" thickBot="1" x14ac:dyDescent="0.3"/>
    <row r="5" spans="1:6" ht="15.75" thickBot="1" x14ac:dyDescent="0.3">
      <c r="A5" s="92">
        <v>73</v>
      </c>
      <c r="B5" s="210" t="s">
        <v>19</v>
      </c>
      <c r="C5" s="211"/>
      <c r="D5" s="93">
        <f>SUM(D6:D8)+D9</f>
        <v>4730409.3899999997</v>
      </c>
    </row>
    <row r="6" spans="1:6" x14ac:dyDescent="0.25">
      <c r="A6" s="94" t="s">
        <v>41</v>
      </c>
      <c r="B6" s="212" t="s">
        <v>42</v>
      </c>
      <c r="C6" s="213"/>
      <c r="D6" s="182">
        <v>0</v>
      </c>
    </row>
    <row r="7" spans="1:6" x14ac:dyDescent="0.25">
      <c r="A7" s="94" t="s">
        <v>43</v>
      </c>
      <c r="B7" s="214" t="s">
        <v>44</v>
      </c>
      <c r="C7" s="215"/>
      <c r="D7" s="182">
        <f>2032+29501.35</f>
        <v>31533.35</v>
      </c>
    </row>
    <row r="8" spans="1:6" ht="15.75" thickBot="1" x14ac:dyDescent="0.3">
      <c r="A8" s="96" t="s">
        <v>45</v>
      </c>
      <c r="B8" s="216" t="s">
        <v>46</v>
      </c>
      <c r="C8" s="217"/>
      <c r="D8" s="97">
        <v>0</v>
      </c>
    </row>
    <row r="9" spans="1:6" ht="39.75" customHeight="1" thickBot="1" x14ac:dyDescent="0.3">
      <c r="A9" s="98" t="s">
        <v>47</v>
      </c>
      <c r="B9" s="218" t="s">
        <v>48</v>
      </c>
      <c r="C9" s="219"/>
      <c r="D9" s="93">
        <f>SUM(D11:D47)</f>
        <v>4698876.04</v>
      </c>
      <c r="F9" s="106"/>
    </row>
    <row r="10" spans="1:6" ht="15.75" thickBot="1" x14ac:dyDescent="0.3">
      <c r="A10" s="100" t="s">
        <v>49</v>
      </c>
      <c r="B10" s="101" t="s">
        <v>50</v>
      </c>
      <c r="C10" s="100" t="s">
        <v>51</v>
      </c>
      <c r="D10" s="102" t="s">
        <v>52</v>
      </c>
    </row>
    <row r="11" spans="1:6" x14ac:dyDescent="0.25">
      <c r="A11" s="103" t="s">
        <v>53</v>
      </c>
      <c r="B11" s="104" t="s">
        <v>54</v>
      </c>
      <c r="C11" s="105" t="s">
        <v>55</v>
      </c>
      <c r="D11" s="182">
        <v>4775.16</v>
      </c>
    </row>
    <row r="12" spans="1:6" x14ac:dyDescent="0.25">
      <c r="A12" s="103" t="s">
        <v>53</v>
      </c>
      <c r="B12" s="104" t="s">
        <v>56</v>
      </c>
      <c r="C12" s="105" t="s">
        <v>55</v>
      </c>
      <c r="D12" s="182">
        <v>10004.120000000001</v>
      </c>
    </row>
    <row r="13" spans="1:6" x14ac:dyDescent="0.25">
      <c r="A13" s="103" t="s">
        <v>57</v>
      </c>
      <c r="B13" s="104" t="s">
        <v>58</v>
      </c>
      <c r="C13" s="105" t="s">
        <v>55</v>
      </c>
      <c r="D13" s="182">
        <v>5000.12</v>
      </c>
    </row>
    <row r="14" spans="1:6" x14ac:dyDescent="0.25">
      <c r="A14" s="103" t="s">
        <v>59</v>
      </c>
      <c r="B14" s="104" t="s">
        <v>58</v>
      </c>
      <c r="C14" s="105" t="s">
        <v>55</v>
      </c>
      <c r="D14" s="182">
        <v>2326.5</v>
      </c>
      <c r="F14" s="106"/>
    </row>
    <row r="15" spans="1:6" x14ac:dyDescent="0.25">
      <c r="A15" s="103" t="s">
        <v>53</v>
      </c>
      <c r="B15" s="104" t="s">
        <v>94</v>
      </c>
      <c r="C15" s="105" t="s">
        <v>55</v>
      </c>
      <c r="D15" s="182">
        <v>23477.16</v>
      </c>
      <c r="F15" s="106"/>
    </row>
    <row r="16" spans="1:6" x14ac:dyDescent="0.25">
      <c r="A16" s="103" t="s">
        <v>95</v>
      </c>
      <c r="B16" s="104" t="s">
        <v>96</v>
      </c>
      <c r="C16" s="105" t="s">
        <v>55</v>
      </c>
      <c r="D16" s="182">
        <f>9733.32+1363.18+415.4</f>
        <v>11511.9</v>
      </c>
    </row>
    <row r="17" spans="1:4" x14ac:dyDescent="0.25">
      <c r="A17" s="103" t="s">
        <v>53</v>
      </c>
      <c r="B17" s="104" t="s">
        <v>60</v>
      </c>
      <c r="C17" s="105" t="s">
        <v>55</v>
      </c>
      <c r="D17" s="182">
        <v>10129.48</v>
      </c>
    </row>
    <row r="18" spans="1:4" x14ac:dyDescent="0.25">
      <c r="A18" s="103" t="s">
        <v>53</v>
      </c>
      <c r="B18" s="104" t="s">
        <v>61</v>
      </c>
      <c r="C18" s="105" t="s">
        <v>55</v>
      </c>
      <c r="D18" s="182">
        <v>20609.830000000002</v>
      </c>
    </row>
    <row r="19" spans="1:4" x14ac:dyDescent="0.25">
      <c r="A19" s="103" t="s">
        <v>62</v>
      </c>
      <c r="B19" s="104" t="s">
        <v>63</v>
      </c>
      <c r="C19" s="105" t="s">
        <v>55</v>
      </c>
      <c r="D19" s="182">
        <v>59659.18</v>
      </c>
    </row>
    <row r="20" spans="1:4" x14ac:dyDescent="0.25">
      <c r="A20" s="103" t="s">
        <v>64</v>
      </c>
      <c r="B20" s="104" t="s">
        <v>65</v>
      </c>
      <c r="C20" s="105" t="s">
        <v>55</v>
      </c>
      <c r="D20" s="182">
        <v>3791675.62</v>
      </c>
    </row>
    <row r="21" spans="1:4" x14ac:dyDescent="0.25">
      <c r="A21" s="103" t="s">
        <v>64</v>
      </c>
      <c r="B21" s="104" t="s">
        <v>65</v>
      </c>
      <c r="C21" s="105" t="s">
        <v>66</v>
      </c>
      <c r="D21" s="182">
        <v>78126.899999999994</v>
      </c>
    </row>
    <row r="22" spans="1:4" x14ac:dyDescent="0.25">
      <c r="A22" s="103" t="s">
        <v>67</v>
      </c>
      <c r="B22" s="104" t="s">
        <v>68</v>
      </c>
      <c r="C22" s="105" t="s">
        <v>69</v>
      </c>
      <c r="D22" s="182">
        <v>11496.24</v>
      </c>
    </row>
    <row r="23" spans="1:4" x14ac:dyDescent="0.25">
      <c r="A23" s="103" t="s">
        <v>64</v>
      </c>
      <c r="B23" s="104" t="s">
        <v>65</v>
      </c>
      <c r="C23" s="105" t="s">
        <v>97</v>
      </c>
      <c r="D23" s="182">
        <v>60635.21</v>
      </c>
    </row>
    <row r="24" spans="1:4" x14ac:dyDescent="0.25">
      <c r="A24" s="103" t="s">
        <v>67</v>
      </c>
      <c r="B24" s="104" t="s">
        <v>65</v>
      </c>
      <c r="C24" s="105" t="s">
        <v>98</v>
      </c>
      <c r="D24" s="182">
        <v>25840.03</v>
      </c>
    </row>
    <row r="25" spans="1:4" x14ac:dyDescent="0.25">
      <c r="A25" s="103" t="s">
        <v>67</v>
      </c>
      <c r="B25" s="104" t="s">
        <v>65</v>
      </c>
      <c r="C25" s="105" t="s">
        <v>99</v>
      </c>
      <c r="D25" s="182">
        <v>6581</v>
      </c>
    </row>
    <row r="26" spans="1:4" x14ac:dyDescent="0.25">
      <c r="A26" s="103" t="s">
        <v>64</v>
      </c>
      <c r="B26" s="104" t="s">
        <v>68</v>
      </c>
      <c r="C26" s="105" t="s">
        <v>103</v>
      </c>
      <c r="D26" s="182">
        <v>204076</v>
      </c>
    </row>
    <row r="27" spans="1:4" x14ac:dyDescent="0.25">
      <c r="A27" s="103" t="s">
        <v>67</v>
      </c>
      <c r="B27" s="104" t="s">
        <v>70</v>
      </c>
      <c r="C27" s="105" t="s">
        <v>55</v>
      </c>
      <c r="D27" s="182">
        <v>26484.92</v>
      </c>
    </row>
    <row r="28" spans="1:4" x14ac:dyDescent="0.25">
      <c r="A28" s="103" t="s">
        <v>71</v>
      </c>
      <c r="B28" s="104" t="s">
        <v>72</v>
      </c>
      <c r="C28" s="105" t="s">
        <v>55</v>
      </c>
      <c r="D28" s="182">
        <f>30133.58+5784.32+254.91-8309.94</f>
        <v>27862.870000000003</v>
      </c>
    </row>
    <row r="29" spans="1:4" x14ac:dyDescent="0.25">
      <c r="A29" s="103" t="s">
        <v>73</v>
      </c>
      <c r="B29" s="104" t="s">
        <v>73</v>
      </c>
      <c r="C29" s="105" t="s">
        <v>55</v>
      </c>
      <c r="D29" s="182">
        <v>269958.12</v>
      </c>
    </row>
    <row r="30" spans="1:4" x14ac:dyDescent="0.25">
      <c r="A30" s="103" t="s">
        <v>74</v>
      </c>
      <c r="B30" s="104" t="s">
        <v>74</v>
      </c>
      <c r="C30" s="105" t="s">
        <v>55</v>
      </c>
      <c r="D30" s="182">
        <v>-76.64</v>
      </c>
    </row>
    <row r="31" spans="1:4" x14ac:dyDescent="0.25">
      <c r="A31" s="103" t="s">
        <v>75</v>
      </c>
      <c r="B31" s="104" t="s">
        <v>76</v>
      </c>
      <c r="C31" s="105" t="s">
        <v>55</v>
      </c>
      <c r="D31" s="182">
        <v>2829.81</v>
      </c>
    </row>
    <row r="32" spans="1:4" x14ac:dyDescent="0.25">
      <c r="A32" s="103" t="s">
        <v>100</v>
      </c>
      <c r="B32" s="104" t="s">
        <v>78</v>
      </c>
      <c r="C32" s="105" t="s">
        <v>79</v>
      </c>
      <c r="D32" s="182">
        <v>14116.08</v>
      </c>
    </row>
    <row r="33" spans="1:4" ht="25.5" x14ac:dyDescent="0.25">
      <c r="A33" s="103" t="s">
        <v>80</v>
      </c>
      <c r="B33" s="104" t="s">
        <v>78</v>
      </c>
      <c r="C33" s="105" t="s">
        <v>81</v>
      </c>
      <c r="D33" s="182">
        <v>31776.43</v>
      </c>
    </row>
    <row r="34" spans="1:4" x14ac:dyDescent="0.25">
      <c r="A34" s="103"/>
      <c r="B34" s="104"/>
      <c r="C34" s="105"/>
      <c r="D34" s="95"/>
    </row>
    <row r="35" spans="1:4" x14ac:dyDescent="0.25">
      <c r="A35" s="131"/>
      <c r="B35" s="132"/>
      <c r="C35" s="133"/>
      <c r="D35" s="134"/>
    </row>
    <row r="36" spans="1:4" x14ac:dyDescent="0.25">
      <c r="A36" s="94"/>
      <c r="B36" s="107"/>
      <c r="C36" s="108"/>
      <c r="D36" s="95"/>
    </row>
    <row r="37" spans="1:4" x14ac:dyDescent="0.25">
      <c r="A37" s="94"/>
      <c r="B37" s="107"/>
      <c r="C37" s="108"/>
      <c r="D37" s="95"/>
    </row>
    <row r="38" spans="1:4" x14ac:dyDescent="0.25">
      <c r="A38" s="94"/>
      <c r="B38" s="107"/>
      <c r="C38" s="108"/>
      <c r="D38" s="95"/>
    </row>
    <row r="39" spans="1:4" x14ac:dyDescent="0.25">
      <c r="A39" s="94"/>
      <c r="B39" s="107"/>
      <c r="C39" s="108"/>
      <c r="D39" s="95"/>
    </row>
    <row r="40" spans="1:4" x14ac:dyDescent="0.25">
      <c r="A40" s="94"/>
      <c r="B40" s="107"/>
      <c r="C40" s="108"/>
      <c r="D40" s="95"/>
    </row>
    <row r="41" spans="1:4" x14ac:dyDescent="0.25">
      <c r="A41" s="94"/>
      <c r="B41" s="107"/>
      <c r="C41" s="108"/>
      <c r="D41" s="95"/>
    </row>
    <row r="42" spans="1:4" x14ac:dyDescent="0.25">
      <c r="A42" s="109"/>
      <c r="B42" s="110"/>
      <c r="C42" s="111"/>
      <c r="D42" s="112"/>
    </row>
    <row r="43" spans="1:4" x14ac:dyDescent="0.25">
      <c r="A43" s="109"/>
      <c r="B43" s="110"/>
      <c r="C43" s="111"/>
      <c r="D43" s="112"/>
    </row>
    <row r="44" spans="1:4" x14ac:dyDescent="0.25">
      <c r="A44" s="109"/>
      <c r="B44" s="110"/>
      <c r="C44" s="111"/>
      <c r="D44" s="112"/>
    </row>
    <row r="45" spans="1:4" x14ac:dyDescent="0.25">
      <c r="A45" s="109"/>
      <c r="B45" s="110"/>
      <c r="C45" s="111"/>
      <c r="D45" s="112"/>
    </row>
    <row r="46" spans="1:4" x14ac:dyDescent="0.25">
      <c r="A46" s="109"/>
      <c r="B46" s="110"/>
      <c r="C46" s="111"/>
      <c r="D46" s="112"/>
    </row>
    <row r="47" spans="1:4" ht="15.75" thickBot="1" x14ac:dyDescent="0.3">
      <c r="A47" s="113"/>
      <c r="B47" s="114"/>
      <c r="C47" s="115"/>
      <c r="D47" s="116"/>
    </row>
    <row r="48" spans="1:4" x14ac:dyDescent="0.25">
      <c r="A48" s="117"/>
      <c r="B48" s="117"/>
    </row>
    <row r="49" spans="1:2" x14ac:dyDescent="0.25">
      <c r="A49" s="117"/>
      <c r="B49" s="117"/>
    </row>
  </sheetData>
  <mergeCells count="6">
    <mergeCell ref="B9:C9"/>
    <mergeCell ref="A3:B3"/>
    <mergeCell ref="B5:C5"/>
    <mergeCell ref="B6:C6"/>
    <mergeCell ref="B7:C7"/>
    <mergeCell ref="B8:C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aag_x0020_nummer xmlns="e58823c3-9226-4bb7-a434-941750dd9581" xsi:nil="true"/>
    <dossiernummer xmlns="e58823c3-9226-4bb7-a434-941750dd958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5915AD95C66D4DA87DFF3AF555BDAF" ma:contentTypeVersion="3" ma:contentTypeDescription="Een nieuw document maken." ma:contentTypeScope="" ma:versionID="b89bbd0d09405f89a02fcb80abfcd489">
  <xsd:schema xmlns:xsd="http://www.w3.org/2001/XMLSchema" xmlns:xs="http://www.w3.org/2001/XMLSchema" xmlns:p="http://schemas.microsoft.com/office/2006/metadata/properties" xmlns:ns2="e58823c3-9226-4bb7-a434-941750dd9581" targetNamespace="http://schemas.microsoft.com/office/2006/metadata/properties" ma:root="true" ma:fieldsID="c870eaddf530558e2783b93f80590d3d" ns2:_="">
    <xsd:import namespace="e58823c3-9226-4bb7-a434-941750dd9581"/>
    <xsd:element name="properties">
      <xsd:complexType>
        <xsd:sequence>
          <xsd:element name="documentManagement">
            <xsd:complexType>
              <xsd:all>
                <xsd:element ref="ns2:Vraag_x0020_nummer" minOccurs="0"/>
                <xsd:element ref="ns2:dossier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823c3-9226-4bb7-a434-941750dd9581" elementFormDefault="qualified">
    <xsd:import namespace="http://schemas.microsoft.com/office/2006/documentManagement/types"/>
    <xsd:import namespace="http://schemas.microsoft.com/office/infopath/2007/PartnerControls"/>
    <xsd:element name="Vraag_x0020_nummer" ma:index="1" nillable="true" ma:displayName="Vraag nummer" ma:description="Geef hier het nummer van de VOU in" ma:internalName="Vraag_x0020_nummer" ma:percentage="FALSE">
      <xsd:simpleType>
        <xsd:restriction base="dms:Number"/>
      </xsd:simpleType>
    </xsd:element>
    <xsd:element name="dossiernummer" ma:index="2" nillable="true" ma:displayName="dossiernummer" ma:description="het nummer dat een dossier krijgt vanuit het postregistratiesysteem = een uniek nummer" ma:internalName="dossiernumm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Inhoudstype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49720A-14F5-4456-8947-C5217C644D63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e58823c3-9226-4bb7-a434-941750dd958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43DC8E6-175A-4E1D-882F-6925DBC92D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7A4721-DEE1-4B38-9987-82FA78CC5C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8823c3-9226-4bb7-a434-941750dd9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RRAC14</vt:lpstr>
      <vt:lpstr>14Detail73</vt:lpstr>
      <vt:lpstr>RRAC15</vt:lpstr>
      <vt:lpstr>15Detail73</vt:lpstr>
      <vt:lpstr>RRAC16</vt:lpstr>
      <vt:lpstr>16Detail73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 Droogenbroeck, Daniel</dc:creator>
  <cp:lastModifiedBy>Van Neste, Ulrike</cp:lastModifiedBy>
  <dcterms:created xsi:type="dcterms:W3CDTF">2017-12-21T12:36:46Z</dcterms:created>
  <dcterms:modified xsi:type="dcterms:W3CDTF">2018-01-03T08:31:22Z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0x0101009A5915AD95C66D4DA87DFF3AF555BDAF</vt:lpwstr>
  </property>
  <property fmtid="{D5CDD505-2E9C-101B-9397-08002B2CF9AE}" pid="3" name="_docset_NoMedatataSyncRequired">
    <vt:lpwstr>False</vt:lpwstr>
  </property>
</Properties>
</file>