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7-2018/SV 179 Centra algemeen welzijnswerk (CAW's) - Financiering/"/>
    </mc:Choice>
  </mc:AlternateContent>
  <bookViews>
    <workbookView xWindow="0" yWindow="0" windowWidth="23040" windowHeight="8790"/>
  </bookViews>
  <sheets>
    <sheet name="RRAC14" sheetId="1" r:id="rId1"/>
    <sheet name="14Detail73" sheetId="2" r:id="rId2"/>
    <sheet name="RRAC15" sheetId="3" r:id="rId3"/>
    <sheet name="15Detail73" sheetId="4" r:id="rId4"/>
    <sheet name="RRAC16" sheetId="5" r:id="rId5"/>
    <sheet name="16Detail73" sheetId="6" r:id="rId6"/>
  </sheets>
  <calcPr calcId="171027"/>
</workbook>
</file>

<file path=xl/calcChain.xml><?xml version="1.0" encoding="utf-8"?>
<calcChain xmlns="http://schemas.openxmlformats.org/spreadsheetml/2006/main">
  <c r="D37" i="6" l="1"/>
  <c r="D35" i="6"/>
  <c r="D33" i="6"/>
  <c r="D31" i="6"/>
  <c r="D30" i="6"/>
  <c r="D28" i="6"/>
  <c r="D27" i="6"/>
  <c r="D26" i="6"/>
  <c r="D24" i="6"/>
  <c r="D20" i="6"/>
  <c r="D19" i="6"/>
  <c r="D18" i="6"/>
  <c r="D17" i="6"/>
  <c r="D16" i="6"/>
  <c r="E38" i="6" s="1"/>
  <c r="D13" i="6"/>
  <c r="D12" i="6"/>
  <c r="D11" i="6"/>
  <c r="D10" i="6"/>
  <c r="D9" i="6"/>
  <c r="D8" i="6"/>
  <c r="D4" i="6" s="1"/>
  <c r="D6" i="6"/>
  <c r="I31" i="5"/>
  <c r="J31" i="5" s="1"/>
  <c r="M31" i="5" s="1"/>
  <c r="J29" i="5"/>
  <c r="I29" i="5"/>
  <c r="M29" i="5" s="1"/>
  <c r="J25" i="5"/>
  <c r="M25" i="5" s="1"/>
  <c r="I25" i="5"/>
  <c r="J23" i="5"/>
  <c r="I23" i="5"/>
  <c r="M23" i="5" s="1"/>
  <c r="M19" i="5"/>
  <c r="L18" i="5"/>
  <c r="J18" i="5" s="1"/>
  <c r="K18" i="5"/>
  <c r="I18" i="5"/>
  <c r="M18" i="5" s="1"/>
  <c r="M17" i="5"/>
  <c r="J17" i="5"/>
  <c r="I16" i="5"/>
  <c r="K15" i="5"/>
  <c r="I15" i="5"/>
  <c r="L14" i="5"/>
  <c r="K14" i="5"/>
  <c r="J14" i="5"/>
  <c r="I14" i="5"/>
  <c r="M14" i="5" s="1"/>
  <c r="L13" i="5"/>
  <c r="K13" i="5"/>
  <c r="K9" i="5" s="1"/>
  <c r="K21" i="5" s="1"/>
  <c r="K27" i="5" s="1"/>
  <c r="K33" i="5" s="1"/>
  <c r="I13" i="5"/>
  <c r="J13" i="5" s="1"/>
  <c r="L12" i="5"/>
  <c r="J12" i="5" s="1"/>
  <c r="K12" i="5"/>
  <c r="I12" i="5"/>
  <c r="M12" i="5" s="1"/>
  <c r="I11" i="5"/>
  <c r="J11" i="5" s="1"/>
  <c r="M11" i="5" s="1"/>
  <c r="L10" i="5"/>
  <c r="L9" i="5" s="1"/>
  <c r="L21" i="5" s="1"/>
  <c r="L27" i="5" s="1"/>
  <c r="L33" i="5" s="1"/>
  <c r="K10" i="5"/>
  <c r="I10" i="5"/>
  <c r="I9" i="5"/>
  <c r="J5" i="5"/>
  <c r="M5" i="5" s="1"/>
  <c r="D31" i="4"/>
  <c r="D29" i="4"/>
  <c r="D27" i="4"/>
  <c r="D26" i="4"/>
  <c r="D25" i="4"/>
  <c r="D22" i="4"/>
  <c r="D16" i="4"/>
  <c r="D15" i="4"/>
  <c r="D14" i="4"/>
  <c r="D11" i="4"/>
  <c r="D10" i="4"/>
  <c r="D9" i="4"/>
  <c r="D6" i="4"/>
  <c r="D4" i="4"/>
  <c r="J31" i="3"/>
  <c r="M31" i="3" s="1"/>
  <c r="M29" i="3"/>
  <c r="J29" i="3"/>
  <c r="M25" i="3"/>
  <c r="J25" i="3"/>
  <c r="M23" i="3"/>
  <c r="L21" i="3"/>
  <c r="L27" i="3" s="1"/>
  <c r="L33" i="3" s="1"/>
  <c r="M19" i="3"/>
  <c r="K18" i="3"/>
  <c r="I18" i="3"/>
  <c r="M17" i="3"/>
  <c r="J17" i="3"/>
  <c r="I17" i="3"/>
  <c r="M16" i="3"/>
  <c r="J16" i="3"/>
  <c r="I16" i="3"/>
  <c r="K15" i="3"/>
  <c r="J15" i="3" s="1"/>
  <c r="M15" i="3" s="1"/>
  <c r="I15" i="3"/>
  <c r="K14" i="3"/>
  <c r="J14" i="3" s="1"/>
  <c r="M14" i="3" s="1"/>
  <c r="K13" i="3"/>
  <c r="J13" i="3"/>
  <c r="I13" i="3"/>
  <c r="M13" i="3" s="1"/>
  <c r="K12" i="3"/>
  <c r="K10" i="3" s="1"/>
  <c r="K9" i="3" s="1"/>
  <c r="K21" i="3" s="1"/>
  <c r="K27" i="3" s="1"/>
  <c r="K33" i="3" s="1"/>
  <c r="J12" i="3"/>
  <c r="I12" i="3"/>
  <c r="M12" i="3" s="1"/>
  <c r="I11" i="3"/>
  <c r="I10" i="3"/>
  <c r="L9" i="3"/>
  <c r="J5" i="3"/>
  <c r="M5" i="3" s="1"/>
  <c r="D4" i="2"/>
  <c r="M31" i="1"/>
  <c r="M29" i="1"/>
  <c r="M25" i="1"/>
  <c r="M23" i="1"/>
  <c r="L21" i="1"/>
  <c r="L27" i="1" s="1"/>
  <c r="L33" i="1" s="1"/>
  <c r="M19" i="1"/>
  <c r="M18" i="1"/>
  <c r="M17" i="1"/>
  <c r="M16" i="1"/>
  <c r="M15" i="1"/>
  <c r="M14" i="1"/>
  <c r="M13" i="1"/>
  <c r="M12" i="1"/>
  <c r="M11" i="1"/>
  <c r="M10" i="1"/>
  <c r="L9" i="1"/>
  <c r="K9" i="1"/>
  <c r="K21" i="1" s="1"/>
  <c r="K27" i="1" s="1"/>
  <c r="K33" i="1" s="1"/>
  <c r="J9" i="1"/>
  <c r="J21" i="1" s="1"/>
  <c r="J27" i="1" s="1"/>
  <c r="J33" i="1" s="1"/>
  <c r="I9" i="1"/>
  <c r="M9" i="1" s="1"/>
  <c r="M21" i="1" s="1"/>
  <c r="M27" i="1" s="1"/>
  <c r="M33" i="1" s="1"/>
  <c r="M5" i="1"/>
  <c r="M16" i="5" l="1"/>
  <c r="M10" i="3"/>
  <c r="J15" i="5"/>
  <c r="M15" i="5" s="1"/>
  <c r="J16" i="5"/>
  <c r="I21" i="1"/>
  <c r="I27" i="1" s="1"/>
  <c r="I33" i="1" s="1"/>
  <c r="J10" i="3"/>
  <c r="J9" i="3" s="1"/>
  <c r="J21" i="3" s="1"/>
  <c r="J27" i="3" s="1"/>
  <c r="J33" i="3" s="1"/>
  <c r="J11" i="3"/>
  <c r="M11" i="3" s="1"/>
  <c r="J18" i="3"/>
  <c r="M18" i="3" s="1"/>
  <c r="J10" i="5"/>
  <c r="J9" i="5" s="1"/>
  <c r="M13" i="5"/>
  <c r="I21" i="5"/>
  <c r="I27" i="5" s="1"/>
  <c r="I33" i="5" s="1"/>
  <c r="I9" i="3"/>
  <c r="M10" i="5" l="1"/>
  <c r="J21" i="5"/>
  <c r="J27" i="5" s="1"/>
  <c r="J33" i="5" s="1"/>
  <c r="M9" i="3"/>
  <c r="M21" i="3" s="1"/>
  <c r="M27" i="3" s="1"/>
  <c r="M33" i="3" s="1"/>
  <c r="I21" i="3"/>
  <c r="I27" i="3" s="1"/>
  <c r="I33" i="3" s="1"/>
  <c r="M9" i="5"/>
  <c r="M21" i="5" s="1"/>
  <c r="M27" i="5" s="1"/>
  <c r="M33" i="5" s="1"/>
</calcChain>
</file>

<file path=xl/sharedStrings.xml><?xml version="1.0" encoding="utf-8"?>
<sst xmlns="http://schemas.openxmlformats.org/spreadsheetml/2006/main" count="283" uniqueCount="88">
  <si>
    <t>Bijlage 1: Resultatenrekening per activiteitencentrum 2014</t>
  </si>
  <si>
    <t xml:space="preserve">Naam vzw: CAW  Boom Mechelen Lier  Maurits Sabbestraat 119  2800  </t>
  </si>
  <si>
    <t>Mechelen</t>
  </si>
  <si>
    <t>Codes</t>
  </si>
  <si>
    <t>Vzw</t>
  </si>
  <si>
    <t xml:space="preserve">Vlaamse Overheid
</t>
  </si>
  <si>
    <t xml:space="preserve">Schuldhulpverlening
</t>
  </si>
  <si>
    <t>CONTROLE</t>
  </si>
  <si>
    <t>Aantal VTE</t>
  </si>
  <si>
    <t>61,40VT</t>
  </si>
  <si>
    <t>1VT</t>
  </si>
  <si>
    <t>RESULTATENREKENING</t>
  </si>
  <si>
    <t>Bedrijfsopbrengsten en bedrijfskosten</t>
  </si>
  <si>
    <t>Brutomarge</t>
  </si>
  <si>
    <t>(+/-)</t>
  </si>
  <si>
    <t>Bedrijfsopbrengsten</t>
  </si>
  <si>
    <t>70/74</t>
  </si>
  <si>
    <t>Omzet</t>
  </si>
  <si>
    <t>Lidgeld, schenkingen, legaten en subsidies</t>
  </si>
  <si>
    <t>Handelsgoederen, grond- en hulpstoffen;
diensten en diverse goederen</t>
  </si>
  <si>
    <t>60/61</t>
  </si>
  <si>
    <t>Bezoldigingen, sociale lasten en pensioenen
(toel. VI, 2) …………………………………………………….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</si>
  <si>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</si>
  <si>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Waardeverminderingen op voorraden, bestellingen in
uitvoering en handelsvorderingen (toevoegingen-,
terugnemingen +)……………………………………………….</t>
  </si>
  <si>
    <t>631/4</t>
  </si>
  <si>
    <t>Voorzieningen voor risico's en kosten (toevoegingen-,
bestedingen en terugnemingen +)……………………………</t>
  </si>
  <si>
    <t>635/8</t>
  </si>
  <si>
    <t>Andere bedrijfskosten………………………………………….</t>
  </si>
  <si>
    <t>640/8</t>
  </si>
  <si>
    <t>Als herstructureringskosten geactiveerde
bedrijfskosten …………………………………………………..</t>
  </si>
  <si>
    <t>(-)</t>
  </si>
  <si>
    <t>Bedrijfswinst (bedrijfsverlies)……………………………………</t>
  </si>
  <si>
    <t>Financiële opbrengsten…………………………………………</t>
  </si>
  <si>
    <t>Financiële kosten ………………………………………………..</t>
  </si>
  <si>
    <t>Winst (verlies) uit de gewone bedrijfsuitoefening ………….</t>
  </si>
  <si>
    <t>Uitzonderlijke opbrengsten ……………………………………</t>
  </si>
  <si>
    <t>Uitzonderlijke kosten ……………………………………………</t>
  </si>
  <si>
    <t>Winst (verlies) van het boekjaar …………………………………………</t>
  </si>
  <si>
    <t>Bijlage 4 : DETAIL VAN DE 73-REKENINGEN (lijst van subsidies)</t>
  </si>
  <si>
    <t>Naam VZW : CAW Boom Mechelen Lier  Maurits Sabbestraat 119   2800  Mechelen</t>
  </si>
  <si>
    <t>730/731</t>
  </si>
  <si>
    <t>Lidgelden</t>
  </si>
  <si>
    <t>732/733</t>
  </si>
  <si>
    <t>Schenkingen</t>
  </si>
  <si>
    <t>734/735</t>
  </si>
  <si>
    <t>Legaten</t>
  </si>
  <si>
    <t>Kapitaal- en intrestsubsidies
Werkingssubsides Vlaamse Overheid 
Overige werkingssubsidies en werkingstoelagen</t>
  </si>
  <si>
    <t>Werkingssubsidies Vlaamse Overheid</t>
  </si>
  <si>
    <t>Werkingssubsidies Vlaamse Overheid projecten</t>
  </si>
  <si>
    <t xml:space="preserve">738 
737  
738 </t>
  </si>
  <si>
    <t>Overige werkingssubsidies en werkingstoelagen</t>
  </si>
  <si>
    <t>Subsidieverlener</t>
  </si>
  <si>
    <t>Doel</t>
  </si>
  <si>
    <t>Activiteitencentrum</t>
  </si>
  <si>
    <t>Bedrag</t>
  </si>
  <si>
    <t>Vlaamse Overheid</t>
  </si>
  <si>
    <t>Loon- en werkingssubsidies</t>
  </si>
  <si>
    <t>project "schuldhulpverlening"</t>
  </si>
  <si>
    <t>vrijwilligerswerk slachtofferhulp</t>
  </si>
  <si>
    <t>Sociale Maribel</t>
  </si>
  <si>
    <t>Loonsubsidies</t>
  </si>
  <si>
    <t>Provincie Antwerpen</t>
  </si>
  <si>
    <t>Algemene werking</t>
  </si>
  <si>
    <t>OCMW Mechelen</t>
  </si>
  <si>
    <t>Werking Crisisinterventiecentrum</t>
  </si>
  <si>
    <t>Stad Mechelen</t>
  </si>
  <si>
    <t>Gemeente Heist</t>
  </si>
  <si>
    <t>Werking AWW Heist</t>
  </si>
  <si>
    <t>VIVO</t>
  </si>
  <si>
    <t>Opleidingen</t>
  </si>
  <si>
    <t>Bijlage 1: Resultatenrekening per activiteitencentrum 2015</t>
  </si>
  <si>
    <t>Woonstage</t>
  </si>
  <si>
    <t>WGC Heist-op-den-Berg</t>
  </si>
  <si>
    <t>Gemeente Willebroek</t>
  </si>
  <si>
    <t>Bijlage 1: Resultatenrekening per activiteitencentrum 2016</t>
  </si>
  <si>
    <t>Preventie uithuiszetting</t>
  </si>
  <si>
    <t>Bijlage 4 : DETAIL VAN DE 73-REKENINGEN (lijst van subsidies) 2016</t>
  </si>
  <si>
    <t>Subsidie preventie uithuiszetting private huisvestingsmarkt</t>
  </si>
  <si>
    <t>Subsidie projecten</t>
  </si>
  <si>
    <t>Loon- en werkingssubsidies gedetineerden</t>
  </si>
  <si>
    <t>Loon- en werkingssubsidies vluchtelingen schijf 1</t>
  </si>
  <si>
    <t>project preventie uithuiszetting private huisvestingsmarkt"</t>
  </si>
  <si>
    <t>Regionale Projectencomm. Welzijnszorg</t>
  </si>
  <si>
    <t>project "kunst is voor iedereen"</t>
  </si>
  <si>
    <t>Vlaams-Brabant/Mechelen</t>
  </si>
  <si>
    <t>Acute opvang</t>
  </si>
  <si>
    <t>Werking Winteropvang</t>
  </si>
  <si>
    <t>Gemeente Heist-op-den-Berg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</si>
</sst>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0000"/>
        <bgColor rgb="FFFF0000"/>
      </patternFill>
    </fill>
    <fill>
      <patternFill patternType="solid">
        <fgColor rgb="FFA6A6A6"/>
        <bgColor rgb="FFA6A6A6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2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3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10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4" borderId="11" xfId="0" applyFill="1" applyBorder="1" applyAlignment="1" applyProtection="1">
      <alignment horizontal="center" vertical="top"/>
    </xf>
    <xf numFmtId="0" fontId="5" fillId="0" borderId="13" xfId="0" applyFon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protection locked="0"/>
    </xf>
    <xf numFmtId="3" fontId="0" fillId="0" borderId="15" xfId="0" applyNumberFormat="1" applyBorder="1" applyAlignment="1" applyProtection="1">
      <protection locked="0"/>
    </xf>
    <xf numFmtId="3" fontId="0" fillId="4" borderId="14" xfId="0" applyNumberFormat="1" applyFill="1" applyBorder="1" applyAlignment="1" applyProtection="1"/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7" xfId="0" applyNumberFormat="1" applyBorder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0" fillId="4" borderId="17" xfId="0" applyNumberFormat="1" applyFill="1" applyBorder="1" applyAlignment="1" applyProtection="1"/>
    <xf numFmtId="0" fontId="5" fillId="0" borderId="16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49" fontId="0" fillId="0" borderId="13" xfId="0" applyNumberFormat="1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4" fontId="0" fillId="0" borderId="17" xfId="0" applyNumberFormat="1" applyBorder="1" applyAlignment="1" applyProtection="1">
      <protection locked="0"/>
    </xf>
    <xf numFmtId="4" fontId="0" fillId="4" borderId="17" xfId="0" applyNumberFormat="1" applyFill="1" applyBorder="1" applyAlignment="1" applyProtection="1"/>
    <xf numFmtId="0" fontId="0" fillId="0" borderId="0" xfId="0" applyAlignment="1" applyProtection="1">
      <protection locked="0"/>
    </xf>
    <xf numFmtId="3" fontId="0" fillId="0" borderId="18" xfId="0" applyNumberFormat="1" applyBorder="1" applyAlignment="1" applyProtection="1">
      <protection locked="0"/>
    </xf>
    <xf numFmtId="4" fontId="0" fillId="0" borderId="1" xfId="0" applyNumberFormat="1" applyBorder="1" applyAlignment="1" applyProtection="1">
      <protection locked="0"/>
    </xf>
    <xf numFmtId="4" fontId="0" fillId="0" borderId="18" xfId="0" applyNumberFormat="1" applyBorder="1" applyAlignment="1" applyProtection="1">
      <protection locked="0"/>
    </xf>
    <xf numFmtId="4" fontId="0" fillId="4" borderId="18" xfId="0" applyNumberFormat="1" applyFill="1" applyBorder="1" applyAlignment="1" applyProtection="1"/>
    <xf numFmtId="0" fontId="0" fillId="0" borderId="13" xfId="0" applyBorder="1" applyAlignment="1" applyProtection="1">
      <alignment wrapText="1"/>
      <protection locked="0"/>
    </xf>
    <xf numFmtId="3" fontId="0" fillId="0" borderId="19" xfId="0" applyNumberFormat="1" applyBorder="1" applyAlignment="1" applyProtection="1">
      <protection locked="0"/>
    </xf>
    <xf numFmtId="4" fontId="0" fillId="0" borderId="20" xfId="0" applyNumberFormat="1" applyBorder="1" applyAlignment="1" applyProtection="1">
      <protection locked="0"/>
    </xf>
    <xf numFmtId="4" fontId="0" fillId="0" borderId="19" xfId="0" applyNumberFormat="1" applyBorder="1" applyAlignment="1" applyProtection="1">
      <protection locked="0"/>
    </xf>
    <xf numFmtId="4" fontId="0" fillId="4" borderId="19" xfId="0" applyNumberFormat="1" applyFill="1" applyBorder="1" applyAlignment="1" applyProtection="1"/>
    <xf numFmtId="0" fontId="6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right" vertical="top"/>
      <protection locked="0"/>
    </xf>
    <xf numFmtId="3" fontId="0" fillId="0" borderId="17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17" xfId="0" applyNumberFormat="1" applyBorder="1" applyProtection="1">
      <protection locked="0"/>
    </xf>
    <xf numFmtId="4" fontId="0" fillId="4" borderId="17" xfId="0" applyNumberFormat="1" applyFill="1" applyBorder="1" applyProtection="1"/>
    <xf numFmtId="0" fontId="6" fillId="0" borderId="13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16" xfId="0" applyBorder="1" applyProtection="1"/>
    <xf numFmtId="3" fontId="0" fillId="0" borderId="21" xfId="0" applyNumberFormat="1" applyBorder="1" applyAlignment="1" applyProtection="1">
      <protection locked="0"/>
    </xf>
    <xf numFmtId="4" fontId="0" fillId="0" borderId="2" xfId="0" applyNumberFormat="1" applyBorder="1" applyAlignment="1" applyProtection="1">
      <protection locked="0"/>
    </xf>
    <xf numFmtId="4" fontId="0" fillId="0" borderId="21" xfId="0" applyNumberFormat="1" applyBorder="1" applyAlignment="1" applyProtection="1">
      <protection locked="0"/>
    </xf>
    <xf numFmtId="4" fontId="0" fillId="4" borderId="21" xfId="0" applyNumberFormat="1" applyFill="1" applyBorder="1" applyAlignment="1" applyProtection="1"/>
    <xf numFmtId="0" fontId="5" fillId="0" borderId="16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3" fontId="0" fillId="0" borderId="18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18" xfId="0" applyNumberFormat="1" applyFill="1" applyBorder="1" applyProtection="1"/>
    <xf numFmtId="3" fontId="0" fillId="0" borderId="19" xfId="0" applyNumberFormat="1" applyBorder="1" applyProtection="1">
      <protection locked="0"/>
    </xf>
    <xf numFmtId="4" fontId="0" fillId="0" borderId="20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4" borderId="19" xfId="0" applyNumberFormat="1" applyFill="1" applyBorder="1" applyProtection="1"/>
    <xf numFmtId="0" fontId="6" fillId="0" borderId="13" xfId="0" applyFont="1" applyBorder="1" applyProtection="1">
      <protection locked="0"/>
    </xf>
    <xf numFmtId="0" fontId="6" fillId="0" borderId="13" xfId="0" applyFont="1" applyBorder="1" applyProtection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4" borderId="18" xfId="0" applyNumberFormat="1" applyFill="1" applyBorder="1" applyProtection="1"/>
    <xf numFmtId="0" fontId="8" fillId="0" borderId="0" xfId="0" applyFont="1"/>
    <xf numFmtId="0" fontId="0" fillId="0" borderId="1" xfId="0" applyBorder="1"/>
    <xf numFmtId="0" fontId="5" fillId="5" borderId="8" xfId="0" applyFont="1" applyFill="1" applyBorder="1" applyAlignment="1">
      <alignment horizontal="center" vertical="top" wrapText="1"/>
    </xf>
    <xf numFmtId="4" fontId="5" fillId="5" borderId="26" xfId="0" applyNumberFormat="1" applyFont="1" applyFill="1" applyBorder="1" applyAlignment="1">
      <alignment vertical="top"/>
    </xf>
    <xf numFmtId="0" fontId="0" fillId="0" borderId="27" xfId="0" applyFill="1" applyBorder="1" applyAlignment="1">
      <alignment horizontal="center" vertical="top" wrapText="1"/>
    </xf>
    <xf numFmtId="4" fontId="0" fillId="0" borderId="29" xfId="0" applyNumberFormat="1" applyFill="1" applyBorder="1" applyAlignment="1">
      <alignment vertical="top" wrapText="1"/>
    </xf>
    <xf numFmtId="0" fontId="0" fillId="0" borderId="31" xfId="0" applyFill="1" applyBorder="1" applyAlignment="1">
      <alignment horizontal="center" vertical="top" wrapText="1"/>
    </xf>
    <xf numFmtId="4" fontId="0" fillId="0" borderId="33" xfId="0" applyNumberFormat="1" applyFill="1" applyBorder="1" applyAlignment="1">
      <alignment vertical="top" wrapText="1"/>
    </xf>
    <xf numFmtId="0" fontId="0" fillId="0" borderId="22" xfId="0" applyFill="1" applyBorder="1" applyAlignment="1">
      <alignment horizontal="center" vertical="top" wrapText="1"/>
    </xf>
    <xf numFmtId="4" fontId="0" fillId="0" borderId="34" xfId="0" applyNumberFormat="1" applyFill="1" applyBorder="1" applyAlignment="1">
      <alignment vertical="top" wrapText="1"/>
    </xf>
    <xf numFmtId="0" fontId="0" fillId="0" borderId="24" xfId="0" applyBorder="1" applyAlignment="1">
      <alignment vertical="top"/>
    </xf>
    <xf numFmtId="4" fontId="0" fillId="0" borderId="24" xfId="0" applyNumberFormat="1" applyFill="1" applyBorder="1" applyAlignment="1">
      <alignment vertical="top" wrapText="1"/>
    </xf>
    <xf numFmtId="4" fontId="0" fillId="0" borderId="34" xfId="0" applyNumberFormat="1" applyFill="1" applyBorder="1" applyAlignment="1">
      <alignment vertical="top"/>
    </xf>
    <xf numFmtId="0" fontId="0" fillId="0" borderId="35" xfId="0" applyFill="1" applyBorder="1" applyAlignment="1">
      <alignment horizontal="center" vertical="top" wrapText="1"/>
    </xf>
    <xf numFmtId="4" fontId="4" fillId="6" borderId="26" xfId="0" applyNumberFormat="1" applyFont="1" applyFill="1" applyBorder="1" applyAlignment="1">
      <alignment vertical="top"/>
    </xf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5" fillId="0" borderId="26" xfId="0" applyNumberFormat="1" applyFont="1" applyFill="1" applyBorder="1" applyAlignment="1">
      <alignment horizontal="center" vertical="top" wrapText="1"/>
    </xf>
    <xf numFmtId="4" fontId="0" fillId="0" borderId="18" xfId="0" applyNumberFormat="1" applyFill="1" applyBorder="1" applyAlignment="1">
      <alignment vertical="top"/>
    </xf>
    <xf numFmtId="0" fontId="0" fillId="0" borderId="29" xfId="0" applyFill="1" applyBorder="1" applyAlignment="1">
      <alignment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36" xfId="0" applyBorder="1"/>
    <xf numFmtId="0" fontId="0" fillId="0" borderId="19" xfId="0" applyBorder="1"/>
    <xf numFmtId="0" fontId="0" fillId="0" borderId="30" xfId="0" applyBorder="1"/>
    <xf numFmtId="4" fontId="0" fillId="0" borderId="30" xfId="0" applyNumberFormat="1" applyBorder="1"/>
    <xf numFmtId="0" fontId="0" fillId="0" borderId="37" xfId="0" applyBorder="1"/>
    <xf numFmtId="0" fontId="0" fillId="0" borderId="6" xfId="0" applyBorder="1"/>
    <xf numFmtId="0" fontId="0" fillId="0" borderId="32" xfId="0" applyBorder="1"/>
    <xf numFmtId="4" fontId="0" fillId="0" borderId="32" xfId="0" applyNumberFormat="1" applyBorder="1"/>
    <xf numFmtId="0" fontId="5" fillId="0" borderId="0" xfId="0" applyFont="1"/>
    <xf numFmtId="0" fontId="4" fillId="0" borderId="0" xfId="0" applyFont="1"/>
    <xf numFmtId="4" fontId="0" fillId="0" borderId="0" xfId="0" applyNumberFormat="1"/>
    <xf numFmtId="0" fontId="5" fillId="0" borderId="16" xfId="0" applyFont="1" applyFill="1" applyBorder="1" applyAlignment="1" applyProtection="1">
      <alignment horizontal="left"/>
      <protection locked="0"/>
    </xf>
    <xf numFmtId="0" fontId="7" fillId="0" borderId="16" xfId="0" applyFont="1" applyFill="1" applyBorder="1" applyAlignment="1" applyProtection="1">
      <alignment horizontal="left"/>
      <protection locked="0"/>
    </xf>
    <xf numFmtId="0" fontId="7" fillId="0" borderId="16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7" fillId="0" borderId="16" xfId="0" applyFont="1" applyFill="1" applyBorder="1" applyAlignment="1" applyProtection="1">
      <alignment horizontal="left" vertical="top"/>
    </xf>
    <xf numFmtId="0" fontId="0" fillId="0" borderId="0" xfId="0"/>
    <xf numFmtId="49" fontId="6" fillId="0" borderId="0" xfId="0" applyNumberFormat="1" applyFont="1" applyAlignment="1" applyProtection="1">
      <protection locked="0"/>
    </xf>
    <xf numFmtId="49" fontId="6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4" fontId="5" fillId="5" borderId="25" xfId="0" applyNumberFormat="1" applyFont="1" applyFill="1" applyBorder="1" applyAlignment="1">
      <alignment vertical="top"/>
    </xf>
    <xf numFmtId="4" fontId="0" fillId="0" borderId="28" xfId="0" applyNumberFormat="1" applyFill="1" applyBorder="1" applyAlignment="1">
      <alignment vertical="top"/>
    </xf>
    <xf numFmtId="4" fontId="0" fillId="0" borderId="30" xfId="0" applyNumberFormat="1" applyFill="1" applyBorder="1" applyAlignment="1">
      <alignment vertical="top"/>
    </xf>
    <xf numFmtId="4" fontId="0" fillId="0" borderId="32" xfId="0" applyNumberFormat="1" applyFill="1" applyBorder="1" applyAlignment="1">
      <alignment vertical="top"/>
    </xf>
    <xf numFmtId="0" fontId="0" fillId="0" borderId="25" xfId="0" applyFill="1" applyBorder="1" applyAlignment="1">
      <alignment horizontal="left" vertical="top" wrapText="1"/>
    </xf>
  </cellXfs>
  <cellStyles count="3">
    <cellStyle name="cf1" xfId="1"/>
    <cellStyle name="cf2" xfId="2"/>
    <cellStyle name="Standaard" xfId="0" builtinId="0" customBuiltin="1"/>
  </cellStyles>
  <dxfs count="6">
    <dxf>
      <font>
        <color rgb="FF000000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M34" sqref="A1:M34"/>
    </sheetView>
  </sheetViews>
  <sheetFormatPr defaultColWidth="9.140625" defaultRowHeight="15" x14ac:dyDescent="0.25"/>
  <cols>
    <col min="1" max="1" width="2.7109375" style="1" customWidth="1"/>
    <col min="2" max="2" width="4.7109375" style="1" customWidth="1"/>
    <col min="3" max="3" width="3.7109375" style="1" customWidth="1"/>
    <col min="4" max="5" width="9.140625" style="1" customWidth="1"/>
    <col min="6" max="6" width="22.5703125" style="1" customWidth="1"/>
    <col min="7" max="7" width="4.42578125" style="1" customWidth="1"/>
    <col min="8" max="8" width="6.28515625" style="1" customWidth="1"/>
    <col min="9" max="9" width="14.7109375" style="1" customWidth="1"/>
    <col min="10" max="10" width="16.85546875" style="1" customWidth="1"/>
    <col min="11" max="11" width="17.7109375" style="1" customWidth="1"/>
    <col min="12" max="12" width="17.42578125" style="1" customWidth="1"/>
    <col min="13" max="13" width="13.5703125" style="1" customWidth="1"/>
    <col min="14" max="14" width="9.140625" style="1" customWidth="1"/>
    <col min="15" max="16384" width="9.140625" style="1"/>
  </cols>
  <sheetData>
    <row r="1" spans="1:13" ht="18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3" ht="15.75" x14ac:dyDescent="0.25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2" t="s">
        <v>2</v>
      </c>
    </row>
    <row r="3" spans="1:13" ht="15.75" x14ac:dyDescent="0.25">
      <c r="A3" s="3"/>
      <c r="B3" s="3"/>
      <c r="C3" s="3"/>
      <c r="D3" s="4"/>
      <c r="E3" s="5"/>
      <c r="F3" s="5"/>
      <c r="G3" s="5"/>
      <c r="H3" s="5"/>
      <c r="I3" s="5"/>
    </row>
    <row r="4" spans="1:13" s="14" customFormat="1" ht="45.75" thickBot="1" x14ac:dyDescent="0.3">
      <c r="A4" s="6"/>
      <c r="B4" s="7"/>
      <c r="C4" s="7"/>
      <c r="D4" s="7"/>
      <c r="E4" s="7"/>
      <c r="F4" s="7"/>
      <c r="G4" s="8"/>
      <c r="H4" s="9" t="s">
        <v>3</v>
      </c>
      <c r="I4" s="10" t="s">
        <v>4</v>
      </c>
      <c r="J4" s="11" t="s">
        <v>5</v>
      </c>
      <c r="K4" s="12" t="s">
        <v>6</v>
      </c>
      <c r="L4" s="12"/>
      <c r="M4" s="13" t="s">
        <v>7</v>
      </c>
    </row>
    <row r="5" spans="1:13" s="14" customFormat="1" ht="15" customHeight="1" thickBot="1" x14ac:dyDescent="0.3">
      <c r="A5" s="121" t="s">
        <v>8</v>
      </c>
      <c r="B5" s="121"/>
      <c r="C5" s="121"/>
      <c r="D5" s="121"/>
      <c r="E5" s="121"/>
      <c r="F5" s="121"/>
      <c r="G5" s="121"/>
      <c r="H5" s="121"/>
      <c r="I5" s="15" t="s">
        <v>9</v>
      </c>
      <c r="J5" s="16" t="s">
        <v>9</v>
      </c>
      <c r="K5" s="17" t="s">
        <v>10</v>
      </c>
      <c r="L5" s="17"/>
      <c r="M5" s="18" t="e">
        <f>I5-SUM(J5:L5)</f>
        <v>#VALUE!</v>
      </c>
    </row>
    <row r="6" spans="1:13" x14ac:dyDescent="0.25">
      <c r="A6" s="122" t="s">
        <v>11</v>
      </c>
      <c r="B6" s="122"/>
      <c r="C6" s="122"/>
      <c r="D6" s="122"/>
      <c r="E6" s="122"/>
      <c r="F6" s="122"/>
      <c r="G6" s="19"/>
      <c r="I6" s="20"/>
      <c r="J6" s="21"/>
      <c r="K6" s="20"/>
      <c r="L6" s="20"/>
      <c r="M6" s="22"/>
    </row>
    <row r="7" spans="1:13" x14ac:dyDescent="0.25">
      <c r="A7" s="23"/>
      <c r="G7" s="24"/>
      <c r="I7" s="25"/>
      <c r="J7" s="26"/>
      <c r="K7" s="25"/>
      <c r="L7" s="25"/>
      <c r="M7" s="27"/>
    </row>
    <row r="8" spans="1:13" x14ac:dyDescent="0.25">
      <c r="A8" s="110" t="s">
        <v>12</v>
      </c>
      <c r="B8" s="110"/>
      <c r="C8" s="110"/>
      <c r="D8" s="110"/>
      <c r="E8" s="110"/>
      <c r="F8" s="110"/>
      <c r="G8" s="29"/>
      <c r="I8" s="25"/>
      <c r="J8" s="26"/>
      <c r="K8" s="25"/>
      <c r="L8" s="25"/>
      <c r="M8" s="27"/>
    </row>
    <row r="9" spans="1:13" x14ac:dyDescent="0.25">
      <c r="A9" s="28"/>
      <c r="B9" s="30" t="s">
        <v>13</v>
      </c>
      <c r="C9" s="31"/>
      <c r="D9" s="31"/>
      <c r="E9" s="31"/>
      <c r="F9" s="31"/>
      <c r="G9" s="32" t="s">
        <v>14</v>
      </c>
      <c r="H9" s="33">
        <v>9900</v>
      </c>
      <c r="I9" s="34">
        <f>I10-I13</f>
        <v>3601560.81</v>
      </c>
      <c r="J9" s="34">
        <f>J10-J13</f>
        <v>3530688.55</v>
      </c>
      <c r="K9" s="34">
        <f>K10-K13</f>
        <v>70872.259999999995</v>
      </c>
      <c r="L9" s="34">
        <f>L10-L13</f>
        <v>0</v>
      </c>
      <c r="M9" s="35">
        <f t="shared" ref="M9:M19" si="0">I9-SUM(J9:L9)</f>
        <v>0</v>
      </c>
    </row>
    <row r="10" spans="1:13" x14ac:dyDescent="0.25">
      <c r="A10" s="23"/>
      <c r="B10" s="36"/>
      <c r="C10" s="123" t="s">
        <v>15</v>
      </c>
      <c r="D10" s="123"/>
      <c r="E10" s="123"/>
      <c r="F10" s="123"/>
      <c r="G10" s="29"/>
      <c r="H10" s="33" t="s">
        <v>16</v>
      </c>
      <c r="I10" s="37">
        <v>4215969.96</v>
      </c>
      <c r="J10" s="38">
        <v>4140070.35</v>
      </c>
      <c r="K10" s="39">
        <v>75899.61</v>
      </c>
      <c r="L10" s="39"/>
      <c r="M10" s="40">
        <f t="shared" si="0"/>
        <v>0</v>
      </c>
    </row>
    <row r="11" spans="1:13" x14ac:dyDescent="0.25">
      <c r="A11" s="23"/>
      <c r="B11" s="116"/>
      <c r="C11" s="116"/>
      <c r="D11" s="117" t="s">
        <v>17</v>
      </c>
      <c r="E11" s="117"/>
      <c r="F11" s="117"/>
      <c r="G11" s="29"/>
      <c r="H11" s="33">
        <v>70</v>
      </c>
      <c r="I11" s="37">
        <v>128567.88</v>
      </c>
      <c r="J11" s="38">
        <v>128567.88</v>
      </c>
      <c r="K11" s="39"/>
      <c r="L11" s="39"/>
      <c r="M11" s="40">
        <f t="shared" si="0"/>
        <v>0</v>
      </c>
    </row>
    <row r="12" spans="1:13" ht="14.45" customHeight="1" x14ac:dyDescent="0.25">
      <c r="A12" s="23"/>
      <c r="D12" s="118" t="s">
        <v>18</v>
      </c>
      <c r="E12" s="118"/>
      <c r="F12" s="118"/>
      <c r="G12" s="41"/>
      <c r="H12" s="33">
        <v>73</v>
      </c>
      <c r="I12" s="42">
        <v>4021535.51</v>
      </c>
      <c r="J12" s="43">
        <v>3945635.9</v>
      </c>
      <c r="K12" s="44">
        <v>75899.61</v>
      </c>
      <c r="L12" s="44"/>
      <c r="M12" s="45">
        <f t="shared" si="0"/>
        <v>0</v>
      </c>
    </row>
    <row r="13" spans="1:13" ht="14.45" customHeight="1" x14ac:dyDescent="0.25">
      <c r="A13" s="23"/>
      <c r="B13" s="46"/>
      <c r="C13" s="113" t="s">
        <v>19</v>
      </c>
      <c r="D13" s="113"/>
      <c r="E13" s="113"/>
      <c r="F13" s="113"/>
      <c r="G13" s="29"/>
      <c r="H13" s="33" t="s">
        <v>20</v>
      </c>
      <c r="I13" s="42">
        <v>614409.15</v>
      </c>
      <c r="J13" s="43">
        <v>609381.80000000005</v>
      </c>
      <c r="K13" s="44">
        <v>5027.3500000000004</v>
      </c>
      <c r="L13" s="44"/>
      <c r="M13" s="45">
        <f t="shared" si="0"/>
        <v>0</v>
      </c>
    </row>
    <row r="14" spans="1:13" ht="14.45" customHeight="1" x14ac:dyDescent="0.25">
      <c r="A14" s="23"/>
      <c r="B14" s="113" t="s">
        <v>21</v>
      </c>
      <c r="C14" s="113"/>
      <c r="D14" s="113"/>
      <c r="E14" s="113"/>
      <c r="F14" s="113"/>
      <c r="G14" s="29" t="s">
        <v>14</v>
      </c>
      <c r="H14" s="33">
        <v>62</v>
      </c>
      <c r="I14" s="37">
        <v>3250751.31</v>
      </c>
      <c r="J14" s="38">
        <v>3181908.69</v>
      </c>
      <c r="K14" s="39">
        <v>68842.62</v>
      </c>
      <c r="L14" s="39"/>
      <c r="M14" s="45">
        <f t="shared" si="0"/>
        <v>0</v>
      </c>
    </row>
    <row r="15" spans="1:13" ht="14.45" customHeight="1" x14ac:dyDescent="0.25">
      <c r="A15" s="23"/>
      <c r="B15" s="113" t="s">
        <v>22</v>
      </c>
      <c r="C15" s="113"/>
      <c r="D15" s="113"/>
      <c r="E15" s="113"/>
      <c r="F15" s="113"/>
      <c r="G15" s="29" t="s">
        <v>14</v>
      </c>
      <c r="H15" s="33">
        <v>630</v>
      </c>
      <c r="I15" s="42">
        <v>133381.95000000001</v>
      </c>
      <c r="J15" s="43">
        <v>133186.32</v>
      </c>
      <c r="K15" s="44">
        <v>195.63</v>
      </c>
      <c r="L15" s="44"/>
      <c r="M15" s="45">
        <f t="shared" si="0"/>
        <v>0</v>
      </c>
    </row>
    <row r="16" spans="1:13" ht="14.45" customHeight="1" x14ac:dyDescent="0.25">
      <c r="A16" s="23"/>
      <c r="B16" s="113" t="s">
        <v>23</v>
      </c>
      <c r="C16" s="113"/>
      <c r="D16" s="113"/>
      <c r="E16" s="113"/>
      <c r="F16" s="113"/>
      <c r="G16" s="29" t="s">
        <v>14</v>
      </c>
      <c r="H16" s="33" t="s">
        <v>24</v>
      </c>
      <c r="I16" s="42">
        <v>89.12</v>
      </c>
      <c r="J16" s="43">
        <v>89.12</v>
      </c>
      <c r="K16" s="44"/>
      <c r="L16" s="44"/>
      <c r="M16" s="45">
        <f t="shared" si="0"/>
        <v>0</v>
      </c>
    </row>
    <row r="17" spans="1:13" ht="14.45" customHeight="1" x14ac:dyDescent="0.25">
      <c r="A17" s="23"/>
      <c r="B17" s="113" t="s">
        <v>25</v>
      </c>
      <c r="C17" s="113"/>
      <c r="D17" s="113"/>
      <c r="E17" s="113"/>
      <c r="F17" s="113"/>
      <c r="G17" s="29" t="s">
        <v>14</v>
      </c>
      <c r="H17" s="33" t="s">
        <v>26</v>
      </c>
      <c r="I17" s="42"/>
      <c r="J17" s="43"/>
      <c r="K17" s="44"/>
      <c r="L17" s="44"/>
      <c r="M17" s="45">
        <f t="shared" si="0"/>
        <v>0</v>
      </c>
    </row>
    <row r="18" spans="1:13" ht="14.45" customHeight="1" x14ac:dyDescent="0.25">
      <c r="A18" s="23"/>
      <c r="B18" s="114" t="s">
        <v>27</v>
      </c>
      <c r="C18" s="114"/>
      <c r="D18" s="114"/>
      <c r="E18" s="114"/>
      <c r="F18" s="114"/>
      <c r="G18" s="29"/>
      <c r="H18" s="33" t="s">
        <v>28</v>
      </c>
      <c r="I18" s="42">
        <v>43812.94</v>
      </c>
      <c r="J18" s="43">
        <v>41271.78</v>
      </c>
      <c r="K18" s="44">
        <v>2541.16</v>
      </c>
      <c r="L18" s="44"/>
      <c r="M18" s="45">
        <f t="shared" si="0"/>
        <v>0</v>
      </c>
    </row>
    <row r="19" spans="1:13" ht="14.45" customHeight="1" x14ac:dyDescent="0.25">
      <c r="A19" s="23"/>
      <c r="B19" s="113" t="s">
        <v>29</v>
      </c>
      <c r="C19" s="113"/>
      <c r="D19" s="113"/>
      <c r="E19" s="113"/>
      <c r="F19" s="113"/>
      <c r="G19" s="29" t="s">
        <v>30</v>
      </c>
      <c r="H19" s="33">
        <v>649</v>
      </c>
      <c r="I19" s="42"/>
      <c r="J19" s="43"/>
      <c r="K19" s="44"/>
      <c r="L19" s="44"/>
      <c r="M19" s="45">
        <f t="shared" si="0"/>
        <v>0</v>
      </c>
    </row>
    <row r="20" spans="1:13" x14ac:dyDescent="0.25">
      <c r="A20" s="23"/>
      <c r="B20" s="47"/>
      <c r="C20" s="4"/>
      <c r="D20" s="36"/>
      <c r="E20" s="36"/>
      <c r="F20" s="36"/>
      <c r="G20" s="29"/>
      <c r="H20" s="33"/>
      <c r="I20" s="48"/>
      <c r="J20" s="49"/>
      <c r="K20" s="50"/>
      <c r="L20" s="50"/>
      <c r="M20" s="51"/>
    </row>
    <row r="21" spans="1:13" s="54" customFormat="1" x14ac:dyDescent="0.25">
      <c r="A21" s="115" t="s">
        <v>31</v>
      </c>
      <c r="B21" s="115"/>
      <c r="C21" s="115"/>
      <c r="D21" s="115"/>
      <c r="E21" s="115"/>
      <c r="F21" s="115"/>
      <c r="G21" s="52" t="s">
        <v>14</v>
      </c>
      <c r="H21" s="53">
        <v>9901</v>
      </c>
      <c r="I21" s="44">
        <f>I9-I14-I15-I16-I17-I18-I19</f>
        <v>173525.49</v>
      </c>
      <c r="J21" s="44">
        <f>J9-J14-J15-J16-J17-J18-J19</f>
        <v>174232.63999999987</v>
      </c>
      <c r="K21" s="44">
        <f>K9-K14-K15-K16-K17-K18-K19</f>
        <v>-707.15000000000055</v>
      </c>
      <c r="L21" s="44">
        <f>L9-L14-L15-L16-L17-L18-L19</f>
        <v>0</v>
      </c>
      <c r="M21" s="45">
        <f>M9-M14-M15-M16-M17-M18-M19</f>
        <v>0</v>
      </c>
    </row>
    <row r="22" spans="1:13" s="54" customFormat="1" x14ac:dyDescent="0.25">
      <c r="A22" s="55"/>
      <c r="B22" s="116"/>
      <c r="C22" s="116"/>
      <c r="D22" s="116"/>
      <c r="E22" s="116"/>
      <c r="F22" s="116"/>
      <c r="G22" s="52"/>
      <c r="H22" s="53"/>
      <c r="I22" s="56"/>
      <c r="J22" s="57"/>
      <c r="K22" s="58"/>
      <c r="L22" s="58"/>
      <c r="M22" s="59"/>
    </row>
    <row r="23" spans="1:13" x14ac:dyDescent="0.25">
      <c r="A23" s="60" t="s">
        <v>32</v>
      </c>
      <c r="B23" s="61"/>
      <c r="C23" s="61"/>
      <c r="D23" s="61"/>
      <c r="E23" s="61"/>
      <c r="F23" s="61"/>
      <c r="G23" s="24"/>
      <c r="H23" s="33">
        <v>75</v>
      </c>
      <c r="I23" s="37">
        <v>1203.32</v>
      </c>
      <c r="J23" s="38">
        <v>1203.32</v>
      </c>
      <c r="K23" s="39"/>
      <c r="L23" s="39"/>
      <c r="M23" s="40">
        <f>I23-SUM(J23:L23)</f>
        <v>0</v>
      </c>
    </row>
    <row r="24" spans="1:13" x14ac:dyDescent="0.25">
      <c r="A24" s="60"/>
      <c r="B24" s="61"/>
      <c r="C24" s="61"/>
      <c r="D24" s="61"/>
      <c r="E24" s="61"/>
      <c r="F24" s="61"/>
      <c r="G24" s="24"/>
      <c r="H24" s="33"/>
      <c r="I24" s="56"/>
      <c r="J24" s="57"/>
      <c r="K24" s="58"/>
      <c r="L24" s="58"/>
      <c r="M24" s="59"/>
    </row>
    <row r="25" spans="1:13" x14ac:dyDescent="0.25">
      <c r="A25" s="110" t="s">
        <v>33</v>
      </c>
      <c r="B25" s="110"/>
      <c r="C25" s="110"/>
      <c r="D25" s="110"/>
      <c r="E25" s="110"/>
      <c r="F25" s="110"/>
      <c r="G25" s="24"/>
      <c r="H25" s="33">
        <v>65</v>
      </c>
      <c r="I25" s="62">
        <v>69208.17</v>
      </c>
      <c r="J25" s="63">
        <v>69208.17</v>
      </c>
      <c r="K25" s="64"/>
      <c r="L25" s="64"/>
      <c r="M25" s="65">
        <f>I25-SUM(J25:L25)</f>
        <v>0</v>
      </c>
    </row>
    <row r="26" spans="1:13" x14ac:dyDescent="0.25">
      <c r="A26" s="28"/>
      <c r="B26" s="31"/>
      <c r="C26" s="31"/>
      <c r="D26" s="31"/>
      <c r="E26" s="31"/>
      <c r="F26" s="31"/>
      <c r="G26" s="24"/>
      <c r="H26" s="33"/>
      <c r="I26" s="66"/>
      <c r="J26" s="67"/>
      <c r="K26" s="68"/>
      <c r="L26" s="68"/>
      <c r="M26" s="69"/>
    </row>
    <row r="27" spans="1:13" x14ac:dyDescent="0.25">
      <c r="A27" s="111" t="s">
        <v>34</v>
      </c>
      <c r="B27" s="111"/>
      <c r="C27" s="111"/>
      <c r="D27" s="111"/>
      <c r="E27" s="111"/>
      <c r="F27" s="111"/>
      <c r="G27" s="70" t="s">
        <v>14</v>
      </c>
      <c r="H27" s="33">
        <v>9902</v>
      </c>
      <c r="I27" s="44">
        <f>I21+I23-I25</f>
        <v>105520.64</v>
      </c>
      <c r="J27" s="44">
        <f>J21+J23-J25</f>
        <v>106227.78999999988</v>
      </c>
      <c r="K27" s="44">
        <f>K21+K23-K25</f>
        <v>-707.15000000000055</v>
      </c>
      <c r="L27" s="44">
        <f>L21+L23-L25</f>
        <v>0</v>
      </c>
      <c r="M27" s="45">
        <f>M21+M23-M25</f>
        <v>0</v>
      </c>
    </row>
    <row r="28" spans="1:13" x14ac:dyDescent="0.25">
      <c r="A28" s="23"/>
      <c r="G28" s="24"/>
      <c r="H28" s="33"/>
      <c r="I28" s="48"/>
      <c r="J28" s="49"/>
      <c r="K28" s="50"/>
      <c r="L28" s="50"/>
      <c r="M28" s="51"/>
    </row>
    <row r="29" spans="1:13" x14ac:dyDescent="0.25">
      <c r="A29" s="110" t="s">
        <v>35</v>
      </c>
      <c r="B29" s="110"/>
      <c r="C29" s="110"/>
      <c r="D29" s="110"/>
      <c r="E29" s="110"/>
      <c r="F29" s="110"/>
      <c r="G29" s="24"/>
      <c r="H29" s="33">
        <v>76</v>
      </c>
      <c r="I29" s="37">
        <v>81665.58</v>
      </c>
      <c r="J29" s="38">
        <v>81665.58</v>
      </c>
      <c r="K29" s="39"/>
      <c r="L29" s="39"/>
      <c r="M29" s="40">
        <f>I29-SUM(J29:L29)</f>
        <v>0</v>
      </c>
    </row>
    <row r="30" spans="1:13" x14ac:dyDescent="0.25">
      <c r="A30" s="28"/>
      <c r="B30" s="31"/>
      <c r="C30" s="31"/>
      <c r="D30" s="31"/>
      <c r="E30" s="31"/>
      <c r="F30" s="31"/>
      <c r="G30" s="24"/>
      <c r="H30" s="33"/>
      <c r="I30" s="56"/>
      <c r="J30" s="57"/>
      <c r="K30" s="58"/>
      <c r="L30" s="58"/>
      <c r="M30" s="59"/>
    </row>
    <row r="31" spans="1:13" x14ac:dyDescent="0.25">
      <c r="A31" s="110" t="s">
        <v>36</v>
      </c>
      <c r="B31" s="110"/>
      <c r="C31" s="110"/>
      <c r="D31" s="110"/>
      <c r="E31" s="110"/>
      <c r="F31" s="110"/>
      <c r="G31" s="24"/>
      <c r="H31" s="33">
        <v>66</v>
      </c>
      <c r="I31" s="62">
        <v>250.6</v>
      </c>
      <c r="J31" s="63">
        <v>250.6</v>
      </c>
      <c r="K31" s="64"/>
      <c r="L31" s="64"/>
      <c r="M31" s="65">
        <f>I31-SUM(J31:L31)</f>
        <v>0</v>
      </c>
    </row>
    <row r="32" spans="1:13" x14ac:dyDescent="0.25">
      <c r="A32" s="23"/>
      <c r="G32" s="24"/>
      <c r="H32" s="33"/>
      <c r="I32" s="48"/>
      <c r="J32" s="49"/>
      <c r="K32" s="50"/>
      <c r="L32" s="50"/>
      <c r="M32" s="51"/>
    </row>
    <row r="33" spans="1:13" s="54" customFormat="1" x14ac:dyDescent="0.25">
      <c r="A33" s="112" t="s">
        <v>37</v>
      </c>
      <c r="B33" s="112"/>
      <c r="C33" s="112"/>
      <c r="D33" s="112"/>
      <c r="E33" s="112"/>
      <c r="F33" s="112"/>
      <c r="G33" s="71" t="s">
        <v>14</v>
      </c>
      <c r="H33" s="53">
        <v>9904</v>
      </c>
      <c r="I33" s="44">
        <f>I27+I29-I31</f>
        <v>186935.62</v>
      </c>
      <c r="J33" s="44">
        <f>J27+J29-J31</f>
        <v>187642.76999999987</v>
      </c>
      <c r="K33" s="44">
        <f>K27+K29-K31</f>
        <v>-707.15000000000055</v>
      </c>
      <c r="L33" s="44">
        <f>L27+L29-L31</f>
        <v>0</v>
      </c>
      <c r="M33" s="45">
        <f>M27+M29-M31</f>
        <v>0</v>
      </c>
    </row>
    <row r="34" spans="1:13" ht="8.25" customHeight="1" thickBot="1" x14ac:dyDescent="0.3">
      <c r="A34" s="72"/>
      <c r="B34" s="73"/>
      <c r="C34" s="73"/>
      <c r="D34" s="73"/>
      <c r="E34" s="73"/>
      <c r="F34" s="73"/>
      <c r="G34" s="74"/>
      <c r="H34" s="75"/>
      <c r="I34" s="62"/>
      <c r="J34" s="76"/>
      <c r="K34" s="62"/>
      <c r="L34" s="62"/>
      <c r="M34" s="77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M21 I27:M27 I33:M33">
    <cfRule type="cellIs" dxfId="5" priority="2" stopIfTrue="1" operator="lessThan">
      <formula>0</formula>
    </cfRule>
  </conditionalFormatting>
  <conditionalFormatting sqref="I21:M21 I27:M27 I33:M33">
    <cfRule type="cellIs" dxfId="4" priority="1" stopIfTrue="1" operator="greaterThanOrEqual">
      <formula>0</formula>
    </cfRule>
  </conditionalFormatting>
  <pageMargins left="0.70000000000000007" right="0.70000000000000007" top="0.75" bottom="0.75" header="0.30000000000000004" footer="0.3000000000000000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selection activeCell="D38" sqref="A1:D38"/>
    </sheetView>
  </sheetViews>
  <sheetFormatPr defaultRowHeight="15" x14ac:dyDescent="0.25"/>
  <cols>
    <col min="1" max="1" width="27.42578125" customWidth="1"/>
    <col min="2" max="2" width="59.140625" customWidth="1"/>
    <col min="3" max="4" width="22.7109375" customWidth="1"/>
    <col min="5" max="256" width="8.85546875" customWidth="1"/>
    <col min="257" max="257" width="27.42578125" customWidth="1"/>
    <col min="258" max="258" width="59.140625" customWidth="1"/>
    <col min="259" max="260" width="22.7109375" customWidth="1"/>
    <col min="261" max="512" width="8.85546875" customWidth="1"/>
    <col min="513" max="513" width="27.42578125" customWidth="1"/>
    <col min="514" max="514" width="59.140625" customWidth="1"/>
    <col min="515" max="516" width="22.7109375" customWidth="1"/>
    <col min="517" max="768" width="8.85546875" customWidth="1"/>
    <col min="769" max="769" width="27.42578125" customWidth="1"/>
    <col min="770" max="770" width="59.140625" customWidth="1"/>
    <col min="771" max="772" width="22.7109375" customWidth="1"/>
    <col min="773" max="1024" width="8.85546875" customWidth="1"/>
    <col min="1025" max="1025" width="27.42578125" customWidth="1"/>
    <col min="1026" max="1026" width="59.140625" customWidth="1"/>
    <col min="1027" max="1028" width="22.7109375" customWidth="1"/>
    <col min="1029" max="1280" width="8.85546875" customWidth="1"/>
    <col min="1281" max="1281" width="27.42578125" customWidth="1"/>
    <col min="1282" max="1282" width="59.140625" customWidth="1"/>
    <col min="1283" max="1284" width="22.7109375" customWidth="1"/>
    <col min="1285" max="1536" width="8.85546875" customWidth="1"/>
    <col min="1537" max="1537" width="27.42578125" customWidth="1"/>
    <col min="1538" max="1538" width="59.140625" customWidth="1"/>
    <col min="1539" max="1540" width="22.7109375" customWidth="1"/>
    <col min="1541" max="1792" width="8.85546875" customWidth="1"/>
    <col min="1793" max="1793" width="27.42578125" customWidth="1"/>
    <col min="1794" max="1794" width="59.140625" customWidth="1"/>
    <col min="1795" max="1796" width="22.7109375" customWidth="1"/>
    <col min="1797" max="2048" width="8.85546875" customWidth="1"/>
    <col min="2049" max="2049" width="27.42578125" customWidth="1"/>
    <col min="2050" max="2050" width="59.140625" customWidth="1"/>
    <col min="2051" max="2052" width="22.7109375" customWidth="1"/>
    <col min="2053" max="2304" width="8.85546875" customWidth="1"/>
    <col min="2305" max="2305" width="27.42578125" customWidth="1"/>
    <col min="2306" max="2306" width="59.140625" customWidth="1"/>
    <col min="2307" max="2308" width="22.7109375" customWidth="1"/>
    <col min="2309" max="2560" width="8.85546875" customWidth="1"/>
    <col min="2561" max="2561" width="27.42578125" customWidth="1"/>
    <col min="2562" max="2562" width="59.140625" customWidth="1"/>
    <col min="2563" max="2564" width="22.7109375" customWidth="1"/>
    <col min="2565" max="2816" width="8.85546875" customWidth="1"/>
    <col min="2817" max="2817" width="27.42578125" customWidth="1"/>
    <col min="2818" max="2818" width="59.140625" customWidth="1"/>
    <col min="2819" max="2820" width="22.7109375" customWidth="1"/>
    <col min="2821" max="3072" width="8.85546875" customWidth="1"/>
    <col min="3073" max="3073" width="27.42578125" customWidth="1"/>
    <col min="3074" max="3074" width="59.140625" customWidth="1"/>
    <col min="3075" max="3076" width="22.7109375" customWidth="1"/>
    <col min="3077" max="3328" width="8.85546875" customWidth="1"/>
    <col min="3329" max="3329" width="27.42578125" customWidth="1"/>
    <col min="3330" max="3330" width="59.140625" customWidth="1"/>
    <col min="3331" max="3332" width="22.7109375" customWidth="1"/>
    <col min="3333" max="3584" width="8.85546875" customWidth="1"/>
    <col min="3585" max="3585" width="27.42578125" customWidth="1"/>
    <col min="3586" max="3586" width="59.140625" customWidth="1"/>
    <col min="3587" max="3588" width="22.7109375" customWidth="1"/>
    <col min="3589" max="3840" width="8.85546875" customWidth="1"/>
    <col min="3841" max="3841" width="27.42578125" customWidth="1"/>
    <col min="3842" max="3842" width="59.140625" customWidth="1"/>
    <col min="3843" max="3844" width="22.7109375" customWidth="1"/>
    <col min="3845" max="4096" width="8.85546875" customWidth="1"/>
    <col min="4097" max="4097" width="27.42578125" customWidth="1"/>
    <col min="4098" max="4098" width="59.140625" customWidth="1"/>
    <col min="4099" max="4100" width="22.7109375" customWidth="1"/>
    <col min="4101" max="4352" width="8.85546875" customWidth="1"/>
    <col min="4353" max="4353" width="27.42578125" customWidth="1"/>
    <col min="4354" max="4354" width="59.140625" customWidth="1"/>
    <col min="4355" max="4356" width="22.7109375" customWidth="1"/>
    <col min="4357" max="4608" width="8.85546875" customWidth="1"/>
    <col min="4609" max="4609" width="27.42578125" customWidth="1"/>
    <col min="4610" max="4610" width="59.140625" customWidth="1"/>
    <col min="4611" max="4612" width="22.7109375" customWidth="1"/>
    <col min="4613" max="4864" width="8.85546875" customWidth="1"/>
    <col min="4865" max="4865" width="27.42578125" customWidth="1"/>
    <col min="4866" max="4866" width="59.140625" customWidth="1"/>
    <col min="4867" max="4868" width="22.7109375" customWidth="1"/>
    <col min="4869" max="5120" width="8.85546875" customWidth="1"/>
    <col min="5121" max="5121" width="27.42578125" customWidth="1"/>
    <col min="5122" max="5122" width="59.140625" customWidth="1"/>
    <col min="5123" max="5124" width="22.7109375" customWidth="1"/>
    <col min="5125" max="5376" width="8.85546875" customWidth="1"/>
    <col min="5377" max="5377" width="27.42578125" customWidth="1"/>
    <col min="5378" max="5378" width="59.140625" customWidth="1"/>
    <col min="5379" max="5380" width="22.7109375" customWidth="1"/>
    <col min="5381" max="5632" width="8.85546875" customWidth="1"/>
    <col min="5633" max="5633" width="27.42578125" customWidth="1"/>
    <col min="5634" max="5634" width="59.140625" customWidth="1"/>
    <col min="5635" max="5636" width="22.7109375" customWidth="1"/>
    <col min="5637" max="5888" width="8.85546875" customWidth="1"/>
    <col min="5889" max="5889" width="27.42578125" customWidth="1"/>
    <col min="5890" max="5890" width="59.140625" customWidth="1"/>
    <col min="5891" max="5892" width="22.7109375" customWidth="1"/>
    <col min="5893" max="6144" width="8.85546875" customWidth="1"/>
    <col min="6145" max="6145" width="27.42578125" customWidth="1"/>
    <col min="6146" max="6146" width="59.140625" customWidth="1"/>
    <col min="6147" max="6148" width="22.7109375" customWidth="1"/>
    <col min="6149" max="6400" width="8.85546875" customWidth="1"/>
    <col min="6401" max="6401" width="27.42578125" customWidth="1"/>
    <col min="6402" max="6402" width="59.140625" customWidth="1"/>
    <col min="6403" max="6404" width="22.7109375" customWidth="1"/>
    <col min="6405" max="6656" width="8.85546875" customWidth="1"/>
    <col min="6657" max="6657" width="27.42578125" customWidth="1"/>
    <col min="6658" max="6658" width="59.140625" customWidth="1"/>
    <col min="6659" max="6660" width="22.7109375" customWidth="1"/>
    <col min="6661" max="6912" width="8.85546875" customWidth="1"/>
    <col min="6913" max="6913" width="27.42578125" customWidth="1"/>
    <col min="6914" max="6914" width="59.140625" customWidth="1"/>
    <col min="6915" max="6916" width="22.7109375" customWidth="1"/>
    <col min="6917" max="7168" width="8.85546875" customWidth="1"/>
    <col min="7169" max="7169" width="27.42578125" customWidth="1"/>
    <col min="7170" max="7170" width="59.140625" customWidth="1"/>
    <col min="7171" max="7172" width="22.7109375" customWidth="1"/>
    <col min="7173" max="7424" width="8.85546875" customWidth="1"/>
    <col min="7425" max="7425" width="27.42578125" customWidth="1"/>
    <col min="7426" max="7426" width="59.140625" customWidth="1"/>
    <col min="7427" max="7428" width="22.7109375" customWidth="1"/>
    <col min="7429" max="7680" width="8.85546875" customWidth="1"/>
    <col min="7681" max="7681" width="27.42578125" customWidth="1"/>
    <col min="7682" max="7682" width="59.140625" customWidth="1"/>
    <col min="7683" max="7684" width="22.7109375" customWidth="1"/>
    <col min="7685" max="7936" width="8.85546875" customWidth="1"/>
    <col min="7937" max="7937" width="27.42578125" customWidth="1"/>
    <col min="7938" max="7938" width="59.140625" customWidth="1"/>
    <col min="7939" max="7940" width="22.7109375" customWidth="1"/>
    <col min="7941" max="8192" width="8.85546875" customWidth="1"/>
    <col min="8193" max="8193" width="27.42578125" customWidth="1"/>
    <col min="8194" max="8194" width="59.140625" customWidth="1"/>
    <col min="8195" max="8196" width="22.7109375" customWidth="1"/>
    <col min="8197" max="8448" width="8.85546875" customWidth="1"/>
    <col min="8449" max="8449" width="27.42578125" customWidth="1"/>
    <col min="8450" max="8450" width="59.140625" customWidth="1"/>
    <col min="8451" max="8452" width="22.7109375" customWidth="1"/>
    <col min="8453" max="8704" width="8.85546875" customWidth="1"/>
    <col min="8705" max="8705" width="27.42578125" customWidth="1"/>
    <col min="8706" max="8706" width="59.140625" customWidth="1"/>
    <col min="8707" max="8708" width="22.7109375" customWidth="1"/>
    <col min="8709" max="8960" width="8.85546875" customWidth="1"/>
    <col min="8961" max="8961" width="27.42578125" customWidth="1"/>
    <col min="8962" max="8962" width="59.140625" customWidth="1"/>
    <col min="8963" max="8964" width="22.7109375" customWidth="1"/>
    <col min="8965" max="9216" width="8.85546875" customWidth="1"/>
    <col min="9217" max="9217" width="27.42578125" customWidth="1"/>
    <col min="9218" max="9218" width="59.140625" customWidth="1"/>
    <col min="9219" max="9220" width="22.7109375" customWidth="1"/>
    <col min="9221" max="9472" width="8.85546875" customWidth="1"/>
    <col min="9473" max="9473" width="27.42578125" customWidth="1"/>
    <col min="9474" max="9474" width="59.140625" customWidth="1"/>
    <col min="9475" max="9476" width="22.7109375" customWidth="1"/>
    <col min="9477" max="9728" width="8.85546875" customWidth="1"/>
    <col min="9729" max="9729" width="27.42578125" customWidth="1"/>
    <col min="9730" max="9730" width="59.140625" customWidth="1"/>
    <col min="9731" max="9732" width="22.7109375" customWidth="1"/>
    <col min="9733" max="9984" width="8.85546875" customWidth="1"/>
    <col min="9985" max="9985" width="27.42578125" customWidth="1"/>
    <col min="9986" max="9986" width="59.140625" customWidth="1"/>
    <col min="9987" max="9988" width="22.7109375" customWidth="1"/>
    <col min="9989" max="10240" width="8.85546875" customWidth="1"/>
    <col min="10241" max="10241" width="27.42578125" customWidth="1"/>
    <col min="10242" max="10242" width="59.140625" customWidth="1"/>
    <col min="10243" max="10244" width="22.7109375" customWidth="1"/>
    <col min="10245" max="10496" width="8.85546875" customWidth="1"/>
    <col min="10497" max="10497" width="27.42578125" customWidth="1"/>
    <col min="10498" max="10498" width="59.140625" customWidth="1"/>
    <col min="10499" max="10500" width="22.7109375" customWidth="1"/>
    <col min="10501" max="10752" width="8.85546875" customWidth="1"/>
    <col min="10753" max="10753" width="27.42578125" customWidth="1"/>
    <col min="10754" max="10754" width="59.140625" customWidth="1"/>
    <col min="10755" max="10756" width="22.7109375" customWidth="1"/>
    <col min="10757" max="11008" width="8.85546875" customWidth="1"/>
    <col min="11009" max="11009" width="27.42578125" customWidth="1"/>
    <col min="11010" max="11010" width="59.140625" customWidth="1"/>
    <col min="11011" max="11012" width="22.7109375" customWidth="1"/>
    <col min="11013" max="11264" width="8.85546875" customWidth="1"/>
    <col min="11265" max="11265" width="27.42578125" customWidth="1"/>
    <col min="11266" max="11266" width="59.140625" customWidth="1"/>
    <col min="11267" max="11268" width="22.7109375" customWidth="1"/>
    <col min="11269" max="11520" width="8.85546875" customWidth="1"/>
    <col min="11521" max="11521" width="27.42578125" customWidth="1"/>
    <col min="11522" max="11522" width="59.140625" customWidth="1"/>
    <col min="11523" max="11524" width="22.7109375" customWidth="1"/>
    <col min="11525" max="11776" width="8.85546875" customWidth="1"/>
    <col min="11777" max="11777" width="27.42578125" customWidth="1"/>
    <col min="11778" max="11778" width="59.140625" customWidth="1"/>
    <col min="11779" max="11780" width="22.7109375" customWidth="1"/>
    <col min="11781" max="12032" width="8.85546875" customWidth="1"/>
    <col min="12033" max="12033" width="27.42578125" customWidth="1"/>
    <col min="12034" max="12034" width="59.140625" customWidth="1"/>
    <col min="12035" max="12036" width="22.7109375" customWidth="1"/>
    <col min="12037" max="12288" width="8.85546875" customWidth="1"/>
    <col min="12289" max="12289" width="27.42578125" customWidth="1"/>
    <col min="12290" max="12290" width="59.140625" customWidth="1"/>
    <col min="12291" max="12292" width="22.7109375" customWidth="1"/>
    <col min="12293" max="12544" width="8.85546875" customWidth="1"/>
    <col min="12545" max="12545" width="27.42578125" customWidth="1"/>
    <col min="12546" max="12546" width="59.140625" customWidth="1"/>
    <col min="12547" max="12548" width="22.7109375" customWidth="1"/>
    <col min="12549" max="12800" width="8.85546875" customWidth="1"/>
    <col min="12801" max="12801" width="27.42578125" customWidth="1"/>
    <col min="12802" max="12802" width="59.140625" customWidth="1"/>
    <col min="12803" max="12804" width="22.7109375" customWidth="1"/>
    <col min="12805" max="13056" width="8.85546875" customWidth="1"/>
    <col min="13057" max="13057" width="27.42578125" customWidth="1"/>
    <col min="13058" max="13058" width="59.140625" customWidth="1"/>
    <col min="13059" max="13060" width="22.7109375" customWidth="1"/>
    <col min="13061" max="13312" width="8.85546875" customWidth="1"/>
    <col min="13313" max="13313" width="27.42578125" customWidth="1"/>
    <col min="13314" max="13314" width="59.140625" customWidth="1"/>
    <col min="13315" max="13316" width="22.7109375" customWidth="1"/>
    <col min="13317" max="13568" width="8.85546875" customWidth="1"/>
    <col min="13569" max="13569" width="27.42578125" customWidth="1"/>
    <col min="13570" max="13570" width="59.140625" customWidth="1"/>
    <col min="13571" max="13572" width="22.7109375" customWidth="1"/>
    <col min="13573" max="13824" width="8.85546875" customWidth="1"/>
    <col min="13825" max="13825" width="27.42578125" customWidth="1"/>
    <col min="13826" max="13826" width="59.140625" customWidth="1"/>
    <col min="13827" max="13828" width="22.7109375" customWidth="1"/>
    <col min="13829" max="14080" width="8.85546875" customWidth="1"/>
    <col min="14081" max="14081" width="27.42578125" customWidth="1"/>
    <col min="14082" max="14082" width="59.140625" customWidth="1"/>
    <col min="14083" max="14084" width="22.7109375" customWidth="1"/>
    <col min="14085" max="14336" width="8.85546875" customWidth="1"/>
    <col min="14337" max="14337" width="27.42578125" customWidth="1"/>
    <col min="14338" max="14338" width="59.140625" customWidth="1"/>
    <col min="14339" max="14340" width="22.7109375" customWidth="1"/>
    <col min="14341" max="14592" width="8.85546875" customWidth="1"/>
    <col min="14593" max="14593" width="27.42578125" customWidth="1"/>
    <col min="14594" max="14594" width="59.140625" customWidth="1"/>
    <col min="14595" max="14596" width="22.7109375" customWidth="1"/>
    <col min="14597" max="14848" width="8.85546875" customWidth="1"/>
    <col min="14849" max="14849" width="27.42578125" customWidth="1"/>
    <col min="14850" max="14850" width="59.140625" customWidth="1"/>
    <col min="14851" max="14852" width="22.7109375" customWidth="1"/>
    <col min="14853" max="15104" width="8.85546875" customWidth="1"/>
    <col min="15105" max="15105" width="27.42578125" customWidth="1"/>
    <col min="15106" max="15106" width="59.140625" customWidth="1"/>
    <col min="15107" max="15108" width="22.7109375" customWidth="1"/>
    <col min="15109" max="15360" width="8.85546875" customWidth="1"/>
    <col min="15361" max="15361" width="27.42578125" customWidth="1"/>
    <col min="15362" max="15362" width="59.140625" customWidth="1"/>
    <col min="15363" max="15364" width="22.7109375" customWidth="1"/>
    <col min="15365" max="15616" width="8.85546875" customWidth="1"/>
    <col min="15617" max="15617" width="27.42578125" customWidth="1"/>
    <col min="15618" max="15618" width="59.140625" customWidth="1"/>
    <col min="15619" max="15620" width="22.7109375" customWidth="1"/>
    <col min="15621" max="15872" width="8.85546875" customWidth="1"/>
    <col min="15873" max="15873" width="27.42578125" customWidth="1"/>
    <col min="15874" max="15874" width="59.140625" customWidth="1"/>
    <col min="15875" max="15876" width="22.7109375" customWidth="1"/>
    <col min="15877" max="16128" width="8.85546875" customWidth="1"/>
    <col min="16129" max="16129" width="27.42578125" customWidth="1"/>
    <col min="16130" max="16130" width="59.140625" customWidth="1"/>
    <col min="16131" max="16132" width="22.7109375" customWidth="1"/>
    <col min="16133" max="16384" width="8.85546875" customWidth="1"/>
  </cols>
  <sheetData>
    <row r="1" spans="1:4" ht="15.75" x14ac:dyDescent="0.25">
      <c r="A1" s="78" t="s">
        <v>38</v>
      </c>
    </row>
    <row r="2" spans="1:4" ht="23.25" customHeight="1" x14ac:dyDescent="0.25">
      <c r="A2" s="79" t="s">
        <v>39</v>
      </c>
      <c r="B2" s="79"/>
    </row>
    <row r="3" spans="1:4" ht="15.75" thickBot="1" x14ac:dyDescent="0.3"/>
    <row r="4" spans="1:4" ht="15.75" thickBot="1" x14ac:dyDescent="0.3">
      <c r="A4" s="80">
        <v>73</v>
      </c>
      <c r="B4" s="124" t="s">
        <v>18</v>
      </c>
      <c r="C4" s="124"/>
      <c r="D4" s="81">
        <f>SUM(D5:D11)</f>
        <v>4021535.51</v>
      </c>
    </row>
    <row r="5" spans="1:4" x14ac:dyDescent="0.25">
      <c r="A5" s="82" t="s">
        <v>40</v>
      </c>
      <c r="B5" s="125" t="s">
        <v>41</v>
      </c>
      <c r="C5" s="125"/>
      <c r="D5" s="83">
        <v>0</v>
      </c>
    </row>
    <row r="6" spans="1:4" x14ac:dyDescent="0.25">
      <c r="A6" s="82" t="s">
        <v>42</v>
      </c>
      <c r="B6" s="126" t="s">
        <v>43</v>
      </c>
      <c r="C6" s="126"/>
      <c r="D6" s="83">
        <v>1140</v>
      </c>
    </row>
    <row r="7" spans="1:4" ht="15.75" thickBot="1" x14ac:dyDescent="0.3">
      <c r="A7" s="84" t="s">
        <v>44</v>
      </c>
      <c r="B7" s="127" t="s">
        <v>45</v>
      </c>
      <c r="C7" s="127"/>
      <c r="D7" s="85">
        <v>0</v>
      </c>
    </row>
    <row r="8" spans="1:4" ht="12" customHeight="1" thickBot="1" x14ac:dyDescent="0.3">
      <c r="A8" s="86">
        <v>736</v>
      </c>
      <c r="B8" s="87" t="s">
        <v>46</v>
      </c>
      <c r="C8" s="88"/>
      <c r="D8" s="89">
        <v>31419.53</v>
      </c>
    </row>
    <row r="9" spans="1:4" ht="15.75" thickBot="1" x14ac:dyDescent="0.3">
      <c r="A9" s="86">
        <v>737</v>
      </c>
      <c r="B9" s="90" t="s">
        <v>47</v>
      </c>
      <c r="C9" s="88"/>
      <c r="D9" s="89">
        <v>3617913.17</v>
      </c>
    </row>
    <row r="10" spans="1:4" ht="15.75" thickBot="1" x14ac:dyDescent="0.3">
      <c r="A10" s="86"/>
      <c r="B10" s="90" t="s">
        <v>48</v>
      </c>
      <c r="C10" s="88"/>
      <c r="D10" s="89">
        <v>76475.81</v>
      </c>
    </row>
    <row r="11" spans="1:4" ht="14.25" customHeight="1" thickBot="1" x14ac:dyDescent="0.3">
      <c r="A11" s="91" t="s">
        <v>49</v>
      </c>
      <c r="B11" s="128" t="s">
        <v>50</v>
      </c>
      <c r="C11" s="128"/>
      <c r="D11" s="92">
        <v>294587</v>
      </c>
    </row>
    <row r="12" spans="1:4" ht="15.75" thickBot="1" x14ac:dyDescent="0.3">
      <c r="A12" s="93" t="s">
        <v>51</v>
      </c>
      <c r="B12" s="94" t="s">
        <v>52</v>
      </c>
      <c r="C12" s="93" t="s">
        <v>53</v>
      </c>
      <c r="D12" s="95" t="s">
        <v>54</v>
      </c>
    </row>
    <row r="13" spans="1:4" x14ac:dyDescent="0.25">
      <c r="A13" s="82"/>
      <c r="B13" s="96"/>
      <c r="C13" s="97"/>
      <c r="D13" s="83"/>
    </row>
    <row r="14" spans="1:4" x14ac:dyDescent="0.25">
      <c r="A14" s="98" t="s">
        <v>55</v>
      </c>
      <c r="B14" s="96" t="s">
        <v>56</v>
      </c>
      <c r="C14" s="97" t="s">
        <v>55</v>
      </c>
      <c r="D14" s="83">
        <v>3617913.17</v>
      </c>
    </row>
    <row r="15" spans="1:4" x14ac:dyDescent="0.25">
      <c r="A15" s="82"/>
      <c r="B15" s="96" t="s">
        <v>57</v>
      </c>
      <c r="C15" s="97" t="s">
        <v>55</v>
      </c>
      <c r="D15" s="83">
        <v>75899.61</v>
      </c>
    </row>
    <row r="16" spans="1:4" x14ac:dyDescent="0.25">
      <c r="A16" s="82"/>
      <c r="B16" s="96" t="s">
        <v>58</v>
      </c>
      <c r="C16" s="97" t="s">
        <v>55</v>
      </c>
      <c r="D16" s="83">
        <v>576.20000000000005</v>
      </c>
    </row>
    <row r="17" spans="1:4" x14ac:dyDescent="0.25">
      <c r="A17" s="82"/>
      <c r="B17" s="96"/>
      <c r="C17" s="97"/>
      <c r="D17" s="83"/>
    </row>
    <row r="18" spans="1:4" x14ac:dyDescent="0.25">
      <c r="A18" s="82"/>
      <c r="B18" s="96"/>
      <c r="C18" s="97"/>
      <c r="D18" s="83"/>
    </row>
    <row r="19" spans="1:4" x14ac:dyDescent="0.25">
      <c r="A19" s="82"/>
      <c r="B19" s="96"/>
      <c r="C19" s="97"/>
      <c r="D19" s="83"/>
    </row>
    <row r="20" spans="1:4" x14ac:dyDescent="0.25">
      <c r="A20" s="98"/>
      <c r="B20" s="96"/>
      <c r="C20" s="97"/>
      <c r="D20" s="83"/>
    </row>
    <row r="21" spans="1:4" x14ac:dyDescent="0.25">
      <c r="A21" s="82"/>
      <c r="B21" s="96"/>
      <c r="C21" s="97"/>
      <c r="D21" s="83"/>
    </row>
    <row r="22" spans="1:4" x14ac:dyDescent="0.25">
      <c r="A22" s="98" t="s">
        <v>59</v>
      </c>
      <c r="B22" s="96" t="s">
        <v>60</v>
      </c>
      <c r="C22" s="97" t="s">
        <v>55</v>
      </c>
      <c r="D22" s="83">
        <v>234348.76</v>
      </c>
    </row>
    <row r="23" spans="1:4" x14ac:dyDescent="0.25">
      <c r="A23" s="98"/>
      <c r="B23" s="96"/>
      <c r="C23" s="97"/>
      <c r="D23" s="83"/>
    </row>
    <row r="24" spans="1:4" x14ac:dyDescent="0.25">
      <c r="A24" s="82"/>
      <c r="B24" s="96"/>
      <c r="C24" s="97"/>
      <c r="D24" s="83"/>
    </row>
    <row r="25" spans="1:4" x14ac:dyDescent="0.25">
      <c r="A25" s="98" t="s">
        <v>61</v>
      </c>
      <c r="B25" s="96" t="s">
        <v>62</v>
      </c>
      <c r="C25" s="97" t="s">
        <v>55</v>
      </c>
      <c r="D25" s="83">
        <v>306.05</v>
      </c>
    </row>
    <row r="26" spans="1:4" x14ac:dyDescent="0.25">
      <c r="A26" s="82"/>
      <c r="B26" s="96"/>
      <c r="C26" s="97"/>
      <c r="D26" s="83"/>
    </row>
    <row r="27" spans="1:4" x14ac:dyDescent="0.25">
      <c r="A27" s="82"/>
      <c r="B27" s="96"/>
      <c r="C27" s="97"/>
      <c r="D27" s="83"/>
    </row>
    <row r="28" spans="1:4" x14ac:dyDescent="0.25">
      <c r="A28" s="98" t="s">
        <v>63</v>
      </c>
      <c r="B28" s="96" t="s">
        <v>64</v>
      </c>
      <c r="C28" s="97" t="s">
        <v>55</v>
      </c>
      <c r="D28" s="83">
        <v>53462.52</v>
      </c>
    </row>
    <row r="29" spans="1:4" x14ac:dyDescent="0.25">
      <c r="A29" s="82"/>
      <c r="B29" s="96"/>
      <c r="C29" s="97"/>
      <c r="D29" s="83"/>
    </row>
    <row r="30" spans="1:4" x14ac:dyDescent="0.25">
      <c r="A30" s="98" t="s">
        <v>65</v>
      </c>
      <c r="B30" s="96" t="s">
        <v>62</v>
      </c>
      <c r="C30" s="97" t="s">
        <v>55</v>
      </c>
      <c r="D30" s="83">
        <v>1500</v>
      </c>
    </row>
    <row r="31" spans="1:4" x14ac:dyDescent="0.25">
      <c r="A31" s="98"/>
      <c r="B31" s="96"/>
      <c r="C31" s="97"/>
      <c r="D31" s="83"/>
    </row>
    <row r="32" spans="1:4" x14ac:dyDescent="0.25">
      <c r="A32" s="98" t="s">
        <v>66</v>
      </c>
      <c r="B32" s="96" t="s">
        <v>67</v>
      </c>
      <c r="C32" s="97" t="s">
        <v>55</v>
      </c>
      <c r="D32" s="83">
        <v>3718</v>
      </c>
    </row>
    <row r="33" spans="1:4" x14ac:dyDescent="0.25">
      <c r="A33" s="82"/>
      <c r="B33" s="96"/>
      <c r="C33" s="97"/>
      <c r="D33" s="83"/>
    </row>
    <row r="34" spans="1:4" x14ac:dyDescent="0.25">
      <c r="A34" s="98" t="s">
        <v>68</v>
      </c>
      <c r="B34" s="96" t="s">
        <v>69</v>
      </c>
      <c r="C34" s="97" t="s">
        <v>55</v>
      </c>
      <c r="D34" s="83">
        <v>1251.19</v>
      </c>
    </row>
    <row r="35" spans="1:4" x14ac:dyDescent="0.25">
      <c r="A35" s="82"/>
      <c r="B35" s="96"/>
      <c r="C35" s="97"/>
      <c r="D35" s="83"/>
    </row>
    <row r="36" spans="1:4" x14ac:dyDescent="0.25">
      <c r="A36" s="99"/>
      <c r="B36" s="100"/>
      <c r="C36" s="101"/>
      <c r="D36" s="102"/>
    </row>
    <row r="37" spans="1:4" x14ac:dyDescent="0.25">
      <c r="A37" s="99"/>
      <c r="B37" s="100"/>
      <c r="C37" s="101"/>
      <c r="D37" s="102"/>
    </row>
    <row r="38" spans="1:4" ht="15.75" thickBot="1" x14ac:dyDescent="0.3">
      <c r="A38" s="103"/>
      <c r="B38" s="104"/>
      <c r="C38" s="105"/>
      <c r="D38" s="106"/>
    </row>
    <row r="41" spans="1:4" x14ac:dyDescent="0.25">
      <c r="A41" s="107"/>
    </row>
    <row r="42" spans="1:4" x14ac:dyDescent="0.25">
      <c r="A42" s="108"/>
    </row>
  </sheetData>
  <mergeCells count="5">
    <mergeCell ref="B4:C4"/>
    <mergeCell ref="B5:C5"/>
    <mergeCell ref="B6:C6"/>
    <mergeCell ref="B7:C7"/>
    <mergeCell ref="B11:C11"/>
  </mergeCells>
  <pageMargins left="0.70000000000000007" right="0.70000000000000007" top="0.75" bottom="0.75" header="0.30000000000000004" footer="0.30000000000000004"/>
  <pageSetup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activeCell="M34" sqref="A1:M34"/>
    </sheetView>
  </sheetViews>
  <sheetFormatPr defaultColWidth="9.140625" defaultRowHeight="15" x14ac:dyDescent="0.25"/>
  <cols>
    <col min="1" max="1" width="2.7109375" style="1" customWidth="1"/>
    <col min="2" max="2" width="4.7109375" style="1" customWidth="1"/>
    <col min="3" max="3" width="3.7109375" style="1" customWidth="1"/>
    <col min="4" max="5" width="9.140625" style="1" customWidth="1"/>
    <col min="6" max="6" width="22.5703125" style="1" customWidth="1"/>
    <col min="7" max="7" width="4.42578125" style="1" customWidth="1"/>
    <col min="8" max="8" width="6.28515625" style="1" customWidth="1"/>
    <col min="9" max="9" width="14.7109375" style="1" customWidth="1"/>
    <col min="10" max="10" width="16.85546875" style="1" customWidth="1"/>
    <col min="11" max="11" width="17.7109375" style="1" customWidth="1"/>
    <col min="12" max="12" width="17.42578125" style="1" customWidth="1"/>
    <col min="13" max="13" width="13.5703125" style="1" customWidth="1"/>
    <col min="14" max="14" width="9.140625" style="1" customWidth="1"/>
    <col min="15" max="15" width="10.140625" style="1" customWidth="1"/>
    <col min="16" max="16" width="9.140625" style="1" customWidth="1"/>
    <col min="17" max="16384" width="9.140625" style="1"/>
  </cols>
  <sheetData>
    <row r="1" spans="1:13" ht="18" x14ac:dyDescent="0.25">
      <c r="A1" s="119" t="s">
        <v>70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3" ht="15.75" x14ac:dyDescent="0.25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2" t="s">
        <v>2</v>
      </c>
    </row>
    <row r="3" spans="1:13" ht="15.75" x14ac:dyDescent="0.25">
      <c r="A3" s="3"/>
      <c r="B3" s="3"/>
      <c r="C3" s="3"/>
      <c r="D3" s="4"/>
      <c r="E3" s="5"/>
      <c r="F3" s="5"/>
      <c r="G3" s="5"/>
      <c r="H3" s="5"/>
      <c r="I3" s="5"/>
    </row>
    <row r="4" spans="1:13" s="14" customFormat="1" ht="45.75" thickBot="1" x14ac:dyDescent="0.3">
      <c r="A4" s="6"/>
      <c r="B4" s="7"/>
      <c r="C4" s="7"/>
      <c r="D4" s="7"/>
      <c r="E4" s="7"/>
      <c r="F4" s="7"/>
      <c r="G4" s="8"/>
      <c r="H4" s="9" t="s">
        <v>3</v>
      </c>
      <c r="I4" s="10" t="s">
        <v>4</v>
      </c>
      <c r="J4" s="11" t="s">
        <v>5</v>
      </c>
      <c r="K4" s="12" t="s">
        <v>6</v>
      </c>
      <c r="L4" s="12"/>
      <c r="M4" s="13" t="s">
        <v>7</v>
      </c>
    </row>
    <row r="5" spans="1:13" s="14" customFormat="1" ht="15" customHeight="1" thickBot="1" x14ac:dyDescent="0.3">
      <c r="A5" s="121" t="s">
        <v>8</v>
      </c>
      <c r="B5" s="121"/>
      <c r="C5" s="121"/>
      <c r="D5" s="121"/>
      <c r="E5" s="121"/>
      <c r="F5" s="121"/>
      <c r="G5" s="121"/>
      <c r="H5" s="121"/>
      <c r="I5" s="15">
        <v>64.2</v>
      </c>
      <c r="J5" s="16">
        <f>I5-K5</f>
        <v>62</v>
      </c>
      <c r="K5" s="17">
        <v>2.2000000000000002</v>
      </c>
      <c r="L5" s="17"/>
      <c r="M5" s="18">
        <f>I5-SUM(J5:L5)</f>
        <v>0</v>
      </c>
    </row>
    <row r="6" spans="1:13" x14ac:dyDescent="0.25">
      <c r="A6" s="122" t="s">
        <v>11</v>
      </c>
      <c r="B6" s="122"/>
      <c r="C6" s="122"/>
      <c r="D6" s="122"/>
      <c r="E6" s="122"/>
      <c r="F6" s="122"/>
      <c r="G6" s="19"/>
      <c r="I6" s="20"/>
      <c r="J6" s="21"/>
      <c r="K6" s="20"/>
      <c r="L6" s="20"/>
      <c r="M6" s="22"/>
    </row>
    <row r="7" spans="1:13" x14ac:dyDescent="0.25">
      <c r="A7" s="23"/>
      <c r="G7" s="24"/>
      <c r="I7" s="25"/>
      <c r="J7" s="26"/>
      <c r="K7" s="25"/>
      <c r="L7" s="25"/>
      <c r="M7" s="27"/>
    </row>
    <row r="8" spans="1:13" x14ac:dyDescent="0.25">
      <c r="A8" s="110" t="s">
        <v>12</v>
      </c>
      <c r="B8" s="110"/>
      <c r="C8" s="110"/>
      <c r="D8" s="110"/>
      <c r="E8" s="110"/>
      <c r="F8" s="110"/>
      <c r="G8" s="29"/>
      <c r="I8" s="25"/>
      <c r="J8" s="26"/>
      <c r="K8" s="25"/>
      <c r="L8" s="25"/>
      <c r="M8" s="27"/>
    </row>
    <row r="9" spans="1:13" x14ac:dyDescent="0.25">
      <c r="A9" s="28"/>
      <c r="B9" s="30" t="s">
        <v>13</v>
      </c>
      <c r="C9" s="31"/>
      <c r="D9" s="31"/>
      <c r="E9" s="31"/>
      <c r="F9" s="31"/>
      <c r="G9" s="32" t="s">
        <v>14</v>
      </c>
      <c r="H9" s="33">
        <v>9900</v>
      </c>
      <c r="I9" s="34">
        <f>I10-I13</f>
        <v>3668353.2499999995</v>
      </c>
      <c r="J9" s="34">
        <f>J10-J13</f>
        <v>3600335.9699999997</v>
      </c>
      <c r="K9" s="34">
        <f>K10-K13</f>
        <v>68017.279999999999</v>
      </c>
      <c r="L9" s="34">
        <f>L10-L13</f>
        <v>0</v>
      </c>
      <c r="M9" s="35">
        <f t="shared" ref="M9:M19" si="0">I9-SUM(J9:L9)</f>
        <v>0</v>
      </c>
    </row>
    <row r="10" spans="1:13" x14ac:dyDescent="0.25">
      <c r="A10" s="23"/>
      <c r="B10" s="36"/>
      <c r="C10" s="123" t="s">
        <v>15</v>
      </c>
      <c r="D10" s="123"/>
      <c r="E10" s="123"/>
      <c r="F10" s="123"/>
      <c r="G10" s="29"/>
      <c r="H10" s="33" t="s">
        <v>16</v>
      </c>
      <c r="I10" s="37">
        <f>142233.24+4091122.36+104789.46</f>
        <v>4338145.0599999996</v>
      </c>
      <c r="J10" s="38">
        <f t="shared" ref="J10:J16" si="1">I10-K10</f>
        <v>4262731.2699999996</v>
      </c>
      <c r="K10" s="39">
        <f>K12</f>
        <v>75413.789999999994</v>
      </c>
      <c r="L10" s="39"/>
      <c r="M10" s="40">
        <f t="shared" si="0"/>
        <v>0</v>
      </c>
    </row>
    <row r="11" spans="1:13" x14ac:dyDescent="0.25">
      <c r="A11" s="23"/>
      <c r="B11" s="116"/>
      <c r="C11" s="116"/>
      <c r="D11" s="117" t="s">
        <v>17</v>
      </c>
      <c r="E11" s="117"/>
      <c r="F11" s="117"/>
      <c r="G11" s="29"/>
      <c r="H11" s="33">
        <v>70</v>
      </c>
      <c r="I11" s="39">
        <f>142233.24</f>
        <v>142233.24</v>
      </c>
      <c r="J11" s="38">
        <f t="shared" si="1"/>
        <v>142233.24</v>
      </c>
      <c r="K11" s="39"/>
      <c r="L11" s="39"/>
      <c r="M11" s="40">
        <f t="shared" si="0"/>
        <v>0</v>
      </c>
    </row>
    <row r="12" spans="1:13" ht="14.45" customHeight="1" x14ac:dyDescent="0.25">
      <c r="A12" s="23"/>
      <c r="D12" s="118" t="s">
        <v>18</v>
      </c>
      <c r="E12" s="118"/>
      <c r="F12" s="118"/>
      <c r="G12" s="41"/>
      <c r="H12" s="33">
        <v>73</v>
      </c>
      <c r="I12" s="44">
        <f>4091122.36</f>
        <v>4091122.36</v>
      </c>
      <c r="J12" s="43">
        <f t="shared" si="1"/>
        <v>4015708.57</v>
      </c>
      <c r="K12" s="44">
        <f>75413.79</f>
        <v>75413.789999999994</v>
      </c>
      <c r="L12" s="44"/>
      <c r="M12" s="45">
        <f t="shared" si="0"/>
        <v>0</v>
      </c>
    </row>
    <row r="13" spans="1:13" ht="14.45" customHeight="1" x14ac:dyDescent="0.25">
      <c r="A13" s="23"/>
      <c r="B13" s="46"/>
      <c r="C13" s="113" t="s">
        <v>19</v>
      </c>
      <c r="D13" s="113"/>
      <c r="E13" s="113"/>
      <c r="F13" s="113"/>
      <c r="G13" s="29"/>
      <c r="H13" s="33" t="s">
        <v>20</v>
      </c>
      <c r="I13" s="44">
        <f>54592.71+616292.95-1361.25+267.4</f>
        <v>669791.80999999994</v>
      </c>
      <c r="J13" s="43">
        <f t="shared" si="1"/>
        <v>662395.29999999993</v>
      </c>
      <c r="K13" s="44">
        <f>699.62+2307.69+715.37+16.7+593.79+700.22+152.44+467.37+683.14+1060.17</f>
        <v>7396.51</v>
      </c>
      <c r="L13" s="44"/>
      <c r="M13" s="45">
        <f t="shared" si="0"/>
        <v>0</v>
      </c>
    </row>
    <row r="14" spans="1:13" ht="14.45" customHeight="1" x14ac:dyDescent="0.25">
      <c r="A14" s="23"/>
      <c r="B14" s="113" t="s">
        <v>21</v>
      </c>
      <c r="C14" s="113"/>
      <c r="D14" s="113"/>
      <c r="E14" s="113"/>
      <c r="F14" s="113"/>
      <c r="G14" s="29" t="s">
        <v>14</v>
      </c>
      <c r="H14" s="33">
        <v>62</v>
      </c>
      <c r="I14" s="39">
        <v>3451160.56</v>
      </c>
      <c r="J14" s="38">
        <f t="shared" si="1"/>
        <v>3345184.37</v>
      </c>
      <c r="K14" s="39">
        <f>105976.19</f>
        <v>105976.19</v>
      </c>
      <c r="L14" s="39"/>
      <c r="M14" s="45">
        <f t="shared" si="0"/>
        <v>0</v>
      </c>
    </row>
    <row r="15" spans="1:13" ht="14.45" customHeight="1" x14ac:dyDescent="0.25">
      <c r="A15" s="23"/>
      <c r="B15" s="113" t="s">
        <v>22</v>
      </c>
      <c r="C15" s="113"/>
      <c r="D15" s="113"/>
      <c r="E15" s="113"/>
      <c r="F15" s="113"/>
      <c r="G15" s="29" t="s">
        <v>14</v>
      </c>
      <c r="H15" s="33">
        <v>630</v>
      </c>
      <c r="I15" s="44">
        <f>141412.34</f>
        <v>141412.34</v>
      </c>
      <c r="J15" s="43">
        <f t="shared" si="1"/>
        <v>141063.79</v>
      </c>
      <c r="K15" s="44">
        <f>348.55</f>
        <v>348.55</v>
      </c>
      <c r="L15" s="44"/>
      <c r="M15" s="45">
        <f t="shared" si="0"/>
        <v>0</v>
      </c>
    </row>
    <row r="16" spans="1:13" ht="14.45" customHeight="1" x14ac:dyDescent="0.25">
      <c r="A16" s="23"/>
      <c r="B16" s="113" t="s">
        <v>23</v>
      </c>
      <c r="C16" s="113"/>
      <c r="D16" s="113"/>
      <c r="E16" s="113"/>
      <c r="F16" s="113"/>
      <c r="G16" s="29" t="s">
        <v>14</v>
      </c>
      <c r="H16" s="33" t="s">
        <v>24</v>
      </c>
      <c r="I16" s="44">
        <f>-3976.94</f>
        <v>-3976.94</v>
      </c>
      <c r="J16" s="43">
        <f t="shared" si="1"/>
        <v>-3976.94</v>
      </c>
      <c r="K16" s="44"/>
      <c r="L16" s="44"/>
      <c r="M16" s="45">
        <f t="shared" si="0"/>
        <v>0</v>
      </c>
    </row>
    <row r="17" spans="1:15" ht="14.45" customHeight="1" x14ac:dyDescent="0.25">
      <c r="A17" s="23"/>
      <c r="B17" s="113" t="s">
        <v>25</v>
      </c>
      <c r="C17" s="113"/>
      <c r="D17" s="113"/>
      <c r="E17" s="113"/>
      <c r="F17" s="113"/>
      <c r="G17" s="29" t="s">
        <v>14</v>
      </c>
      <c r="H17" s="33" t="s">
        <v>26</v>
      </c>
      <c r="I17" s="44">
        <f>-40000</f>
        <v>-40000</v>
      </c>
      <c r="J17" s="43">
        <f>-40000</f>
        <v>-40000</v>
      </c>
      <c r="K17" s="44"/>
      <c r="L17" s="44"/>
      <c r="M17" s="45">
        <f t="shared" si="0"/>
        <v>0</v>
      </c>
    </row>
    <row r="18" spans="1:15" ht="14.45" customHeight="1" x14ac:dyDescent="0.25">
      <c r="A18" s="23"/>
      <c r="B18" s="114" t="s">
        <v>27</v>
      </c>
      <c r="C18" s="114"/>
      <c r="D18" s="114"/>
      <c r="E18" s="114"/>
      <c r="F18" s="114"/>
      <c r="G18" s="29"/>
      <c r="H18" s="33" t="s">
        <v>28</v>
      </c>
      <c r="I18" s="44">
        <f>69502.39</f>
        <v>69502.39</v>
      </c>
      <c r="J18" s="43">
        <f>I18-K18</f>
        <v>65469.15</v>
      </c>
      <c r="K18" s="44">
        <f>3729.83+303.41</f>
        <v>4033.24</v>
      </c>
      <c r="L18" s="44"/>
      <c r="M18" s="45">
        <f t="shared" si="0"/>
        <v>0</v>
      </c>
    </row>
    <row r="19" spans="1:15" ht="14.45" customHeight="1" x14ac:dyDescent="0.25">
      <c r="A19" s="23"/>
      <c r="B19" s="113" t="s">
        <v>29</v>
      </c>
      <c r="C19" s="113"/>
      <c r="D19" s="113"/>
      <c r="E19" s="113"/>
      <c r="F19" s="113"/>
      <c r="G19" s="29" t="s">
        <v>30</v>
      </c>
      <c r="H19" s="33">
        <v>649</v>
      </c>
      <c r="I19" s="44"/>
      <c r="J19" s="43"/>
      <c r="K19" s="44"/>
      <c r="L19" s="44"/>
      <c r="M19" s="45">
        <f t="shared" si="0"/>
        <v>0</v>
      </c>
      <c r="O19" s="49"/>
    </row>
    <row r="20" spans="1:15" x14ac:dyDescent="0.25">
      <c r="A20" s="23"/>
      <c r="B20" s="47"/>
      <c r="C20" s="4"/>
      <c r="D20" s="36"/>
      <c r="E20" s="36"/>
      <c r="F20" s="36"/>
      <c r="G20" s="29"/>
      <c r="H20" s="33"/>
      <c r="I20" s="48"/>
      <c r="J20" s="49"/>
      <c r="K20" s="50"/>
      <c r="L20" s="50"/>
      <c r="M20" s="51"/>
    </row>
    <row r="21" spans="1:15" s="54" customFormat="1" x14ac:dyDescent="0.25">
      <c r="A21" s="115" t="s">
        <v>31</v>
      </c>
      <c r="B21" s="115"/>
      <c r="C21" s="115"/>
      <c r="D21" s="115"/>
      <c r="E21" s="115"/>
      <c r="F21" s="115"/>
      <c r="G21" s="52" t="s">
        <v>14</v>
      </c>
      <c r="H21" s="53">
        <v>9901</v>
      </c>
      <c r="I21" s="44">
        <f>I9-I14-I15-I16-I17-I18-I19</f>
        <v>50254.899999999485</v>
      </c>
      <c r="J21" s="44">
        <f>J9-J14-J15-J16-J17-J18-J19</f>
        <v>92595.599999999627</v>
      </c>
      <c r="K21" s="44">
        <f>K9-K14-K15-K16-K17-K18-K19</f>
        <v>-42340.700000000004</v>
      </c>
      <c r="L21" s="44">
        <f>L9-L14-L15-L16-L17-L18-L19</f>
        <v>0</v>
      </c>
      <c r="M21" s="45">
        <f>M9-M14-M15-M16-M17-M18-M19</f>
        <v>0</v>
      </c>
    </row>
    <row r="22" spans="1:15" s="54" customFormat="1" x14ac:dyDescent="0.25">
      <c r="A22" s="55"/>
      <c r="B22" s="116"/>
      <c r="C22" s="116"/>
      <c r="D22" s="116"/>
      <c r="E22" s="116"/>
      <c r="F22" s="116"/>
      <c r="G22" s="52"/>
      <c r="H22" s="53"/>
      <c r="I22" s="56"/>
      <c r="J22" s="57"/>
      <c r="K22" s="58"/>
      <c r="L22" s="58"/>
      <c r="M22" s="59"/>
    </row>
    <row r="23" spans="1:15" x14ac:dyDescent="0.25">
      <c r="A23" s="60" t="s">
        <v>32</v>
      </c>
      <c r="B23" s="61"/>
      <c r="C23" s="61"/>
      <c r="D23" s="61"/>
      <c r="E23" s="61"/>
      <c r="F23" s="61"/>
      <c r="G23" s="24"/>
      <c r="H23" s="33">
        <v>75</v>
      </c>
      <c r="I23" s="39">
        <v>8.16</v>
      </c>
      <c r="J23" s="38">
        <v>8.16</v>
      </c>
      <c r="K23" s="39"/>
      <c r="L23" s="39"/>
      <c r="M23" s="40">
        <f>I23-SUM(J23:L23)</f>
        <v>0</v>
      </c>
    </row>
    <row r="24" spans="1:15" x14ac:dyDescent="0.25">
      <c r="A24" s="60"/>
      <c r="B24" s="61"/>
      <c r="C24" s="61"/>
      <c r="D24" s="61"/>
      <c r="E24" s="61"/>
      <c r="F24" s="61"/>
      <c r="G24" s="24"/>
      <c r="H24" s="33"/>
      <c r="I24" s="56"/>
      <c r="J24" s="57"/>
      <c r="K24" s="58"/>
      <c r="L24" s="58"/>
      <c r="M24" s="59"/>
    </row>
    <row r="25" spans="1:15" x14ac:dyDescent="0.25">
      <c r="A25" s="110" t="s">
        <v>33</v>
      </c>
      <c r="B25" s="110"/>
      <c r="C25" s="110"/>
      <c r="D25" s="110"/>
      <c r="E25" s="110"/>
      <c r="F25" s="110"/>
      <c r="G25" s="24"/>
      <c r="H25" s="33">
        <v>65</v>
      </c>
      <c r="I25" s="64">
        <v>21385.77</v>
      </c>
      <c r="J25" s="63">
        <f>I25-K25</f>
        <v>21385.77</v>
      </c>
      <c r="K25" s="64"/>
      <c r="L25" s="64"/>
      <c r="M25" s="65">
        <f>I25-SUM(J25:L25)</f>
        <v>0</v>
      </c>
    </row>
    <row r="26" spans="1:15" x14ac:dyDescent="0.25">
      <c r="A26" s="28"/>
      <c r="B26" s="31"/>
      <c r="C26" s="31"/>
      <c r="D26" s="31"/>
      <c r="E26" s="31"/>
      <c r="F26" s="31"/>
      <c r="G26" s="24"/>
      <c r="H26" s="33"/>
      <c r="I26" s="66"/>
      <c r="J26" s="67"/>
      <c r="K26" s="68"/>
      <c r="L26" s="68"/>
      <c r="M26" s="69"/>
    </row>
    <row r="27" spans="1:15" x14ac:dyDescent="0.25">
      <c r="A27" s="111" t="s">
        <v>34</v>
      </c>
      <c r="B27" s="111"/>
      <c r="C27" s="111"/>
      <c r="D27" s="111"/>
      <c r="E27" s="111"/>
      <c r="F27" s="111"/>
      <c r="G27" s="70" t="s">
        <v>14</v>
      </c>
      <c r="H27" s="33">
        <v>9902</v>
      </c>
      <c r="I27" s="44">
        <f>I21+I23-I25</f>
        <v>28877.289999999488</v>
      </c>
      <c r="J27" s="44">
        <f>J21+J23-J25</f>
        <v>71217.989999999627</v>
      </c>
      <c r="K27" s="44">
        <f>K21+K23-K25</f>
        <v>-42340.700000000004</v>
      </c>
      <c r="L27" s="44">
        <f>L21+L23-L25</f>
        <v>0</v>
      </c>
      <c r="M27" s="45">
        <f>M21+M23-M25</f>
        <v>0</v>
      </c>
    </row>
    <row r="28" spans="1:15" x14ac:dyDescent="0.25">
      <c r="A28" s="23"/>
      <c r="G28" s="24"/>
      <c r="H28" s="33"/>
      <c r="I28" s="48"/>
      <c r="J28" s="49"/>
      <c r="K28" s="50"/>
      <c r="L28" s="50"/>
      <c r="M28" s="51"/>
    </row>
    <row r="29" spans="1:15" x14ac:dyDescent="0.25">
      <c r="A29" s="110" t="s">
        <v>35</v>
      </c>
      <c r="B29" s="110"/>
      <c r="C29" s="110"/>
      <c r="D29" s="110"/>
      <c r="E29" s="110"/>
      <c r="F29" s="110"/>
      <c r="G29" s="24"/>
      <c r="H29" s="33">
        <v>76</v>
      </c>
      <c r="I29" s="39">
        <v>16756.75</v>
      </c>
      <c r="J29" s="38">
        <f>I29-K29</f>
        <v>16756.75</v>
      </c>
      <c r="K29" s="39"/>
      <c r="L29" s="39"/>
      <c r="M29" s="40">
        <f>I29-SUM(J29:L29)</f>
        <v>0</v>
      </c>
    </row>
    <row r="30" spans="1:15" x14ac:dyDescent="0.25">
      <c r="A30" s="28"/>
      <c r="B30" s="31"/>
      <c r="C30" s="31"/>
      <c r="D30" s="31"/>
      <c r="E30" s="31"/>
      <c r="F30" s="31"/>
      <c r="G30" s="24"/>
      <c r="H30" s="33"/>
      <c r="I30" s="56"/>
      <c r="J30" s="57"/>
      <c r="K30" s="58"/>
      <c r="L30" s="58"/>
      <c r="M30" s="59"/>
    </row>
    <row r="31" spans="1:15" x14ac:dyDescent="0.25">
      <c r="A31" s="110" t="s">
        <v>36</v>
      </c>
      <c r="B31" s="110"/>
      <c r="C31" s="110"/>
      <c r="D31" s="110"/>
      <c r="E31" s="110"/>
      <c r="F31" s="110"/>
      <c r="G31" s="24"/>
      <c r="H31" s="33">
        <v>66</v>
      </c>
      <c r="I31" s="64">
        <v>430.8</v>
      </c>
      <c r="J31" s="63">
        <f>I31-K31</f>
        <v>430.8</v>
      </c>
      <c r="K31" s="64"/>
      <c r="L31" s="64"/>
      <c r="M31" s="65">
        <f>I31-SUM(J31:L31)</f>
        <v>0</v>
      </c>
    </row>
    <row r="32" spans="1:15" x14ac:dyDescent="0.25">
      <c r="A32" s="23"/>
      <c r="G32" s="24"/>
      <c r="H32" s="33"/>
      <c r="I32" s="48"/>
      <c r="J32" s="49"/>
      <c r="K32" s="50"/>
      <c r="L32" s="50"/>
      <c r="M32" s="51"/>
    </row>
    <row r="33" spans="1:13" s="54" customFormat="1" x14ac:dyDescent="0.25">
      <c r="A33" s="112" t="s">
        <v>37</v>
      </c>
      <c r="B33" s="112"/>
      <c r="C33" s="112"/>
      <c r="D33" s="112"/>
      <c r="E33" s="112"/>
      <c r="F33" s="112"/>
      <c r="G33" s="71" t="s">
        <v>14</v>
      </c>
      <c r="H33" s="53">
        <v>9904</v>
      </c>
      <c r="I33" s="44">
        <f>I27+I29-I31</f>
        <v>45203.239999999481</v>
      </c>
      <c r="J33" s="44">
        <f>J27+J29-J31</f>
        <v>87543.939999999624</v>
      </c>
      <c r="K33" s="44">
        <f>K27+K29-K31</f>
        <v>-42340.700000000004</v>
      </c>
      <c r="L33" s="44">
        <f>L27+L29-L31</f>
        <v>0</v>
      </c>
      <c r="M33" s="45">
        <f>M27+M29-M31</f>
        <v>0</v>
      </c>
    </row>
    <row r="34" spans="1:13" ht="8.25" customHeight="1" thickBot="1" x14ac:dyDescent="0.3">
      <c r="A34" s="72"/>
      <c r="B34" s="73"/>
      <c r="C34" s="73"/>
      <c r="D34" s="73"/>
      <c r="E34" s="73"/>
      <c r="F34" s="73"/>
      <c r="G34" s="74"/>
      <c r="H34" s="75"/>
      <c r="I34" s="62"/>
      <c r="J34" s="76"/>
      <c r="K34" s="62"/>
      <c r="L34" s="62"/>
      <c r="M34" s="77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M21 I27:M27 I33:M33">
    <cfRule type="cellIs" dxfId="3" priority="2" stopIfTrue="1" operator="lessThan">
      <formula>0</formula>
    </cfRule>
  </conditionalFormatting>
  <conditionalFormatting sqref="I21:M21 I27:M27 I33:M33">
    <cfRule type="cellIs" dxfId="2" priority="1" stopIfTrue="1" operator="greaterThanOrEqual">
      <formula>0</formula>
    </cfRule>
  </conditionalFormatting>
  <pageMargins left="0.70000000000000007" right="0.70000000000000007" top="0.75" bottom="0.75" header="0.30000000000000004" footer="0.30000000000000004"/>
  <pageSetup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>
      <selection activeCell="D35" sqref="A1:D35"/>
    </sheetView>
  </sheetViews>
  <sheetFormatPr defaultRowHeight="15" x14ac:dyDescent="0.25"/>
  <cols>
    <col min="1" max="1" width="27.42578125" customWidth="1"/>
    <col min="2" max="2" width="59.140625" customWidth="1"/>
    <col min="3" max="4" width="22.7109375" customWidth="1"/>
    <col min="5" max="5" width="11.7109375" customWidth="1"/>
    <col min="6" max="256" width="8.85546875" customWidth="1"/>
    <col min="257" max="257" width="27.42578125" customWidth="1"/>
    <col min="258" max="258" width="59.140625" customWidth="1"/>
    <col min="259" max="260" width="22.7109375" customWidth="1"/>
    <col min="261" max="261" width="11.7109375" customWidth="1"/>
    <col min="262" max="512" width="8.85546875" customWidth="1"/>
    <col min="513" max="513" width="27.42578125" customWidth="1"/>
    <col min="514" max="514" width="59.140625" customWidth="1"/>
    <col min="515" max="516" width="22.7109375" customWidth="1"/>
    <col min="517" max="517" width="11.7109375" customWidth="1"/>
    <col min="518" max="768" width="8.85546875" customWidth="1"/>
    <col min="769" max="769" width="27.42578125" customWidth="1"/>
    <col min="770" max="770" width="59.140625" customWidth="1"/>
    <col min="771" max="772" width="22.7109375" customWidth="1"/>
    <col min="773" max="773" width="11.7109375" customWidth="1"/>
    <col min="774" max="1024" width="8.85546875" customWidth="1"/>
    <col min="1025" max="1025" width="27.42578125" customWidth="1"/>
    <col min="1026" max="1026" width="59.140625" customWidth="1"/>
    <col min="1027" max="1028" width="22.7109375" customWidth="1"/>
    <col min="1029" max="1029" width="11.7109375" customWidth="1"/>
    <col min="1030" max="1280" width="8.85546875" customWidth="1"/>
    <col min="1281" max="1281" width="27.42578125" customWidth="1"/>
    <col min="1282" max="1282" width="59.140625" customWidth="1"/>
    <col min="1283" max="1284" width="22.7109375" customWidth="1"/>
    <col min="1285" max="1285" width="11.7109375" customWidth="1"/>
    <col min="1286" max="1536" width="8.85546875" customWidth="1"/>
    <col min="1537" max="1537" width="27.42578125" customWidth="1"/>
    <col min="1538" max="1538" width="59.140625" customWidth="1"/>
    <col min="1539" max="1540" width="22.7109375" customWidth="1"/>
    <col min="1541" max="1541" width="11.7109375" customWidth="1"/>
    <col min="1542" max="1792" width="8.85546875" customWidth="1"/>
    <col min="1793" max="1793" width="27.42578125" customWidth="1"/>
    <col min="1794" max="1794" width="59.140625" customWidth="1"/>
    <col min="1795" max="1796" width="22.7109375" customWidth="1"/>
    <col min="1797" max="1797" width="11.7109375" customWidth="1"/>
    <col min="1798" max="2048" width="8.85546875" customWidth="1"/>
    <col min="2049" max="2049" width="27.42578125" customWidth="1"/>
    <col min="2050" max="2050" width="59.140625" customWidth="1"/>
    <col min="2051" max="2052" width="22.7109375" customWidth="1"/>
    <col min="2053" max="2053" width="11.7109375" customWidth="1"/>
    <col min="2054" max="2304" width="8.85546875" customWidth="1"/>
    <col min="2305" max="2305" width="27.42578125" customWidth="1"/>
    <col min="2306" max="2306" width="59.140625" customWidth="1"/>
    <col min="2307" max="2308" width="22.7109375" customWidth="1"/>
    <col min="2309" max="2309" width="11.7109375" customWidth="1"/>
    <col min="2310" max="2560" width="8.85546875" customWidth="1"/>
    <col min="2561" max="2561" width="27.42578125" customWidth="1"/>
    <col min="2562" max="2562" width="59.140625" customWidth="1"/>
    <col min="2563" max="2564" width="22.7109375" customWidth="1"/>
    <col min="2565" max="2565" width="11.7109375" customWidth="1"/>
    <col min="2566" max="2816" width="8.85546875" customWidth="1"/>
    <col min="2817" max="2817" width="27.42578125" customWidth="1"/>
    <col min="2818" max="2818" width="59.140625" customWidth="1"/>
    <col min="2819" max="2820" width="22.7109375" customWidth="1"/>
    <col min="2821" max="2821" width="11.7109375" customWidth="1"/>
    <col min="2822" max="3072" width="8.85546875" customWidth="1"/>
    <col min="3073" max="3073" width="27.42578125" customWidth="1"/>
    <col min="3074" max="3074" width="59.140625" customWidth="1"/>
    <col min="3075" max="3076" width="22.7109375" customWidth="1"/>
    <col min="3077" max="3077" width="11.7109375" customWidth="1"/>
    <col min="3078" max="3328" width="8.85546875" customWidth="1"/>
    <col min="3329" max="3329" width="27.42578125" customWidth="1"/>
    <col min="3330" max="3330" width="59.140625" customWidth="1"/>
    <col min="3331" max="3332" width="22.7109375" customWidth="1"/>
    <col min="3333" max="3333" width="11.7109375" customWidth="1"/>
    <col min="3334" max="3584" width="8.85546875" customWidth="1"/>
    <col min="3585" max="3585" width="27.42578125" customWidth="1"/>
    <col min="3586" max="3586" width="59.140625" customWidth="1"/>
    <col min="3587" max="3588" width="22.7109375" customWidth="1"/>
    <col min="3589" max="3589" width="11.7109375" customWidth="1"/>
    <col min="3590" max="3840" width="8.85546875" customWidth="1"/>
    <col min="3841" max="3841" width="27.42578125" customWidth="1"/>
    <col min="3842" max="3842" width="59.140625" customWidth="1"/>
    <col min="3843" max="3844" width="22.7109375" customWidth="1"/>
    <col min="3845" max="3845" width="11.7109375" customWidth="1"/>
    <col min="3846" max="4096" width="8.85546875" customWidth="1"/>
    <col min="4097" max="4097" width="27.42578125" customWidth="1"/>
    <col min="4098" max="4098" width="59.140625" customWidth="1"/>
    <col min="4099" max="4100" width="22.7109375" customWidth="1"/>
    <col min="4101" max="4101" width="11.7109375" customWidth="1"/>
    <col min="4102" max="4352" width="8.85546875" customWidth="1"/>
    <col min="4353" max="4353" width="27.42578125" customWidth="1"/>
    <col min="4354" max="4354" width="59.140625" customWidth="1"/>
    <col min="4355" max="4356" width="22.7109375" customWidth="1"/>
    <col min="4357" max="4357" width="11.7109375" customWidth="1"/>
    <col min="4358" max="4608" width="8.85546875" customWidth="1"/>
    <col min="4609" max="4609" width="27.42578125" customWidth="1"/>
    <col min="4610" max="4610" width="59.140625" customWidth="1"/>
    <col min="4611" max="4612" width="22.7109375" customWidth="1"/>
    <col min="4613" max="4613" width="11.7109375" customWidth="1"/>
    <col min="4614" max="4864" width="8.85546875" customWidth="1"/>
    <col min="4865" max="4865" width="27.42578125" customWidth="1"/>
    <col min="4866" max="4866" width="59.140625" customWidth="1"/>
    <col min="4867" max="4868" width="22.7109375" customWidth="1"/>
    <col min="4869" max="4869" width="11.7109375" customWidth="1"/>
    <col min="4870" max="5120" width="8.85546875" customWidth="1"/>
    <col min="5121" max="5121" width="27.42578125" customWidth="1"/>
    <col min="5122" max="5122" width="59.140625" customWidth="1"/>
    <col min="5123" max="5124" width="22.7109375" customWidth="1"/>
    <col min="5125" max="5125" width="11.7109375" customWidth="1"/>
    <col min="5126" max="5376" width="8.85546875" customWidth="1"/>
    <col min="5377" max="5377" width="27.42578125" customWidth="1"/>
    <col min="5378" max="5378" width="59.140625" customWidth="1"/>
    <col min="5379" max="5380" width="22.7109375" customWidth="1"/>
    <col min="5381" max="5381" width="11.7109375" customWidth="1"/>
    <col min="5382" max="5632" width="8.85546875" customWidth="1"/>
    <col min="5633" max="5633" width="27.42578125" customWidth="1"/>
    <col min="5634" max="5634" width="59.140625" customWidth="1"/>
    <col min="5635" max="5636" width="22.7109375" customWidth="1"/>
    <col min="5637" max="5637" width="11.7109375" customWidth="1"/>
    <col min="5638" max="5888" width="8.85546875" customWidth="1"/>
    <col min="5889" max="5889" width="27.42578125" customWidth="1"/>
    <col min="5890" max="5890" width="59.140625" customWidth="1"/>
    <col min="5891" max="5892" width="22.7109375" customWidth="1"/>
    <col min="5893" max="5893" width="11.7109375" customWidth="1"/>
    <col min="5894" max="6144" width="8.85546875" customWidth="1"/>
    <col min="6145" max="6145" width="27.42578125" customWidth="1"/>
    <col min="6146" max="6146" width="59.140625" customWidth="1"/>
    <col min="6147" max="6148" width="22.7109375" customWidth="1"/>
    <col min="6149" max="6149" width="11.7109375" customWidth="1"/>
    <col min="6150" max="6400" width="8.85546875" customWidth="1"/>
    <col min="6401" max="6401" width="27.42578125" customWidth="1"/>
    <col min="6402" max="6402" width="59.140625" customWidth="1"/>
    <col min="6403" max="6404" width="22.7109375" customWidth="1"/>
    <col min="6405" max="6405" width="11.7109375" customWidth="1"/>
    <col min="6406" max="6656" width="8.85546875" customWidth="1"/>
    <col min="6657" max="6657" width="27.42578125" customWidth="1"/>
    <col min="6658" max="6658" width="59.140625" customWidth="1"/>
    <col min="6659" max="6660" width="22.7109375" customWidth="1"/>
    <col min="6661" max="6661" width="11.7109375" customWidth="1"/>
    <col min="6662" max="6912" width="8.85546875" customWidth="1"/>
    <col min="6913" max="6913" width="27.42578125" customWidth="1"/>
    <col min="6914" max="6914" width="59.140625" customWidth="1"/>
    <col min="6915" max="6916" width="22.7109375" customWidth="1"/>
    <col min="6917" max="6917" width="11.7109375" customWidth="1"/>
    <col min="6918" max="7168" width="8.85546875" customWidth="1"/>
    <col min="7169" max="7169" width="27.42578125" customWidth="1"/>
    <col min="7170" max="7170" width="59.140625" customWidth="1"/>
    <col min="7171" max="7172" width="22.7109375" customWidth="1"/>
    <col min="7173" max="7173" width="11.7109375" customWidth="1"/>
    <col min="7174" max="7424" width="8.85546875" customWidth="1"/>
    <col min="7425" max="7425" width="27.42578125" customWidth="1"/>
    <col min="7426" max="7426" width="59.140625" customWidth="1"/>
    <col min="7427" max="7428" width="22.7109375" customWidth="1"/>
    <col min="7429" max="7429" width="11.7109375" customWidth="1"/>
    <col min="7430" max="7680" width="8.85546875" customWidth="1"/>
    <col min="7681" max="7681" width="27.42578125" customWidth="1"/>
    <col min="7682" max="7682" width="59.140625" customWidth="1"/>
    <col min="7683" max="7684" width="22.7109375" customWidth="1"/>
    <col min="7685" max="7685" width="11.7109375" customWidth="1"/>
    <col min="7686" max="7936" width="8.85546875" customWidth="1"/>
    <col min="7937" max="7937" width="27.42578125" customWidth="1"/>
    <col min="7938" max="7938" width="59.140625" customWidth="1"/>
    <col min="7939" max="7940" width="22.7109375" customWidth="1"/>
    <col min="7941" max="7941" width="11.7109375" customWidth="1"/>
    <col min="7942" max="8192" width="8.85546875" customWidth="1"/>
    <col min="8193" max="8193" width="27.42578125" customWidth="1"/>
    <col min="8194" max="8194" width="59.140625" customWidth="1"/>
    <col min="8195" max="8196" width="22.7109375" customWidth="1"/>
    <col min="8197" max="8197" width="11.7109375" customWidth="1"/>
    <col min="8198" max="8448" width="8.85546875" customWidth="1"/>
    <col min="8449" max="8449" width="27.42578125" customWidth="1"/>
    <col min="8450" max="8450" width="59.140625" customWidth="1"/>
    <col min="8451" max="8452" width="22.7109375" customWidth="1"/>
    <col min="8453" max="8453" width="11.7109375" customWidth="1"/>
    <col min="8454" max="8704" width="8.85546875" customWidth="1"/>
    <col min="8705" max="8705" width="27.42578125" customWidth="1"/>
    <col min="8706" max="8706" width="59.140625" customWidth="1"/>
    <col min="8707" max="8708" width="22.7109375" customWidth="1"/>
    <col min="8709" max="8709" width="11.7109375" customWidth="1"/>
    <col min="8710" max="8960" width="8.85546875" customWidth="1"/>
    <col min="8961" max="8961" width="27.42578125" customWidth="1"/>
    <col min="8962" max="8962" width="59.140625" customWidth="1"/>
    <col min="8963" max="8964" width="22.7109375" customWidth="1"/>
    <col min="8965" max="8965" width="11.7109375" customWidth="1"/>
    <col min="8966" max="9216" width="8.85546875" customWidth="1"/>
    <col min="9217" max="9217" width="27.42578125" customWidth="1"/>
    <col min="9218" max="9218" width="59.140625" customWidth="1"/>
    <col min="9219" max="9220" width="22.7109375" customWidth="1"/>
    <col min="9221" max="9221" width="11.7109375" customWidth="1"/>
    <col min="9222" max="9472" width="8.85546875" customWidth="1"/>
    <col min="9473" max="9473" width="27.42578125" customWidth="1"/>
    <col min="9474" max="9474" width="59.140625" customWidth="1"/>
    <col min="9475" max="9476" width="22.7109375" customWidth="1"/>
    <col min="9477" max="9477" width="11.7109375" customWidth="1"/>
    <col min="9478" max="9728" width="8.85546875" customWidth="1"/>
    <col min="9729" max="9729" width="27.42578125" customWidth="1"/>
    <col min="9730" max="9730" width="59.140625" customWidth="1"/>
    <col min="9731" max="9732" width="22.7109375" customWidth="1"/>
    <col min="9733" max="9733" width="11.7109375" customWidth="1"/>
    <col min="9734" max="9984" width="8.85546875" customWidth="1"/>
    <col min="9985" max="9985" width="27.42578125" customWidth="1"/>
    <col min="9986" max="9986" width="59.140625" customWidth="1"/>
    <col min="9987" max="9988" width="22.7109375" customWidth="1"/>
    <col min="9989" max="9989" width="11.7109375" customWidth="1"/>
    <col min="9990" max="10240" width="8.85546875" customWidth="1"/>
    <col min="10241" max="10241" width="27.42578125" customWidth="1"/>
    <col min="10242" max="10242" width="59.140625" customWidth="1"/>
    <col min="10243" max="10244" width="22.7109375" customWidth="1"/>
    <col min="10245" max="10245" width="11.7109375" customWidth="1"/>
    <col min="10246" max="10496" width="8.85546875" customWidth="1"/>
    <col min="10497" max="10497" width="27.42578125" customWidth="1"/>
    <col min="10498" max="10498" width="59.140625" customWidth="1"/>
    <col min="10499" max="10500" width="22.7109375" customWidth="1"/>
    <col min="10501" max="10501" width="11.7109375" customWidth="1"/>
    <col min="10502" max="10752" width="8.85546875" customWidth="1"/>
    <col min="10753" max="10753" width="27.42578125" customWidth="1"/>
    <col min="10754" max="10754" width="59.140625" customWidth="1"/>
    <col min="10755" max="10756" width="22.7109375" customWidth="1"/>
    <col min="10757" max="10757" width="11.7109375" customWidth="1"/>
    <col min="10758" max="11008" width="8.85546875" customWidth="1"/>
    <col min="11009" max="11009" width="27.42578125" customWidth="1"/>
    <col min="11010" max="11010" width="59.140625" customWidth="1"/>
    <col min="11011" max="11012" width="22.7109375" customWidth="1"/>
    <col min="11013" max="11013" width="11.7109375" customWidth="1"/>
    <col min="11014" max="11264" width="8.85546875" customWidth="1"/>
    <col min="11265" max="11265" width="27.42578125" customWidth="1"/>
    <col min="11266" max="11266" width="59.140625" customWidth="1"/>
    <col min="11267" max="11268" width="22.7109375" customWidth="1"/>
    <col min="11269" max="11269" width="11.7109375" customWidth="1"/>
    <col min="11270" max="11520" width="8.85546875" customWidth="1"/>
    <col min="11521" max="11521" width="27.42578125" customWidth="1"/>
    <col min="11522" max="11522" width="59.140625" customWidth="1"/>
    <col min="11523" max="11524" width="22.7109375" customWidth="1"/>
    <col min="11525" max="11525" width="11.7109375" customWidth="1"/>
    <col min="11526" max="11776" width="8.85546875" customWidth="1"/>
    <col min="11777" max="11777" width="27.42578125" customWidth="1"/>
    <col min="11778" max="11778" width="59.140625" customWidth="1"/>
    <col min="11779" max="11780" width="22.7109375" customWidth="1"/>
    <col min="11781" max="11781" width="11.7109375" customWidth="1"/>
    <col min="11782" max="12032" width="8.85546875" customWidth="1"/>
    <col min="12033" max="12033" width="27.42578125" customWidth="1"/>
    <col min="12034" max="12034" width="59.140625" customWidth="1"/>
    <col min="12035" max="12036" width="22.7109375" customWidth="1"/>
    <col min="12037" max="12037" width="11.7109375" customWidth="1"/>
    <col min="12038" max="12288" width="8.85546875" customWidth="1"/>
    <col min="12289" max="12289" width="27.42578125" customWidth="1"/>
    <col min="12290" max="12290" width="59.140625" customWidth="1"/>
    <col min="12291" max="12292" width="22.7109375" customWidth="1"/>
    <col min="12293" max="12293" width="11.7109375" customWidth="1"/>
    <col min="12294" max="12544" width="8.85546875" customWidth="1"/>
    <col min="12545" max="12545" width="27.42578125" customWidth="1"/>
    <col min="12546" max="12546" width="59.140625" customWidth="1"/>
    <col min="12547" max="12548" width="22.7109375" customWidth="1"/>
    <col min="12549" max="12549" width="11.7109375" customWidth="1"/>
    <col min="12550" max="12800" width="8.85546875" customWidth="1"/>
    <col min="12801" max="12801" width="27.42578125" customWidth="1"/>
    <col min="12802" max="12802" width="59.140625" customWidth="1"/>
    <col min="12803" max="12804" width="22.7109375" customWidth="1"/>
    <col min="12805" max="12805" width="11.7109375" customWidth="1"/>
    <col min="12806" max="13056" width="8.85546875" customWidth="1"/>
    <col min="13057" max="13057" width="27.42578125" customWidth="1"/>
    <col min="13058" max="13058" width="59.140625" customWidth="1"/>
    <col min="13059" max="13060" width="22.7109375" customWidth="1"/>
    <col min="13061" max="13061" width="11.7109375" customWidth="1"/>
    <col min="13062" max="13312" width="8.85546875" customWidth="1"/>
    <col min="13313" max="13313" width="27.42578125" customWidth="1"/>
    <col min="13314" max="13314" width="59.140625" customWidth="1"/>
    <col min="13315" max="13316" width="22.7109375" customWidth="1"/>
    <col min="13317" max="13317" width="11.7109375" customWidth="1"/>
    <col min="13318" max="13568" width="8.85546875" customWidth="1"/>
    <col min="13569" max="13569" width="27.42578125" customWidth="1"/>
    <col min="13570" max="13570" width="59.140625" customWidth="1"/>
    <col min="13571" max="13572" width="22.7109375" customWidth="1"/>
    <col min="13573" max="13573" width="11.7109375" customWidth="1"/>
    <col min="13574" max="13824" width="8.85546875" customWidth="1"/>
    <col min="13825" max="13825" width="27.42578125" customWidth="1"/>
    <col min="13826" max="13826" width="59.140625" customWidth="1"/>
    <col min="13827" max="13828" width="22.7109375" customWidth="1"/>
    <col min="13829" max="13829" width="11.7109375" customWidth="1"/>
    <col min="13830" max="14080" width="8.85546875" customWidth="1"/>
    <col min="14081" max="14081" width="27.42578125" customWidth="1"/>
    <col min="14082" max="14082" width="59.140625" customWidth="1"/>
    <col min="14083" max="14084" width="22.7109375" customWidth="1"/>
    <col min="14085" max="14085" width="11.7109375" customWidth="1"/>
    <col min="14086" max="14336" width="8.85546875" customWidth="1"/>
    <col min="14337" max="14337" width="27.42578125" customWidth="1"/>
    <col min="14338" max="14338" width="59.140625" customWidth="1"/>
    <col min="14339" max="14340" width="22.7109375" customWidth="1"/>
    <col min="14341" max="14341" width="11.7109375" customWidth="1"/>
    <col min="14342" max="14592" width="8.85546875" customWidth="1"/>
    <col min="14593" max="14593" width="27.42578125" customWidth="1"/>
    <col min="14594" max="14594" width="59.140625" customWidth="1"/>
    <col min="14595" max="14596" width="22.7109375" customWidth="1"/>
    <col min="14597" max="14597" width="11.7109375" customWidth="1"/>
    <col min="14598" max="14848" width="8.85546875" customWidth="1"/>
    <col min="14849" max="14849" width="27.42578125" customWidth="1"/>
    <col min="14850" max="14850" width="59.140625" customWidth="1"/>
    <col min="14851" max="14852" width="22.7109375" customWidth="1"/>
    <col min="14853" max="14853" width="11.7109375" customWidth="1"/>
    <col min="14854" max="15104" width="8.85546875" customWidth="1"/>
    <col min="15105" max="15105" width="27.42578125" customWidth="1"/>
    <col min="15106" max="15106" width="59.140625" customWidth="1"/>
    <col min="15107" max="15108" width="22.7109375" customWidth="1"/>
    <col min="15109" max="15109" width="11.7109375" customWidth="1"/>
    <col min="15110" max="15360" width="8.85546875" customWidth="1"/>
    <col min="15361" max="15361" width="27.42578125" customWidth="1"/>
    <col min="15362" max="15362" width="59.140625" customWidth="1"/>
    <col min="15363" max="15364" width="22.7109375" customWidth="1"/>
    <col min="15365" max="15365" width="11.7109375" customWidth="1"/>
    <col min="15366" max="15616" width="8.85546875" customWidth="1"/>
    <col min="15617" max="15617" width="27.42578125" customWidth="1"/>
    <col min="15618" max="15618" width="59.140625" customWidth="1"/>
    <col min="15619" max="15620" width="22.7109375" customWidth="1"/>
    <col min="15621" max="15621" width="11.7109375" customWidth="1"/>
    <col min="15622" max="15872" width="8.85546875" customWidth="1"/>
    <col min="15873" max="15873" width="27.42578125" customWidth="1"/>
    <col min="15874" max="15874" width="59.140625" customWidth="1"/>
    <col min="15875" max="15876" width="22.7109375" customWidth="1"/>
    <col min="15877" max="15877" width="11.7109375" customWidth="1"/>
    <col min="15878" max="16128" width="8.85546875" customWidth="1"/>
    <col min="16129" max="16129" width="27.42578125" customWidth="1"/>
    <col min="16130" max="16130" width="59.140625" customWidth="1"/>
    <col min="16131" max="16132" width="22.7109375" customWidth="1"/>
    <col min="16133" max="16133" width="11.7109375" customWidth="1"/>
    <col min="16134" max="16384" width="8.85546875" customWidth="1"/>
  </cols>
  <sheetData>
    <row r="1" spans="1:6" ht="15.75" x14ac:dyDescent="0.25">
      <c r="A1" s="78" t="s">
        <v>38</v>
      </c>
    </row>
    <row r="2" spans="1:6" ht="23.25" customHeight="1" x14ac:dyDescent="0.25">
      <c r="A2" s="79" t="s">
        <v>39</v>
      </c>
      <c r="B2" s="79"/>
    </row>
    <row r="3" spans="1:6" ht="15.75" thickBot="1" x14ac:dyDescent="0.3"/>
    <row r="4" spans="1:6" ht="15.75" thickBot="1" x14ac:dyDescent="0.3">
      <c r="A4" s="80">
        <v>73</v>
      </c>
      <c r="B4" s="124" t="s">
        <v>18</v>
      </c>
      <c r="C4" s="124"/>
      <c r="D4" s="81">
        <f>SUM(D5:D11)</f>
        <v>4091122.36</v>
      </c>
    </row>
    <row r="5" spans="1:6" x14ac:dyDescent="0.25">
      <c r="A5" s="82" t="s">
        <v>40</v>
      </c>
      <c r="B5" s="125" t="s">
        <v>41</v>
      </c>
      <c r="C5" s="125"/>
      <c r="D5" s="83">
        <v>0</v>
      </c>
    </row>
    <row r="6" spans="1:6" x14ac:dyDescent="0.25">
      <c r="A6" s="82" t="s">
        <v>42</v>
      </c>
      <c r="B6" s="126" t="s">
        <v>43</v>
      </c>
      <c r="C6" s="126"/>
      <c r="D6" s="83">
        <f>4598.54+135</f>
        <v>4733.54</v>
      </c>
    </row>
    <row r="7" spans="1:6" ht="15.75" thickBot="1" x14ac:dyDescent="0.3">
      <c r="A7" s="84" t="s">
        <v>44</v>
      </c>
      <c r="B7" s="127" t="s">
        <v>45</v>
      </c>
      <c r="C7" s="127"/>
      <c r="D7" s="85">
        <v>0</v>
      </c>
    </row>
    <row r="8" spans="1:6" ht="12" customHeight="1" thickBot="1" x14ac:dyDescent="0.3">
      <c r="A8" s="86">
        <v>736</v>
      </c>
      <c r="B8" s="87" t="s">
        <v>46</v>
      </c>
      <c r="C8" s="88"/>
      <c r="D8" s="89">
        <v>31419.53</v>
      </c>
    </row>
    <row r="9" spans="1:6" ht="15.75" thickBot="1" x14ac:dyDescent="0.3">
      <c r="A9" s="86">
        <v>737</v>
      </c>
      <c r="B9" s="90" t="s">
        <v>47</v>
      </c>
      <c r="C9" s="88"/>
      <c r="D9" s="89">
        <f>3640852.24</f>
        <v>3640852.24</v>
      </c>
    </row>
    <row r="10" spans="1:6" ht="15.75" thickBot="1" x14ac:dyDescent="0.3">
      <c r="A10" s="86"/>
      <c r="B10" s="90" t="s">
        <v>48</v>
      </c>
      <c r="C10" s="88"/>
      <c r="D10" s="89">
        <f>75413.79+468.05</f>
        <v>75881.84</v>
      </c>
      <c r="E10" s="109"/>
    </row>
    <row r="11" spans="1:6" ht="14.25" customHeight="1" thickBot="1" x14ac:dyDescent="0.3">
      <c r="A11" s="91" t="s">
        <v>49</v>
      </c>
      <c r="B11" s="128" t="s">
        <v>50</v>
      </c>
      <c r="C11" s="128"/>
      <c r="D11" s="92">
        <f>34821.95+53809.8+7000+241328.46+1275</f>
        <v>338235.20999999996</v>
      </c>
      <c r="E11" s="109"/>
    </row>
    <row r="12" spans="1:6" ht="15.75" thickBot="1" x14ac:dyDescent="0.3">
      <c r="A12" s="93" t="s">
        <v>51</v>
      </c>
      <c r="B12" s="94" t="s">
        <v>52</v>
      </c>
      <c r="C12" s="93" t="s">
        <v>53</v>
      </c>
      <c r="D12" s="95" t="s">
        <v>54</v>
      </c>
      <c r="F12" s="109"/>
    </row>
    <row r="13" spans="1:6" x14ac:dyDescent="0.25">
      <c r="A13" s="82"/>
      <c r="B13" s="96"/>
      <c r="C13" s="97"/>
      <c r="D13" s="83"/>
      <c r="E13" s="109"/>
    </row>
    <row r="14" spans="1:6" x14ac:dyDescent="0.25">
      <c r="A14" s="98" t="s">
        <v>55</v>
      </c>
      <c r="B14" s="96" t="s">
        <v>56</v>
      </c>
      <c r="C14" s="97" t="s">
        <v>55</v>
      </c>
      <c r="D14" s="83">
        <f>3640852.24</f>
        <v>3640852.24</v>
      </c>
      <c r="E14" s="109"/>
    </row>
    <row r="15" spans="1:6" x14ac:dyDescent="0.25">
      <c r="A15" s="82"/>
      <c r="B15" s="96" t="s">
        <v>57</v>
      </c>
      <c r="C15" s="97" t="s">
        <v>55</v>
      </c>
      <c r="D15" s="83">
        <f>75413.79</f>
        <v>75413.789999999994</v>
      </c>
    </row>
    <row r="16" spans="1:6" x14ac:dyDescent="0.25">
      <c r="A16" s="82"/>
      <c r="B16" s="96" t="s">
        <v>58</v>
      </c>
      <c r="C16" s="97" t="s">
        <v>55</v>
      </c>
      <c r="D16" s="83">
        <f>468.05</f>
        <v>468.05</v>
      </c>
    </row>
    <row r="17" spans="1:4" x14ac:dyDescent="0.25">
      <c r="A17" s="82"/>
      <c r="B17" s="96"/>
      <c r="C17" s="97"/>
      <c r="D17" s="83"/>
    </row>
    <row r="18" spans="1:4" x14ac:dyDescent="0.25">
      <c r="A18" s="82"/>
      <c r="B18" s="96"/>
      <c r="C18" s="97"/>
      <c r="D18" s="83"/>
    </row>
    <row r="19" spans="1:4" x14ac:dyDescent="0.25">
      <c r="A19" s="82"/>
      <c r="B19" s="96"/>
      <c r="C19" s="97"/>
      <c r="D19" s="83"/>
    </row>
    <row r="20" spans="1:4" x14ac:dyDescent="0.25">
      <c r="A20" s="98"/>
      <c r="B20" s="96"/>
      <c r="C20" s="97"/>
      <c r="D20" s="83"/>
    </row>
    <row r="21" spans="1:4" x14ac:dyDescent="0.25">
      <c r="A21" s="82"/>
      <c r="B21" s="96"/>
      <c r="C21" s="97"/>
      <c r="D21" s="83"/>
    </row>
    <row r="22" spans="1:4" x14ac:dyDescent="0.25">
      <c r="A22" s="98" t="s">
        <v>59</v>
      </c>
      <c r="B22" s="96" t="s">
        <v>60</v>
      </c>
      <c r="C22" s="97" t="s">
        <v>55</v>
      </c>
      <c r="D22" s="83">
        <f>241328.46</f>
        <v>241328.46</v>
      </c>
    </row>
    <row r="23" spans="1:4" x14ac:dyDescent="0.25">
      <c r="A23" s="98"/>
      <c r="B23" s="96"/>
      <c r="C23" s="97"/>
      <c r="D23" s="83"/>
    </row>
    <row r="24" spans="1:4" x14ac:dyDescent="0.25">
      <c r="A24" s="82"/>
      <c r="B24" s="96"/>
      <c r="C24" s="97"/>
      <c r="D24" s="83"/>
    </row>
    <row r="25" spans="1:4" x14ac:dyDescent="0.25">
      <c r="A25" s="98" t="s">
        <v>61</v>
      </c>
      <c r="B25" s="96" t="s">
        <v>62</v>
      </c>
      <c r="C25" s="97" t="s">
        <v>55</v>
      </c>
      <c r="D25" s="83">
        <f>1071.95</f>
        <v>1071.95</v>
      </c>
    </row>
    <row r="26" spans="1:4" x14ac:dyDescent="0.25">
      <c r="A26" s="98" t="s">
        <v>61</v>
      </c>
      <c r="B26" s="96" t="s">
        <v>71</v>
      </c>
      <c r="C26" s="97" t="s">
        <v>55</v>
      </c>
      <c r="D26" s="83">
        <f>30000</f>
        <v>30000</v>
      </c>
    </row>
    <row r="27" spans="1:4" x14ac:dyDescent="0.25">
      <c r="A27" s="98" t="s">
        <v>61</v>
      </c>
      <c r="B27" s="96" t="s">
        <v>72</v>
      </c>
      <c r="C27" s="97" t="s">
        <v>55</v>
      </c>
      <c r="D27" s="83">
        <f>3750</f>
        <v>3750</v>
      </c>
    </row>
    <row r="28" spans="1:4" x14ac:dyDescent="0.25">
      <c r="A28" s="82"/>
      <c r="B28" s="96"/>
      <c r="C28" s="97"/>
      <c r="D28" s="83"/>
    </row>
    <row r="29" spans="1:4" x14ac:dyDescent="0.25">
      <c r="A29" s="98" t="s">
        <v>63</v>
      </c>
      <c r="B29" s="96" t="s">
        <v>64</v>
      </c>
      <c r="C29" s="97" t="s">
        <v>55</v>
      </c>
      <c r="D29" s="83">
        <f>53809.8</f>
        <v>53809.8</v>
      </c>
    </row>
    <row r="30" spans="1:4" x14ac:dyDescent="0.25">
      <c r="A30" s="82"/>
      <c r="B30" s="96"/>
      <c r="C30" s="97"/>
      <c r="D30" s="83"/>
    </row>
    <row r="31" spans="1:4" x14ac:dyDescent="0.25">
      <c r="A31" s="98" t="s">
        <v>73</v>
      </c>
      <c r="B31" s="96" t="s">
        <v>62</v>
      </c>
      <c r="C31" s="97" t="s">
        <v>55</v>
      </c>
      <c r="D31" s="83">
        <f>7000</f>
        <v>7000</v>
      </c>
    </row>
    <row r="32" spans="1:4" x14ac:dyDescent="0.25">
      <c r="A32" s="98"/>
      <c r="B32" s="96"/>
      <c r="C32" s="97"/>
      <c r="D32" s="83"/>
    </row>
    <row r="33" spans="1:4" x14ac:dyDescent="0.25">
      <c r="A33" s="82"/>
      <c r="B33" s="96"/>
      <c r="C33" s="97"/>
      <c r="D33" s="83"/>
    </row>
    <row r="34" spans="1:4" x14ac:dyDescent="0.25">
      <c r="A34" s="98" t="s">
        <v>68</v>
      </c>
      <c r="B34" s="96" t="s">
        <v>69</v>
      </c>
      <c r="C34" s="97" t="s">
        <v>55</v>
      </c>
      <c r="D34" s="83">
        <v>1275</v>
      </c>
    </row>
    <row r="35" spans="1:4" x14ac:dyDescent="0.25">
      <c r="A35" s="82"/>
      <c r="B35" s="96"/>
      <c r="C35" s="97"/>
      <c r="D35" s="83"/>
    </row>
    <row r="36" spans="1:4" x14ac:dyDescent="0.25">
      <c r="A36" s="99"/>
      <c r="B36" s="100"/>
      <c r="C36" s="101"/>
      <c r="D36" s="102"/>
    </row>
    <row r="37" spans="1:4" x14ac:dyDescent="0.25">
      <c r="A37" s="99"/>
      <c r="B37" s="100"/>
      <c r="C37" s="101"/>
      <c r="D37" s="102"/>
    </row>
    <row r="38" spans="1:4" ht="15.75" thickBot="1" x14ac:dyDescent="0.3">
      <c r="A38" s="103"/>
      <c r="B38" s="104"/>
      <c r="C38" s="105"/>
      <c r="D38" s="106"/>
    </row>
    <row r="41" spans="1:4" x14ac:dyDescent="0.25">
      <c r="A41" s="107"/>
    </row>
    <row r="42" spans="1:4" x14ac:dyDescent="0.25">
      <c r="A42" s="108"/>
    </row>
  </sheetData>
  <mergeCells count="5">
    <mergeCell ref="B4:C4"/>
    <mergeCell ref="B5:C5"/>
    <mergeCell ref="B6:C6"/>
    <mergeCell ref="B7:C7"/>
    <mergeCell ref="B11:C11"/>
  </mergeCells>
  <pageMargins left="0.70000000000000007" right="0.70000000000000007" top="0.75" bottom="0.75" header="0.30000000000000004" footer="0.30000000000000004"/>
  <pageSetup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activeCell="M34" sqref="A1:M34"/>
    </sheetView>
  </sheetViews>
  <sheetFormatPr defaultColWidth="9.140625" defaultRowHeight="15" x14ac:dyDescent="0.25"/>
  <cols>
    <col min="1" max="1" width="2.7109375" style="1" customWidth="1"/>
    <col min="2" max="2" width="4.7109375" style="1" customWidth="1"/>
    <col min="3" max="3" width="3.7109375" style="1" customWidth="1"/>
    <col min="4" max="5" width="9.140625" style="1" customWidth="1"/>
    <col min="6" max="6" width="22.5703125" style="1" customWidth="1"/>
    <col min="7" max="7" width="4.42578125" style="1" customWidth="1"/>
    <col min="8" max="8" width="6.28515625" style="1" customWidth="1"/>
    <col min="9" max="9" width="14.7109375" style="1" customWidth="1"/>
    <col min="10" max="10" width="16.85546875" style="1" customWidth="1"/>
    <col min="11" max="11" width="17.7109375" style="1" customWidth="1"/>
    <col min="12" max="12" width="17.42578125" style="1" customWidth="1"/>
    <col min="13" max="13" width="13.5703125" style="1" customWidth="1"/>
    <col min="14" max="14" width="9.140625" style="1" customWidth="1"/>
    <col min="15" max="15" width="10.140625" style="1" customWidth="1"/>
    <col min="16" max="16" width="9.140625" style="1" customWidth="1"/>
    <col min="17" max="16384" width="9.140625" style="1"/>
  </cols>
  <sheetData>
    <row r="1" spans="1:13" ht="18" x14ac:dyDescent="0.25">
      <c r="A1" s="119" t="s">
        <v>74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3" ht="15.75" x14ac:dyDescent="0.25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2" t="s">
        <v>2</v>
      </c>
    </row>
    <row r="3" spans="1:13" ht="15.75" x14ac:dyDescent="0.25">
      <c r="A3" s="3"/>
      <c r="B3" s="3"/>
      <c r="C3" s="3"/>
      <c r="D3" s="4"/>
      <c r="E3" s="5"/>
      <c r="F3" s="5"/>
      <c r="G3" s="5"/>
      <c r="H3" s="5"/>
      <c r="I3" s="5"/>
    </row>
    <row r="4" spans="1:13" s="14" customFormat="1" ht="45.75" thickBot="1" x14ac:dyDescent="0.3">
      <c r="A4" s="6"/>
      <c r="B4" s="7"/>
      <c r="C4" s="7"/>
      <c r="D4" s="7"/>
      <c r="E4" s="7"/>
      <c r="F4" s="7"/>
      <c r="G4" s="8"/>
      <c r="H4" s="9" t="s">
        <v>3</v>
      </c>
      <c r="I4" s="10" t="s">
        <v>4</v>
      </c>
      <c r="J4" s="11" t="s">
        <v>5</v>
      </c>
      <c r="K4" s="12" t="s">
        <v>6</v>
      </c>
      <c r="L4" s="12" t="s">
        <v>75</v>
      </c>
      <c r="M4" s="13" t="s">
        <v>7</v>
      </c>
    </row>
    <row r="5" spans="1:13" s="14" customFormat="1" ht="15" customHeight="1" thickBot="1" x14ac:dyDescent="0.3">
      <c r="A5" s="121" t="s">
        <v>8</v>
      </c>
      <c r="B5" s="121"/>
      <c r="C5" s="121"/>
      <c r="D5" s="121"/>
      <c r="E5" s="121"/>
      <c r="F5" s="121"/>
      <c r="G5" s="121"/>
      <c r="H5" s="121"/>
      <c r="I5" s="15">
        <v>71</v>
      </c>
      <c r="J5" s="16">
        <f>I5-K5-L5</f>
        <v>67.599999999999994</v>
      </c>
      <c r="K5" s="17">
        <v>2.2000000000000002</v>
      </c>
      <c r="L5" s="17">
        <v>1.2</v>
      </c>
      <c r="M5" s="18">
        <f>I5-SUM(J5:L5)</f>
        <v>0</v>
      </c>
    </row>
    <row r="6" spans="1:13" x14ac:dyDescent="0.25">
      <c r="A6" s="122" t="s">
        <v>11</v>
      </c>
      <c r="B6" s="122"/>
      <c r="C6" s="122"/>
      <c r="D6" s="122"/>
      <c r="E6" s="122"/>
      <c r="F6" s="122"/>
      <c r="G6" s="19"/>
      <c r="I6" s="20"/>
      <c r="J6" s="21"/>
      <c r="K6" s="20"/>
      <c r="L6" s="20"/>
      <c r="M6" s="22"/>
    </row>
    <row r="7" spans="1:13" x14ac:dyDescent="0.25">
      <c r="A7" s="23"/>
      <c r="G7" s="24"/>
      <c r="I7" s="25"/>
      <c r="J7" s="26"/>
      <c r="K7" s="25"/>
      <c r="L7" s="25"/>
      <c r="M7" s="27"/>
    </row>
    <row r="8" spans="1:13" x14ac:dyDescent="0.25">
      <c r="A8" s="110" t="s">
        <v>12</v>
      </c>
      <c r="B8" s="110"/>
      <c r="C8" s="110"/>
      <c r="D8" s="110"/>
      <c r="E8" s="110"/>
      <c r="F8" s="110"/>
      <c r="G8" s="29"/>
      <c r="I8" s="25"/>
      <c r="J8" s="26"/>
      <c r="K8" s="25"/>
      <c r="L8" s="25"/>
      <c r="M8" s="27"/>
    </row>
    <row r="9" spans="1:13" x14ac:dyDescent="0.25">
      <c r="A9" s="28"/>
      <c r="B9" s="30" t="s">
        <v>13</v>
      </c>
      <c r="C9" s="31"/>
      <c r="D9" s="31"/>
      <c r="E9" s="31"/>
      <c r="F9" s="31"/>
      <c r="G9" s="32" t="s">
        <v>14</v>
      </c>
      <c r="H9" s="33">
        <v>9900</v>
      </c>
      <c r="I9" s="34">
        <f>I10-I13</f>
        <v>4031145</v>
      </c>
      <c r="J9" s="34">
        <f>J10-J13</f>
        <v>3910766.2800000003</v>
      </c>
      <c r="K9" s="34">
        <f>K10-K13</f>
        <v>69082.490000000005</v>
      </c>
      <c r="L9" s="34">
        <f>L10-L13</f>
        <v>51296.229999999996</v>
      </c>
      <c r="M9" s="35">
        <f t="shared" ref="M9:M19" si="0">I9-SUM(J9:L9)</f>
        <v>0</v>
      </c>
    </row>
    <row r="10" spans="1:13" x14ac:dyDescent="0.25">
      <c r="A10" s="23"/>
      <c r="B10" s="36"/>
      <c r="C10" s="123" t="s">
        <v>15</v>
      </c>
      <c r="D10" s="123"/>
      <c r="E10" s="123"/>
      <c r="F10" s="123"/>
      <c r="G10" s="29"/>
      <c r="H10" s="33" t="s">
        <v>16</v>
      </c>
      <c r="I10" s="44">
        <f>4710583</f>
        <v>4710583</v>
      </c>
      <c r="J10" s="38">
        <f>I10-K10-L10</f>
        <v>4573982.79</v>
      </c>
      <c r="K10" s="39">
        <f>K12</f>
        <v>76600.210000000006</v>
      </c>
      <c r="L10" s="39">
        <f>L12</f>
        <v>60000</v>
      </c>
      <c r="M10" s="40">
        <f t="shared" si="0"/>
        <v>0</v>
      </c>
    </row>
    <row r="11" spans="1:13" x14ac:dyDescent="0.25">
      <c r="A11" s="23"/>
      <c r="B11" s="116"/>
      <c r="C11" s="116"/>
      <c r="D11" s="117" t="s">
        <v>17</v>
      </c>
      <c r="E11" s="117"/>
      <c r="F11" s="117"/>
      <c r="G11" s="29"/>
      <c r="H11" s="33">
        <v>70</v>
      </c>
      <c r="I11" s="39">
        <f>165570</f>
        <v>165570</v>
      </c>
      <c r="J11" s="38">
        <f>I11-K11</f>
        <v>165570</v>
      </c>
      <c r="K11" s="39"/>
      <c r="L11" s="39"/>
      <c r="M11" s="40">
        <f t="shared" si="0"/>
        <v>0</v>
      </c>
    </row>
    <row r="12" spans="1:13" ht="14.45" customHeight="1" x14ac:dyDescent="0.25">
      <c r="A12" s="23"/>
      <c r="D12" s="118" t="s">
        <v>18</v>
      </c>
      <c r="E12" s="118"/>
      <c r="F12" s="118"/>
      <c r="G12" s="41"/>
      <c r="H12" s="33">
        <v>73</v>
      </c>
      <c r="I12" s="44">
        <f>4423948</f>
        <v>4423948</v>
      </c>
      <c r="J12" s="43">
        <f>I12-K12-L12</f>
        <v>4287347.79</v>
      </c>
      <c r="K12" s="44">
        <f>76600.21</f>
        <v>76600.210000000006</v>
      </c>
      <c r="L12" s="44">
        <f>60000</f>
        <v>60000</v>
      </c>
      <c r="M12" s="45">
        <f t="shared" si="0"/>
        <v>0</v>
      </c>
    </row>
    <row r="13" spans="1:13" ht="14.45" customHeight="1" x14ac:dyDescent="0.25">
      <c r="A13" s="23"/>
      <c r="B13" s="46"/>
      <c r="C13" s="113" t="s">
        <v>19</v>
      </c>
      <c r="D13" s="113"/>
      <c r="E13" s="113"/>
      <c r="F13" s="113"/>
      <c r="G13" s="29"/>
      <c r="H13" s="33" t="s">
        <v>20</v>
      </c>
      <c r="I13" s="44">
        <f>679438</f>
        <v>679438</v>
      </c>
      <c r="J13" s="43">
        <f>I13-K13-L13</f>
        <v>663216.51</v>
      </c>
      <c r="K13" s="44">
        <f>9493.32-489.01-315.14-1171.45</f>
        <v>7517.72</v>
      </c>
      <c r="L13" s="44">
        <f>9976.87-(423.5+132.8+356.48+360.32)</f>
        <v>8703.77</v>
      </c>
      <c r="M13" s="45">
        <f t="shared" si="0"/>
        <v>0</v>
      </c>
    </row>
    <row r="14" spans="1:13" ht="14.45" customHeight="1" x14ac:dyDescent="0.25">
      <c r="A14" s="23"/>
      <c r="B14" s="113" t="s">
        <v>21</v>
      </c>
      <c r="C14" s="113"/>
      <c r="D14" s="113"/>
      <c r="E14" s="113"/>
      <c r="F14" s="113"/>
      <c r="G14" s="29" t="s">
        <v>14</v>
      </c>
      <c r="H14" s="33">
        <v>62</v>
      </c>
      <c r="I14" s="39">
        <f>3734968</f>
        <v>3734968</v>
      </c>
      <c r="J14" s="38">
        <f>I14-K14-L14</f>
        <v>3556697.63</v>
      </c>
      <c r="K14" s="39">
        <f>112959.58</f>
        <v>112959.58</v>
      </c>
      <c r="L14" s="39">
        <f>65310.79</f>
        <v>65310.79</v>
      </c>
      <c r="M14" s="45">
        <f t="shared" si="0"/>
        <v>0</v>
      </c>
    </row>
    <row r="15" spans="1:13" ht="14.45" customHeight="1" x14ac:dyDescent="0.25">
      <c r="A15" s="23"/>
      <c r="B15" s="113" t="s">
        <v>22</v>
      </c>
      <c r="C15" s="113"/>
      <c r="D15" s="113"/>
      <c r="E15" s="113"/>
      <c r="F15" s="113"/>
      <c r="G15" s="29" t="s">
        <v>14</v>
      </c>
      <c r="H15" s="33">
        <v>630</v>
      </c>
      <c r="I15" s="44">
        <f>155264</f>
        <v>155264</v>
      </c>
      <c r="J15" s="43">
        <f>I15-K15</f>
        <v>154774.99</v>
      </c>
      <c r="K15" s="44">
        <f>489.01</f>
        <v>489.01</v>
      </c>
      <c r="L15" s="44"/>
      <c r="M15" s="45">
        <f t="shared" si="0"/>
        <v>0</v>
      </c>
    </row>
    <row r="16" spans="1:13" ht="14.45" customHeight="1" x14ac:dyDescent="0.25">
      <c r="A16" s="23"/>
      <c r="B16" s="113" t="s">
        <v>23</v>
      </c>
      <c r="C16" s="113"/>
      <c r="D16" s="113"/>
      <c r="E16" s="113"/>
      <c r="F16" s="113"/>
      <c r="G16" s="29" t="s">
        <v>14</v>
      </c>
      <c r="H16" s="33" t="s">
        <v>24</v>
      </c>
      <c r="I16" s="44">
        <f>10928</f>
        <v>10928</v>
      </c>
      <c r="J16" s="43">
        <f>I16-K16</f>
        <v>10928</v>
      </c>
      <c r="K16" s="44"/>
      <c r="L16" s="44"/>
      <c r="M16" s="45">
        <f t="shared" si="0"/>
        <v>0</v>
      </c>
    </row>
    <row r="17" spans="1:15" ht="14.45" customHeight="1" x14ac:dyDescent="0.25">
      <c r="A17" s="23"/>
      <c r="B17" s="113" t="s">
        <v>25</v>
      </c>
      <c r="C17" s="113"/>
      <c r="D17" s="113"/>
      <c r="E17" s="113"/>
      <c r="F17" s="113"/>
      <c r="G17" s="29" t="s">
        <v>14</v>
      </c>
      <c r="H17" s="33" t="s">
        <v>26</v>
      </c>
      <c r="I17" s="44">
        <v>0</v>
      </c>
      <c r="J17" s="43">
        <f>I17</f>
        <v>0</v>
      </c>
      <c r="K17" s="44"/>
      <c r="L17" s="44"/>
      <c r="M17" s="45">
        <f t="shared" si="0"/>
        <v>0</v>
      </c>
    </row>
    <row r="18" spans="1:15" ht="14.45" customHeight="1" x14ac:dyDescent="0.25">
      <c r="A18" s="23"/>
      <c r="B18" s="114" t="s">
        <v>27</v>
      </c>
      <c r="C18" s="114"/>
      <c r="D18" s="114"/>
      <c r="E18" s="114"/>
      <c r="F18" s="114"/>
      <c r="G18" s="29"/>
      <c r="H18" s="33" t="s">
        <v>28</v>
      </c>
      <c r="I18" s="44">
        <f>89381</f>
        <v>89381</v>
      </c>
      <c r="J18" s="43">
        <f>I18-K18-L18</f>
        <v>86621.31</v>
      </c>
      <c r="K18" s="44">
        <f>315.14+1171.45</f>
        <v>1486.5900000000001</v>
      </c>
      <c r="L18" s="44">
        <f>423.5+132.8+356.48+360.32</f>
        <v>1273.0999999999999</v>
      </c>
      <c r="M18" s="45">
        <f t="shared" si="0"/>
        <v>0</v>
      </c>
    </row>
    <row r="19" spans="1:15" ht="14.45" customHeight="1" x14ac:dyDescent="0.25">
      <c r="A19" s="23"/>
      <c r="B19" s="113" t="s">
        <v>29</v>
      </c>
      <c r="C19" s="113"/>
      <c r="D19" s="113"/>
      <c r="E19" s="113"/>
      <c r="F19" s="113"/>
      <c r="G19" s="29" t="s">
        <v>30</v>
      </c>
      <c r="H19" s="33">
        <v>649</v>
      </c>
      <c r="I19" s="44"/>
      <c r="J19" s="43"/>
      <c r="K19" s="44"/>
      <c r="L19" s="44"/>
      <c r="M19" s="45">
        <f t="shared" si="0"/>
        <v>0</v>
      </c>
      <c r="O19" s="49"/>
    </row>
    <row r="20" spans="1:15" x14ac:dyDescent="0.25">
      <c r="A20" s="23"/>
      <c r="B20" s="47"/>
      <c r="C20" s="4"/>
      <c r="D20" s="36"/>
      <c r="E20" s="36"/>
      <c r="F20" s="36"/>
      <c r="G20" s="29"/>
      <c r="H20" s="33"/>
      <c r="I20" s="48"/>
      <c r="J20" s="49"/>
      <c r="K20" s="50"/>
      <c r="L20" s="50"/>
      <c r="M20" s="51"/>
    </row>
    <row r="21" spans="1:15" s="54" customFormat="1" x14ac:dyDescent="0.25">
      <c r="A21" s="115" t="s">
        <v>31</v>
      </c>
      <c r="B21" s="115"/>
      <c r="C21" s="115"/>
      <c r="D21" s="115"/>
      <c r="E21" s="115"/>
      <c r="F21" s="115"/>
      <c r="G21" s="52" t="s">
        <v>14</v>
      </c>
      <c r="H21" s="53">
        <v>9901</v>
      </c>
      <c r="I21" s="44">
        <f>I9-I14-I15-I16-I17-I18-I19</f>
        <v>40604</v>
      </c>
      <c r="J21" s="44">
        <f>J9-J14-J15-J16-J17-J18-J19</f>
        <v>101744.35000000038</v>
      </c>
      <c r="K21" s="44">
        <f>K9-K14-K15-K16-K17-K18-K19</f>
        <v>-45852.69</v>
      </c>
      <c r="L21" s="44">
        <f>L9-L14-L15-L16-L17-L18-L19</f>
        <v>-15287.660000000005</v>
      </c>
      <c r="M21" s="45">
        <f>M9-M14-M15-M16-M17-M18-M19</f>
        <v>0</v>
      </c>
    </row>
    <row r="22" spans="1:15" s="54" customFormat="1" x14ac:dyDescent="0.25">
      <c r="A22" s="55"/>
      <c r="B22" s="116"/>
      <c r="C22" s="116"/>
      <c r="D22" s="116"/>
      <c r="E22" s="116"/>
      <c r="F22" s="116"/>
      <c r="G22" s="52"/>
      <c r="H22" s="53"/>
      <c r="I22" s="56"/>
      <c r="J22" s="57"/>
      <c r="K22" s="58"/>
      <c r="L22" s="58"/>
      <c r="M22" s="59"/>
    </row>
    <row r="23" spans="1:15" x14ac:dyDescent="0.25">
      <c r="A23" s="60" t="s">
        <v>32</v>
      </c>
      <c r="B23" s="61"/>
      <c r="C23" s="61"/>
      <c r="D23" s="61"/>
      <c r="E23" s="61"/>
      <c r="F23" s="61"/>
      <c r="G23" s="24"/>
      <c r="H23" s="33">
        <v>75</v>
      </c>
      <c r="I23" s="39">
        <f>378</f>
        <v>378</v>
      </c>
      <c r="J23" s="38">
        <f>378</f>
        <v>378</v>
      </c>
      <c r="K23" s="39"/>
      <c r="L23" s="39"/>
      <c r="M23" s="40">
        <f>I23-SUM(J23:L23)</f>
        <v>0</v>
      </c>
    </row>
    <row r="24" spans="1:15" x14ac:dyDescent="0.25">
      <c r="A24" s="60"/>
      <c r="B24" s="61"/>
      <c r="C24" s="61"/>
      <c r="D24" s="61"/>
      <c r="E24" s="61"/>
      <c r="F24" s="61"/>
      <c r="G24" s="24"/>
      <c r="H24" s="33"/>
      <c r="I24" s="56"/>
      <c r="J24" s="57"/>
      <c r="K24" s="58"/>
      <c r="L24" s="58"/>
      <c r="M24" s="59"/>
    </row>
    <row r="25" spans="1:15" x14ac:dyDescent="0.25">
      <c r="A25" s="110" t="s">
        <v>33</v>
      </c>
      <c r="B25" s="110"/>
      <c r="C25" s="110"/>
      <c r="D25" s="110"/>
      <c r="E25" s="110"/>
      <c r="F25" s="110"/>
      <c r="G25" s="24"/>
      <c r="H25" s="33">
        <v>65</v>
      </c>
      <c r="I25" s="64">
        <f>17019</f>
        <v>17019</v>
      </c>
      <c r="J25" s="63">
        <f>I25-K25</f>
        <v>17019</v>
      </c>
      <c r="K25" s="64"/>
      <c r="L25" s="64"/>
      <c r="M25" s="65">
        <f>I25-SUM(J25:L25)</f>
        <v>0</v>
      </c>
    </row>
    <row r="26" spans="1:15" x14ac:dyDescent="0.25">
      <c r="A26" s="28"/>
      <c r="B26" s="31"/>
      <c r="C26" s="31"/>
      <c r="D26" s="31"/>
      <c r="E26" s="31"/>
      <c r="F26" s="31"/>
      <c r="G26" s="24"/>
      <c r="H26" s="33"/>
      <c r="I26" s="66"/>
      <c r="J26" s="67"/>
      <c r="K26" s="68"/>
      <c r="L26" s="68"/>
      <c r="M26" s="69"/>
    </row>
    <row r="27" spans="1:15" x14ac:dyDescent="0.25">
      <c r="A27" s="111" t="s">
        <v>34</v>
      </c>
      <c r="B27" s="111"/>
      <c r="C27" s="111"/>
      <c r="D27" s="111"/>
      <c r="E27" s="111"/>
      <c r="F27" s="111"/>
      <c r="G27" s="70" t="s">
        <v>14</v>
      </c>
      <c r="H27" s="33">
        <v>9902</v>
      </c>
      <c r="I27" s="44">
        <f>I21+I23-I25</f>
        <v>23963</v>
      </c>
      <c r="J27" s="44">
        <f>J21+J23-J25</f>
        <v>85103.350000000384</v>
      </c>
      <c r="K27" s="44">
        <f>K21+K23-K25</f>
        <v>-45852.69</v>
      </c>
      <c r="L27" s="44">
        <f>L21+L23-L25</f>
        <v>-15287.660000000005</v>
      </c>
      <c r="M27" s="45">
        <f>M21+M23-M25</f>
        <v>0</v>
      </c>
    </row>
    <row r="28" spans="1:15" x14ac:dyDescent="0.25">
      <c r="A28" s="23"/>
      <c r="G28" s="24"/>
      <c r="H28" s="33"/>
      <c r="I28" s="48"/>
      <c r="J28" s="49"/>
      <c r="K28" s="50"/>
      <c r="L28" s="50"/>
      <c r="M28" s="51"/>
    </row>
    <row r="29" spans="1:15" x14ac:dyDescent="0.25">
      <c r="A29" s="110" t="s">
        <v>35</v>
      </c>
      <c r="B29" s="110"/>
      <c r="C29" s="110"/>
      <c r="D29" s="110"/>
      <c r="E29" s="110"/>
      <c r="F29" s="110"/>
      <c r="G29" s="24"/>
      <c r="H29" s="33">
        <v>76</v>
      </c>
      <c r="I29" s="39">
        <f>351</f>
        <v>351</v>
      </c>
      <c r="J29" s="38">
        <f>I29-K29</f>
        <v>351</v>
      </c>
      <c r="K29" s="39"/>
      <c r="L29" s="39"/>
      <c r="M29" s="40">
        <f>I29-SUM(J29:L29)</f>
        <v>0</v>
      </c>
    </row>
    <row r="30" spans="1:15" x14ac:dyDescent="0.25">
      <c r="A30" s="28"/>
      <c r="B30" s="31"/>
      <c r="C30" s="31"/>
      <c r="D30" s="31"/>
      <c r="E30" s="31"/>
      <c r="F30" s="31"/>
      <c r="G30" s="24"/>
      <c r="H30" s="33"/>
      <c r="I30" s="56"/>
      <c r="J30" s="57"/>
      <c r="K30" s="58"/>
      <c r="L30" s="58"/>
      <c r="M30" s="59"/>
    </row>
    <row r="31" spans="1:15" x14ac:dyDescent="0.25">
      <c r="A31" s="110" t="s">
        <v>36</v>
      </c>
      <c r="B31" s="110"/>
      <c r="C31" s="110"/>
      <c r="D31" s="110"/>
      <c r="E31" s="110"/>
      <c r="F31" s="110"/>
      <c r="G31" s="24"/>
      <c r="H31" s="33">
        <v>66</v>
      </c>
      <c r="I31" s="64">
        <f>32363</f>
        <v>32363</v>
      </c>
      <c r="J31" s="63">
        <f>I31-K31</f>
        <v>32363</v>
      </c>
      <c r="K31" s="64"/>
      <c r="L31" s="64"/>
      <c r="M31" s="65">
        <f>I31-SUM(J31:L31)</f>
        <v>0</v>
      </c>
    </row>
    <row r="32" spans="1:15" x14ac:dyDescent="0.25">
      <c r="A32" s="23"/>
      <c r="G32" s="24"/>
      <c r="H32" s="33"/>
      <c r="I32" s="48"/>
      <c r="J32" s="49"/>
      <c r="K32" s="50"/>
      <c r="L32" s="50"/>
      <c r="M32" s="51"/>
    </row>
    <row r="33" spans="1:13" s="54" customFormat="1" x14ac:dyDescent="0.25">
      <c r="A33" s="112" t="s">
        <v>37</v>
      </c>
      <c r="B33" s="112"/>
      <c r="C33" s="112"/>
      <c r="D33" s="112"/>
      <c r="E33" s="112"/>
      <c r="F33" s="112"/>
      <c r="G33" s="71" t="s">
        <v>14</v>
      </c>
      <c r="H33" s="53">
        <v>9904</v>
      </c>
      <c r="I33" s="44">
        <f>I27+I29-I31</f>
        <v>-8049</v>
      </c>
      <c r="J33" s="44">
        <f>J27+J29-J31</f>
        <v>53091.350000000384</v>
      </c>
      <c r="K33" s="44">
        <f>K27+K29-K31</f>
        <v>-45852.69</v>
      </c>
      <c r="L33" s="44">
        <f>L27+L29-L31</f>
        <v>-15287.660000000005</v>
      </c>
      <c r="M33" s="45">
        <f>M27+M29-M31</f>
        <v>0</v>
      </c>
    </row>
    <row r="34" spans="1:13" ht="8.25" customHeight="1" thickBot="1" x14ac:dyDescent="0.3">
      <c r="A34" s="72"/>
      <c r="B34" s="73"/>
      <c r="C34" s="73"/>
      <c r="D34" s="73"/>
      <c r="E34" s="73"/>
      <c r="F34" s="73"/>
      <c r="G34" s="74"/>
      <c r="H34" s="75"/>
      <c r="I34" s="62"/>
      <c r="J34" s="76"/>
      <c r="K34" s="62"/>
      <c r="L34" s="62"/>
      <c r="M34" s="77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M21 I27:M27 I33:M33">
    <cfRule type="cellIs" dxfId="1" priority="2" stopIfTrue="1" operator="lessThan">
      <formula>0</formula>
    </cfRule>
  </conditionalFormatting>
  <conditionalFormatting sqref="I21:M21 I27:M27 I33:M33">
    <cfRule type="cellIs" dxfId="0" priority="1" stopIfTrue="1" operator="greaterThanOrEqual">
      <formula>0</formula>
    </cfRule>
  </conditionalFormatting>
  <pageMargins left="0.70000000000000007" right="0.70000000000000007" top="0.75" bottom="0.75" header="0.30000000000000004" footer="0.30000000000000004"/>
  <pageSetup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activeCell="E38" sqref="A1:E38"/>
    </sheetView>
  </sheetViews>
  <sheetFormatPr defaultRowHeight="15" x14ac:dyDescent="0.25"/>
  <cols>
    <col min="1" max="1" width="27.42578125" customWidth="1"/>
    <col min="2" max="2" width="59.140625" customWidth="1"/>
    <col min="3" max="4" width="22.7109375" customWidth="1"/>
    <col min="5" max="5" width="11.7109375" customWidth="1"/>
    <col min="6" max="256" width="8.85546875" customWidth="1"/>
    <col min="257" max="257" width="27.42578125" customWidth="1"/>
    <col min="258" max="258" width="59.140625" customWidth="1"/>
    <col min="259" max="260" width="22.7109375" customWidth="1"/>
    <col min="261" max="261" width="11.7109375" customWidth="1"/>
    <col min="262" max="512" width="8.85546875" customWidth="1"/>
    <col min="513" max="513" width="27.42578125" customWidth="1"/>
    <col min="514" max="514" width="59.140625" customWidth="1"/>
    <col min="515" max="516" width="22.7109375" customWidth="1"/>
    <col min="517" max="517" width="11.7109375" customWidth="1"/>
    <col min="518" max="768" width="8.85546875" customWidth="1"/>
    <col min="769" max="769" width="27.42578125" customWidth="1"/>
    <col min="770" max="770" width="59.140625" customWidth="1"/>
    <col min="771" max="772" width="22.7109375" customWidth="1"/>
    <col min="773" max="773" width="11.7109375" customWidth="1"/>
    <col min="774" max="1024" width="8.85546875" customWidth="1"/>
    <col min="1025" max="1025" width="27.42578125" customWidth="1"/>
    <col min="1026" max="1026" width="59.140625" customWidth="1"/>
    <col min="1027" max="1028" width="22.7109375" customWidth="1"/>
    <col min="1029" max="1029" width="11.7109375" customWidth="1"/>
    <col min="1030" max="1280" width="8.85546875" customWidth="1"/>
    <col min="1281" max="1281" width="27.42578125" customWidth="1"/>
    <col min="1282" max="1282" width="59.140625" customWidth="1"/>
    <col min="1283" max="1284" width="22.7109375" customWidth="1"/>
    <col min="1285" max="1285" width="11.7109375" customWidth="1"/>
    <col min="1286" max="1536" width="8.85546875" customWidth="1"/>
    <col min="1537" max="1537" width="27.42578125" customWidth="1"/>
    <col min="1538" max="1538" width="59.140625" customWidth="1"/>
    <col min="1539" max="1540" width="22.7109375" customWidth="1"/>
    <col min="1541" max="1541" width="11.7109375" customWidth="1"/>
    <col min="1542" max="1792" width="8.85546875" customWidth="1"/>
    <col min="1793" max="1793" width="27.42578125" customWidth="1"/>
    <col min="1794" max="1794" width="59.140625" customWidth="1"/>
    <col min="1795" max="1796" width="22.7109375" customWidth="1"/>
    <col min="1797" max="1797" width="11.7109375" customWidth="1"/>
    <col min="1798" max="2048" width="8.85546875" customWidth="1"/>
    <col min="2049" max="2049" width="27.42578125" customWidth="1"/>
    <col min="2050" max="2050" width="59.140625" customWidth="1"/>
    <col min="2051" max="2052" width="22.7109375" customWidth="1"/>
    <col min="2053" max="2053" width="11.7109375" customWidth="1"/>
    <col min="2054" max="2304" width="8.85546875" customWidth="1"/>
    <col min="2305" max="2305" width="27.42578125" customWidth="1"/>
    <col min="2306" max="2306" width="59.140625" customWidth="1"/>
    <col min="2307" max="2308" width="22.7109375" customWidth="1"/>
    <col min="2309" max="2309" width="11.7109375" customWidth="1"/>
    <col min="2310" max="2560" width="8.85546875" customWidth="1"/>
    <col min="2561" max="2561" width="27.42578125" customWidth="1"/>
    <col min="2562" max="2562" width="59.140625" customWidth="1"/>
    <col min="2563" max="2564" width="22.7109375" customWidth="1"/>
    <col min="2565" max="2565" width="11.7109375" customWidth="1"/>
    <col min="2566" max="2816" width="8.85546875" customWidth="1"/>
    <col min="2817" max="2817" width="27.42578125" customWidth="1"/>
    <col min="2818" max="2818" width="59.140625" customWidth="1"/>
    <col min="2819" max="2820" width="22.7109375" customWidth="1"/>
    <col min="2821" max="2821" width="11.7109375" customWidth="1"/>
    <col min="2822" max="3072" width="8.85546875" customWidth="1"/>
    <col min="3073" max="3073" width="27.42578125" customWidth="1"/>
    <col min="3074" max="3074" width="59.140625" customWidth="1"/>
    <col min="3075" max="3076" width="22.7109375" customWidth="1"/>
    <col min="3077" max="3077" width="11.7109375" customWidth="1"/>
    <col min="3078" max="3328" width="8.85546875" customWidth="1"/>
    <col min="3329" max="3329" width="27.42578125" customWidth="1"/>
    <col min="3330" max="3330" width="59.140625" customWidth="1"/>
    <col min="3331" max="3332" width="22.7109375" customWidth="1"/>
    <col min="3333" max="3333" width="11.7109375" customWidth="1"/>
    <col min="3334" max="3584" width="8.85546875" customWidth="1"/>
    <col min="3585" max="3585" width="27.42578125" customWidth="1"/>
    <col min="3586" max="3586" width="59.140625" customWidth="1"/>
    <col min="3587" max="3588" width="22.7109375" customWidth="1"/>
    <col min="3589" max="3589" width="11.7109375" customWidth="1"/>
    <col min="3590" max="3840" width="8.85546875" customWidth="1"/>
    <col min="3841" max="3841" width="27.42578125" customWidth="1"/>
    <col min="3842" max="3842" width="59.140625" customWidth="1"/>
    <col min="3843" max="3844" width="22.7109375" customWidth="1"/>
    <col min="3845" max="3845" width="11.7109375" customWidth="1"/>
    <col min="3846" max="4096" width="8.85546875" customWidth="1"/>
    <col min="4097" max="4097" width="27.42578125" customWidth="1"/>
    <col min="4098" max="4098" width="59.140625" customWidth="1"/>
    <col min="4099" max="4100" width="22.7109375" customWidth="1"/>
    <col min="4101" max="4101" width="11.7109375" customWidth="1"/>
    <col min="4102" max="4352" width="8.85546875" customWidth="1"/>
    <col min="4353" max="4353" width="27.42578125" customWidth="1"/>
    <col min="4354" max="4354" width="59.140625" customWidth="1"/>
    <col min="4355" max="4356" width="22.7109375" customWidth="1"/>
    <col min="4357" max="4357" width="11.7109375" customWidth="1"/>
    <col min="4358" max="4608" width="8.85546875" customWidth="1"/>
    <col min="4609" max="4609" width="27.42578125" customWidth="1"/>
    <col min="4610" max="4610" width="59.140625" customWidth="1"/>
    <col min="4611" max="4612" width="22.7109375" customWidth="1"/>
    <col min="4613" max="4613" width="11.7109375" customWidth="1"/>
    <col min="4614" max="4864" width="8.85546875" customWidth="1"/>
    <col min="4865" max="4865" width="27.42578125" customWidth="1"/>
    <col min="4866" max="4866" width="59.140625" customWidth="1"/>
    <col min="4867" max="4868" width="22.7109375" customWidth="1"/>
    <col min="4869" max="4869" width="11.7109375" customWidth="1"/>
    <col min="4870" max="5120" width="8.85546875" customWidth="1"/>
    <col min="5121" max="5121" width="27.42578125" customWidth="1"/>
    <col min="5122" max="5122" width="59.140625" customWidth="1"/>
    <col min="5123" max="5124" width="22.7109375" customWidth="1"/>
    <col min="5125" max="5125" width="11.7109375" customWidth="1"/>
    <col min="5126" max="5376" width="8.85546875" customWidth="1"/>
    <col min="5377" max="5377" width="27.42578125" customWidth="1"/>
    <col min="5378" max="5378" width="59.140625" customWidth="1"/>
    <col min="5379" max="5380" width="22.7109375" customWidth="1"/>
    <col min="5381" max="5381" width="11.7109375" customWidth="1"/>
    <col min="5382" max="5632" width="8.85546875" customWidth="1"/>
    <col min="5633" max="5633" width="27.42578125" customWidth="1"/>
    <col min="5634" max="5634" width="59.140625" customWidth="1"/>
    <col min="5635" max="5636" width="22.7109375" customWidth="1"/>
    <col min="5637" max="5637" width="11.7109375" customWidth="1"/>
    <col min="5638" max="5888" width="8.85546875" customWidth="1"/>
    <col min="5889" max="5889" width="27.42578125" customWidth="1"/>
    <col min="5890" max="5890" width="59.140625" customWidth="1"/>
    <col min="5891" max="5892" width="22.7109375" customWidth="1"/>
    <col min="5893" max="5893" width="11.7109375" customWidth="1"/>
    <col min="5894" max="6144" width="8.85546875" customWidth="1"/>
    <col min="6145" max="6145" width="27.42578125" customWidth="1"/>
    <col min="6146" max="6146" width="59.140625" customWidth="1"/>
    <col min="6147" max="6148" width="22.7109375" customWidth="1"/>
    <col min="6149" max="6149" width="11.7109375" customWidth="1"/>
    <col min="6150" max="6400" width="8.85546875" customWidth="1"/>
    <col min="6401" max="6401" width="27.42578125" customWidth="1"/>
    <col min="6402" max="6402" width="59.140625" customWidth="1"/>
    <col min="6403" max="6404" width="22.7109375" customWidth="1"/>
    <col min="6405" max="6405" width="11.7109375" customWidth="1"/>
    <col min="6406" max="6656" width="8.85546875" customWidth="1"/>
    <col min="6657" max="6657" width="27.42578125" customWidth="1"/>
    <col min="6658" max="6658" width="59.140625" customWidth="1"/>
    <col min="6659" max="6660" width="22.7109375" customWidth="1"/>
    <col min="6661" max="6661" width="11.7109375" customWidth="1"/>
    <col min="6662" max="6912" width="8.85546875" customWidth="1"/>
    <col min="6913" max="6913" width="27.42578125" customWidth="1"/>
    <col min="6914" max="6914" width="59.140625" customWidth="1"/>
    <col min="6915" max="6916" width="22.7109375" customWidth="1"/>
    <col min="6917" max="6917" width="11.7109375" customWidth="1"/>
    <col min="6918" max="7168" width="8.85546875" customWidth="1"/>
    <col min="7169" max="7169" width="27.42578125" customWidth="1"/>
    <col min="7170" max="7170" width="59.140625" customWidth="1"/>
    <col min="7171" max="7172" width="22.7109375" customWidth="1"/>
    <col min="7173" max="7173" width="11.7109375" customWidth="1"/>
    <col min="7174" max="7424" width="8.85546875" customWidth="1"/>
    <col min="7425" max="7425" width="27.42578125" customWidth="1"/>
    <col min="7426" max="7426" width="59.140625" customWidth="1"/>
    <col min="7427" max="7428" width="22.7109375" customWidth="1"/>
    <col min="7429" max="7429" width="11.7109375" customWidth="1"/>
    <col min="7430" max="7680" width="8.85546875" customWidth="1"/>
    <col min="7681" max="7681" width="27.42578125" customWidth="1"/>
    <col min="7682" max="7682" width="59.140625" customWidth="1"/>
    <col min="7683" max="7684" width="22.7109375" customWidth="1"/>
    <col min="7685" max="7685" width="11.7109375" customWidth="1"/>
    <col min="7686" max="7936" width="8.85546875" customWidth="1"/>
    <col min="7937" max="7937" width="27.42578125" customWidth="1"/>
    <col min="7938" max="7938" width="59.140625" customWidth="1"/>
    <col min="7939" max="7940" width="22.7109375" customWidth="1"/>
    <col min="7941" max="7941" width="11.7109375" customWidth="1"/>
    <col min="7942" max="8192" width="8.85546875" customWidth="1"/>
    <col min="8193" max="8193" width="27.42578125" customWidth="1"/>
    <col min="8194" max="8194" width="59.140625" customWidth="1"/>
    <col min="8195" max="8196" width="22.7109375" customWidth="1"/>
    <col min="8197" max="8197" width="11.7109375" customWidth="1"/>
    <col min="8198" max="8448" width="8.85546875" customWidth="1"/>
    <col min="8449" max="8449" width="27.42578125" customWidth="1"/>
    <col min="8450" max="8450" width="59.140625" customWidth="1"/>
    <col min="8451" max="8452" width="22.7109375" customWidth="1"/>
    <col min="8453" max="8453" width="11.7109375" customWidth="1"/>
    <col min="8454" max="8704" width="8.85546875" customWidth="1"/>
    <col min="8705" max="8705" width="27.42578125" customWidth="1"/>
    <col min="8706" max="8706" width="59.140625" customWidth="1"/>
    <col min="8707" max="8708" width="22.7109375" customWidth="1"/>
    <col min="8709" max="8709" width="11.7109375" customWidth="1"/>
    <col min="8710" max="8960" width="8.85546875" customWidth="1"/>
    <col min="8961" max="8961" width="27.42578125" customWidth="1"/>
    <col min="8962" max="8962" width="59.140625" customWidth="1"/>
    <col min="8963" max="8964" width="22.7109375" customWidth="1"/>
    <col min="8965" max="8965" width="11.7109375" customWidth="1"/>
    <col min="8966" max="9216" width="8.85546875" customWidth="1"/>
    <col min="9217" max="9217" width="27.42578125" customWidth="1"/>
    <col min="9218" max="9218" width="59.140625" customWidth="1"/>
    <col min="9219" max="9220" width="22.7109375" customWidth="1"/>
    <col min="9221" max="9221" width="11.7109375" customWidth="1"/>
    <col min="9222" max="9472" width="8.85546875" customWidth="1"/>
    <col min="9473" max="9473" width="27.42578125" customWidth="1"/>
    <col min="9474" max="9474" width="59.140625" customWidth="1"/>
    <col min="9475" max="9476" width="22.7109375" customWidth="1"/>
    <col min="9477" max="9477" width="11.7109375" customWidth="1"/>
    <col min="9478" max="9728" width="8.85546875" customWidth="1"/>
    <col min="9729" max="9729" width="27.42578125" customWidth="1"/>
    <col min="9730" max="9730" width="59.140625" customWidth="1"/>
    <col min="9731" max="9732" width="22.7109375" customWidth="1"/>
    <col min="9733" max="9733" width="11.7109375" customWidth="1"/>
    <col min="9734" max="9984" width="8.85546875" customWidth="1"/>
    <col min="9985" max="9985" width="27.42578125" customWidth="1"/>
    <col min="9986" max="9986" width="59.140625" customWidth="1"/>
    <col min="9987" max="9988" width="22.7109375" customWidth="1"/>
    <col min="9989" max="9989" width="11.7109375" customWidth="1"/>
    <col min="9990" max="10240" width="8.85546875" customWidth="1"/>
    <col min="10241" max="10241" width="27.42578125" customWidth="1"/>
    <col min="10242" max="10242" width="59.140625" customWidth="1"/>
    <col min="10243" max="10244" width="22.7109375" customWidth="1"/>
    <col min="10245" max="10245" width="11.7109375" customWidth="1"/>
    <col min="10246" max="10496" width="8.85546875" customWidth="1"/>
    <col min="10497" max="10497" width="27.42578125" customWidth="1"/>
    <col min="10498" max="10498" width="59.140625" customWidth="1"/>
    <col min="10499" max="10500" width="22.7109375" customWidth="1"/>
    <col min="10501" max="10501" width="11.7109375" customWidth="1"/>
    <col min="10502" max="10752" width="8.85546875" customWidth="1"/>
    <col min="10753" max="10753" width="27.42578125" customWidth="1"/>
    <col min="10754" max="10754" width="59.140625" customWidth="1"/>
    <col min="10755" max="10756" width="22.7109375" customWidth="1"/>
    <col min="10757" max="10757" width="11.7109375" customWidth="1"/>
    <col min="10758" max="11008" width="8.85546875" customWidth="1"/>
    <col min="11009" max="11009" width="27.42578125" customWidth="1"/>
    <col min="11010" max="11010" width="59.140625" customWidth="1"/>
    <col min="11011" max="11012" width="22.7109375" customWidth="1"/>
    <col min="11013" max="11013" width="11.7109375" customWidth="1"/>
    <col min="11014" max="11264" width="8.85546875" customWidth="1"/>
    <col min="11265" max="11265" width="27.42578125" customWidth="1"/>
    <col min="11266" max="11266" width="59.140625" customWidth="1"/>
    <col min="11267" max="11268" width="22.7109375" customWidth="1"/>
    <col min="11269" max="11269" width="11.7109375" customWidth="1"/>
    <col min="11270" max="11520" width="8.85546875" customWidth="1"/>
    <col min="11521" max="11521" width="27.42578125" customWidth="1"/>
    <col min="11522" max="11522" width="59.140625" customWidth="1"/>
    <col min="11523" max="11524" width="22.7109375" customWidth="1"/>
    <col min="11525" max="11525" width="11.7109375" customWidth="1"/>
    <col min="11526" max="11776" width="8.85546875" customWidth="1"/>
    <col min="11777" max="11777" width="27.42578125" customWidth="1"/>
    <col min="11778" max="11778" width="59.140625" customWidth="1"/>
    <col min="11779" max="11780" width="22.7109375" customWidth="1"/>
    <col min="11781" max="11781" width="11.7109375" customWidth="1"/>
    <col min="11782" max="12032" width="8.85546875" customWidth="1"/>
    <col min="12033" max="12033" width="27.42578125" customWidth="1"/>
    <col min="12034" max="12034" width="59.140625" customWidth="1"/>
    <col min="12035" max="12036" width="22.7109375" customWidth="1"/>
    <col min="12037" max="12037" width="11.7109375" customWidth="1"/>
    <col min="12038" max="12288" width="8.85546875" customWidth="1"/>
    <col min="12289" max="12289" width="27.42578125" customWidth="1"/>
    <col min="12290" max="12290" width="59.140625" customWidth="1"/>
    <col min="12291" max="12292" width="22.7109375" customWidth="1"/>
    <col min="12293" max="12293" width="11.7109375" customWidth="1"/>
    <col min="12294" max="12544" width="8.85546875" customWidth="1"/>
    <col min="12545" max="12545" width="27.42578125" customWidth="1"/>
    <col min="12546" max="12546" width="59.140625" customWidth="1"/>
    <col min="12547" max="12548" width="22.7109375" customWidth="1"/>
    <col min="12549" max="12549" width="11.7109375" customWidth="1"/>
    <col min="12550" max="12800" width="8.85546875" customWidth="1"/>
    <col min="12801" max="12801" width="27.42578125" customWidth="1"/>
    <col min="12802" max="12802" width="59.140625" customWidth="1"/>
    <col min="12803" max="12804" width="22.7109375" customWidth="1"/>
    <col min="12805" max="12805" width="11.7109375" customWidth="1"/>
    <col min="12806" max="13056" width="8.85546875" customWidth="1"/>
    <col min="13057" max="13057" width="27.42578125" customWidth="1"/>
    <col min="13058" max="13058" width="59.140625" customWidth="1"/>
    <col min="13059" max="13060" width="22.7109375" customWidth="1"/>
    <col min="13061" max="13061" width="11.7109375" customWidth="1"/>
    <col min="13062" max="13312" width="8.85546875" customWidth="1"/>
    <col min="13313" max="13313" width="27.42578125" customWidth="1"/>
    <col min="13314" max="13314" width="59.140625" customWidth="1"/>
    <col min="13315" max="13316" width="22.7109375" customWidth="1"/>
    <col min="13317" max="13317" width="11.7109375" customWidth="1"/>
    <col min="13318" max="13568" width="8.85546875" customWidth="1"/>
    <col min="13569" max="13569" width="27.42578125" customWidth="1"/>
    <col min="13570" max="13570" width="59.140625" customWidth="1"/>
    <col min="13571" max="13572" width="22.7109375" customWidth="1"/>
    <col min="13573" max="13573" width="11.7109375" customWidth="1"/>
    <col min="13574" max="13824" width="8.85546875" customWidth="1"/>
    <col min="13825" max="13825" width="27.42578125" customWidth="1"/>
    <col min="13826" max="13826" width="59.140625" customWidth="1"/>
    <col min="13827" max="13828" width="22.7109375" customWidth="1"/>
    <col min="13829" max="13829" width="11.7109375" customWidth="1"/>
    <col min="13830" max="14080" width="8.85546875" customWidth="1"/>
    <col min="14081" max="14081" width="27.42578125" customWidth="1"/>
    <col min="14082" max="14082" width="59.140625" customWidth="1"/>
    <col min="14083" max="14084" width="22.7109375" customWidth="1"/>
    <col min="14085" max="14085" width="11.7109375" customWidth="1"/>
    <col min="14086" max="14336" width="8.85546875" customWidth="1"/>
    <col min="14337" max="14337" width="27.42578125" customWidth="1"/>
    <col min="14338" max="14338" width="59.140625" customWidth="1"/>
    <col min="14339" max="14340" width="22.7109375" customWidth="1"/>
    <col min="14341" max="14341" width="11.7109375" customWidth="1"/>
    <col min="14342" max="14592" width="8.85546875" customWidth="1"/>
    <col min="14593" max="14593" width="27.42578125" customWidth="1"/>
    <col min="14594" max="14594" width="59.140625" customWidth="1"/>
    <col min="14595" max="14596" width="22.7109375" customWidth="1"/>
    <col min="14597" max="14597" width="11.7109375" customWidth="1"/>
    <col min="14598" max="14848" width="8.85546875" customWidth="1"/>
    <col min="14849" max="14849" width="27.42578125" customWidth="1"/>
    <col min="14850" max="14850" width="59.140625" customWidth="1"/>
    <col min="14851" max="14852" width="22.7109375" customWidth="1"/>
    <col min="14853" max="14853" width="11.7109375" customWidth="1"/>
    <col min="14854" max="15104" width="8.85546875" customWidth="1"/>
    <col min="15105" max="15105" width="27.42578125" customWidth="1"/>
    <col min="15106" max="15106" width="59.140625" customWidth="1"/>
    <col min="15107" max="15108" width="22.7109375" customWidth="1"/>
    <col min="15109" max="15109" width="11.7109375" customWidth="1"/>
    <col min="15110" max="15360" width="8.85546875" customWidth="1"/>
    <col min="15361" max="15361" width="27.42578125" customWidth="1"/>
    <col min="15362" max="15362" width="59.140625" customWidth="1"/>
    <col min="15363" max="15364" width="22.7109375" customWidth="1"/>
    <col min="15365" max="15365" width="11.7109375" customWidth="1"/>
    <col min="15366" max="15616" width="8.85546875" customWidth="1"/>
    <col min="15617" max="15617" width="27.42578125" customWidth="1"/>
    <col min="15618" max="15618" width="59.140625" customWidth="1"/>
    <col min="15619" max="15620" width="22.7109375" customWidth="1"/>
    <col min="15621" max="15621" width="11.7109375" customWidth="1"/>
    <col min="15622" max="15872" width="8.85546875" customWidth="1"/>
    <col min="15873" max="15873" width="27.42578125" customWidth="1"/>
    <col min="15874" max="15874" width="59.140625" customWidth="1"/>
    <col min="15875" max="15876" width="22.7109375" customWidth="1"/>
    <col min="15877" max="15877" width="11.7109375" customWidth="1"/>
    <col min="15878" max="16128" width="8.85546875" customWidth="1"/>
    <col min="16129" max="16129" width="27.42578125" customWidth="1"/>
    <col min="16130" max="16130" width="59.140625" customWidth="1"/>
    <col min="16131" max="16132" width="22.7109375" customWidth="1"/>
    <col min="16133" max="16133" width="11.7109375" customWidth="1"/>
    <col min="16134" max="16384" width="8.85546875" customWidth="1"/>
  </cols>
  <sheetData>
    <row r="1" spans="1:6" ht="15.75" x14ac:dyDescent="0.25">
      <c r="A1" s="78" t="s">
        <v>76</v>
      </c>
    </row>
    <row r="2" spans="1:6" ht="23.25" customHeight="1" x14ac:dyDescent="0.25">
      <c r="A2" s="79" t="s">
        <v>39</v>
      </c>
      <c r="B2" s="79"/>
    </row>
    <row r="3" spans="1:6" ht="15.75" thickBot="1" x14ac:dyDescent="0.3"/>
    <row r="4" spans="1:6" ht="15.75" thickBot="1" x14ac:dyDescent="0.3">
      <c r="A4" s="80">
        <v>73</v>
      </c>
      <c r="B4" s="124" t="s">
        <v>18</v>
      </c>
      <c r="C4" s="124"/>
      <c r="D4" s="81">
        <f>SUM(D5:D13)</f>
        <v>4423948.22</v>
      </c>
    </row>
    <row r="5" spans="1:6" x14ac:dyDescent="0.25">
      <c r="A5" s="82" t="s">
        <v>40</v>
      </c>
      <c r="B5" s="125" t="s">
        <v>41</v>
      </c>
      <c r="C5" s="125"/>
      <c r="D5" s="83">
        <v>0</v>
      </c>
    </row>
    <row r="6" spans="1:6" x14ac:dyDescent="0.25">
      <c r="A6" s="82" t="s">
        <v>42</v>
      </c>
      <c r="B6" s="126" t="s">
        <v>43</v>
      </c>
      <c r="C6" s="126"/>
      <c r="D6" s="83">
        <f>3962.08+2650</f>
        <v>6612.08</v>
      </c>
    </row>
    <row r="7" spans="1:6" ht="15.75" thickBot="1" x14ac:dyDescent="0.3">
      <c r="A7" s="84" t="s">
        <v>44</v>
      </c>
      <c r="B7" s="127" t="s">
        <v>45</v>
      </c>
      <c r="C7" s="127"/>
      <c r="D7" s="85">
        <v>0</v>
      </c>
    </row>
    <row r="8" spans="1:6" ht="12" customHeight="1" thickBot="1" x14ac:dyDescent="0.3">
      <c r="A8" s="86">
        <v>736</v>
      </c>
      <c r="B8" s="87" t="s">
        <v>46</v>
      </c>
      <c r="C8" s="88"/>
      <c r="D8" s="89">
        <f>29677.13+1742.4+603.74+978.71+0</f>
        <v>33001.980000000003</v>
      </c>
    </row>
    <row r="9" spans="1:6" ht="15.75" thickBot="1" x14ac:dyDescent="0.3">
      <c r="A9" s="86">
        <v>737</v>
      </c>
      <c r="B9" s="90" t="s">
        <v>47</v>
      </c>
      <c r="C9" s="88"/>
      <c r="D9" s="89">
        <f>3872060.42</f>
        <v>3872060.42</v>
      </c>
    </row>
    <row r="10" spans="1:6" ht="15.75" thickBot="1" x14ac:dyDescent="0.3">
      <c r="A10" s="86"/>
      <c r="B10" s="90" t="s">
        <v>48</v>
      </c>
      <c r="C10" s="88"/>
      <c r="D10" s="89">
        <f>76600.21</f>
        <v>76600.210000000006</v>
      </c>
      <c r="E10" s="109"/>
    </row>
    <row r="11" spans="1:6" ht="15.75" thickBot="1" x14ac:dyDescent="0.3">
      <c r="A11" s="86"/>
      <c r="B11" s="90" t="s">
        <v>77</v>
      </c>
      <c r="C11" s="88"/>
      <c r="D11" s="89">
        <f>60000</f>
        <v>60000</v>
      </c>
      <c r="E11" s="109"/>
    </row>
    <row r="12" spans="1:6" ht="15.75" thickBot="1" x14ac:dyDescent="0.3">
      <c r="A12" s="86"/>
      <c r="B12" s="90" t="s">
        <v>78</v>
      </c>
      <c r="C12" s="88"/>
      <c r="D12" s="89">
        <f>2000</f>
        <v>2000</v>
      </c>
      <c r="E12" s="109"/>
    </row>
    <row r="13" spans="1:6" ht="14.25" customHeight="1" thickBot="1" x14ac:dyDescent="0.3">
      <c r="A13" s="91" t="s">
        <v>49</v>
      </c>
      <c r="B13" s="128" t="s">
        <v>50</v>
      </c>
      <c r="C13" s="128"/>
      <c r="D13" s="92">
        <f>39745.41+59975.24+7436+3500+260986.88+2030</f>
        <v>373673.53</v>
      </c>
      <c r="E13" s="109"/>
    </row>
    <row r="14" spans="1:6" ht="15.75" thickBot="1" x14ac:dyDescent="0.3">
      <c r="A14" s="93" t="s">
        <v>51</v>
      </c>
      <c r="B14" s="94" t="s">
        <v>52</v>
      </c>
      <c r="C14" s="93" t="s">
        <v>53</v>
      </c>
      <c r="D14" s="95" t="s">
        <v>54</v>
      </c>
      <c r="F14" s="109"/>
    </row>
    <row r="15" spans="1:6" x14ac:dyDescent="0.25">
      <c r="A15" s="82"/>
      <c r="B15" s="96"/>
      <c r="C15" s="97"/>
      <c r="D15" s="83"/>
      <c r="E15" s="109"/>
    </row>
    <row r="16" spans="1:6" x14ac:dyDescent="0.25">
      <c r="A16" s="98" t="s">
        <v>55</v>
      </c>
      <c r="B16" s="96" t="s">
        <v>56</v>
      </c>
      <c r="C16" s="97" t="s">
        <v>55</v>
      </c>
      <c r="D16" s="83">
        <f>3709020.86</f>
        <v>3709020.86</v>
      </c>
      <c r="E16" s="109"/>
    </row>
    <row r="17" spans="1:5" x14ac:dyDescent="0.25">
      <c r="A17" s="98"/>
      <c r="B17" s="96" t="s">
        <v>79</v>
      </c>
      <c r="C17" s="97" t="s">
        <v>55</v>
      </c>
      <c r="D17" s="83">
        <f>33039.56</f>
        <v>33039.56</v>
      </c>
      <c r="E17" s="109"/>
    </row>
    <row r="18" spans="1:5" x14ac:dyDescent="0.25">
      <c r="A18" s="98"/>
      <c r="B18" s="96" t="s">
        <v>80</v>
      </c>
      <c r="C18" s="97" t="s">
        <v>55</v>
      </c>
      <c r="D18" s="83">
        <f>130000</f>
        <v>130000</v>
      </c>
      <c r="E18" s="109"/>
    </row>
    <row r="19" spans="1:5" x14ac:dyDescent="0.25">
      <c r="A19" s="82"/>
      <c r="B19" s="96" t="s">
        <v>57</v>
      </c>
      <c r="C19" s="97" t="s">
        <v>55</v>
      </c>
      <c r="D19" s="83">
        <f>76600.21</f>
        <v>76600.210000000006</v>
      </c>
    </row>
    <row r="20" spans="1:5" x14ac:dyDescent="0.25">
      <c r="A20" s="82"/>
      <c r="B20" s="96" t="s">
        <v>81</v>
      </c>
      <c r="C20" s="97" t="s">
        <v>55</v>
      </c>
      <c r="D20" s="83">
        <f>60000</f>
        <v>60000</v>
      </c>
    </row>
    <row r="21" spans="1:5" x14ac:dyDescent="0.25">
      <c r="A21" s="82"/>
      <c r="B21" s="96"/>
      <c r="C21" s="97"/>
      <c r="D21" s="83"/>
    </row>
    <row r="22" spans="1:5" ht="30" x14ac:dyDescent="0.25">
      <c r="A22" s="82" t="s">
        <v>82</v>
      </c>
      <c r="B22" s="96" t="s">
        <v>83</v>
      </c>
      <c r="C22" s="97" t="s">
        <v>84</v>
      </c>
      <c r="D22" s="83">
        <v>2000</v>
      </c>
    </row>
    <row r="23" spans="1:5" x14ac:dyDescent="0.25">
      <c r="A23" s="82"/>
      <c r="B23" s="96"/>
      <c r="C23" s="97"/>
      <c r="D23" s="83"/>
    </row>
    <row r="24" spans="1:5" x14ac:dyDescent="0.25">
      <c r="A24" s="98" t="s">
        <v>59</v>
      </c>
      <c r="B24" s="96" t="s">
        <v>60</v>
      </c>
      <c r="C24" s="97" t="s">
        <v>55</v>
      </c>
      <c r="D24" s="83">
        <f>260986.88</f>
        <v>260986.88</v>
      </c>
    </row>
    <row r="25" spans="1:5" x14ac:dyDescent="0.25">
      <c r="A25" s="82"/>
      <c r="B25" s="96"/>
      <c r="C25" s="97"/>
      <c r="D25" s="83"/>
    </row>
    <row r="26" spans="1:5" x14ac:dyDescent="0.25">
      <c r="A26" s="98" t="s">
        <v>61</v>
      </c>
      <c r="B26" s="96" t="s">
        <v>85</v>
      </c>
      <c r="C26" s="97" t="s">
        <v>55</v>
      </c>
      <c r="D26" s="83">
        <f>2500</f>
        <v>2500</v>
      </c>
    </row>
    <row r="27" spans="1:5" x14ac:dyDescent="0.25">
      <c r="A27" s="98" t="s">
        <v>61</v>
      </c>
      <c r="B27" s="96" t="s">
        <v>71</v>
      </c>
      <c r="C27" s="97" t="s">
        <v>55</v>
      </c>
      <c r="D27" s="83">
        <f>15000</f>
        <v>15000</v>
      </c>
    </row>
    <row r="28" spans="1:5" x14ac:dyDescent="0.25">
      <c r="A28" s="98" t="s">
        <v>61</v>
      </c>
      <c r="B28" s="96" t="s">
        <v>72</v>
      </c>
      <c r="C28" s="97" t="s">
        <v>55</v>
      </c>
      <c r="D28" s="83">
        <f>22245.41</f>
        <v>22245.41</v>
      </c>
    </row>
    <row r="29" spans="1:5" x14ac:dyDescent="0.25">
      <c r="A29" s="82"/>
      <c r="B29" s="96"/>
      <c r="C29" s="97"/>
      <c r="D29" s="83"/>
    </row>
    <row r="30" spans="1:5" x14ac:dyDescent="0.25">
      <c r="A30" s="98" t="s">
        <v>63</v>
      </c>
      <c r="B30" s="96" t="s">
        <v>64</v>
      </c>
      <c r="C30" s="97" t="s">
        <v>55</v>
      </c>
      <c r="D30" s="83">
        <f>54975.24</f>
        <v>54975.24</v>
      </c>
    </row>
    <row r="31" spans="1:5" x14ac:dyDescent="0.25">
      <c r="A31" s="98" t="s">
        <v>63</v>
      </c>
      <c r="B31" s="96" t="s">
        <v>86</v>
      </c>
      <c r="C31" s="97" t="s">
        <v>55</v>
      </c>
      <c r="D31" s="83">
        <f>5000</f>
        <v>5000</v>
      </c>
    </row>
    <row r="32" spans="1:5" x14ac:dyDescent="0.25">
      <c r="A32" s="82"/>
      <c r="B32" s="96"/>
      <c r="C32" s="97"/>
      <c r="D32" s="83"/>
    </row>
    <row r="33" spans="1:5" x14ac:dyDescent="0.25">
      <c r="A33" s="98" t="s">
        <v>73</v>
      </c>
      <c r="B33" s="96" t="s">
        <v>62</v>
      </c>
      <c r="C33" s="97" t="s">
        <v>55</v>
      </c>
      <c r="D33" s="83">
        <f>3500</f>
        <v>3500</v>
      </c>
    </row>
    <row r="34" spans="1:5" x14ac:dyDescent="0.25">
      <c r="A34" s="98"/>
      <c r="B34" s="96"/>
      <c r="C34" s="97"/>
      <c r="D34" s="83"/>
    </row>
    <row r="35" spans="1:5" ht="30" x14ac:dyDescent="0.25">
      <c r="A35" s="98" t="s">
        <v>87</v>
      </c>
      <c r="B35" s="96" t="s">
        <v>62</v>
      </c>
      <c r="C35" s="97" t="s">
        <v>55</v>
      </c>
      <c r="D35" s="83">
        <f>7436</f>
        <v>7436</v>
      </c>
    </row>
    <row r="36" spans="1:5" x14ac:dyDescent="0.25">
      <c r="A36" s="82"/>
      <c r="B36" s="96"/>
      <c r="C36" s="97"/>
      <c r="D36" s="83"/>
    </row>
    <row r="37" spans="1:5" x14ac:dyDescent="0.25">
      <c r="A37" s="98" t="s">
        <v>68</v>
      </c>
      <c r="B37" s="96" t="s">
        <v>69</v>
      </c>
      <c r="C37" s="97" t="s">
        <v>55</v>
      </c>
      <c r="D37" s="83">
        <f>2030</f>
        <v>2030</v>
      </c>
    </row>
    <row r="38" spans="1:5" x14ac:dyDescent="0.25">
      <c r="A38" s="99"/>
      <c r="B38" s="100"/>
      <c r="C38" s="101"/>
      <c r="D38" s="102"/>
      <c r="E38" s="109">
        <f>SUM(D16:D37)</f>
        <v>4384334.16</v>
      </c>
    </row>
    <row r="39" spans="1:5" x14ac:dyDescent="0.25">
      <c r="A39" s="99"/>
      <c r="B39" s="100"/>
      <c r="C39" s="101"/>
      <c r="D39" s="102"/>
    </row>
    <row r="40" spans="1:5" ht="15.75" thickBot="1" x14ac:dyDescent="0.3">
      <c r="A40" s="103"/>
      <c r="B40" s="104"/>
      <c r="C40" s="105"/>
      <c r="D40" s="106"/>
    </row>
    <row r="43" spans="1:5" x14ac:dyDescent="0.25">
      <c r="A43" s="107"/>
    </row>
    <row r="44" spans="1:5" x14ac:dyDescent="0.25">
      <c r="A44" s="108"/>
    </row>
  </sheetData>
  <mergeCells count="5">
    <mergeCell ref="B4:C4"/>
    <mergeCell ref="B5:C5"/>
    <mergeCell ref="B6:C6"/>
    <mergeCell ref="B7:C7"/>
    <mergeCell ref="B13:C13"/>
  </mergeCells>
  <pageMargins left="0.70000000000000007" right="0.70000000000000007" top="0.75" bottom="0.75" header="0.30000000000000004" footer="0.3000000000000000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3" ma:contentTypeDescription="Een nieuw document maken." ma:contentTypeScope="" ma:versionID="b89bbd0d09405f89a02fcb80abfcd489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c870eaddf530558e2783b93f80590d3d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D1250C-2ADC-471C-8390-2D6E1DFA512E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e58823c3-9226-4bb7-a434-941750dd958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42FBD8C-C34D-4353-A9F4-1D3CA5C38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DCA86A-039F-414E-9FAE-250132DE47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RRAC14</vt:lpstr>
      <vt:lpstr>14Detail73</vt:lpstr>
      <vt:lpstr>RRAC15</vt:lpstr>
      <vt:lpstr>15Detail73</vt:lpstr>
      <vt:lpstr>RRAC16</vt:lpstr>
      <vt:lpstr>16Detail73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Droogenbroeck, Daniel</dc:creator>
  <cp:lastModifiedBy>Van Neste, Ulrike</cp:lastModifiedBy>
  <cp:lastPrinted>2018-01-03T08:21:51Z</cp:lastPrinted>
  <dcterms:created xsi:type="dcterms:W3CDTF">2017-12-21T10:04:59Z</dcterms:created>
  <dcterms:modified xsi:type="dcterms:W3CDTF">2018-01-03T08:30:30Z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_docset_NoMedatataSyncRequired">
    <vt:lpwstr>False</vt:lpwstr>
  </property>
</Properties>
</file>