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179 Centra algemeen welzijnswerk (CAW's) - Financiering/"/>
    </mc:Choice>
  </mc:AlternateContent>
  <bookViews>
    <workbookView xWindow="0" yWindow="0" windowWidth="23040" windowHeight="8790" activeTab="1"/>
  </bookViews>
  <sheets>
    <sheet name="RRAC14" sheetId="1" r:id="rId1"/>
    <sheet name="14Detail73" sheetId="2" r:id="rId2"/>
    <sheet name="RRAC15" sheetId="3" r:id="rId3"/>
    <sheet name="15Detail73" sheetId="4" r:id="rId4"/>
    <sheet name="RRAC16" sheetId="5" r:id="rId5"/>
    <sheet name="16Detail73" sheetId="6" r:id="rId6"/>
  </sheets>
  <calcPr calcId="171027"/>
</workbook>
</file>

<file path=xl/calcChain.xml><?xml version="1.0" encoding="utf-8"?>
<calcChain xmlns="http://schemas.openxmlformats.org/spreadsheetml/2006/main">
  <c r="D11" i="6" l="1"/>
  <c r="D9" i="6"/>
  <c r="D7" i="6"/>
  <c r="D5" i="6"/>
  <c r="N31" i="5"/>
  <c r="N29" i="5"/>
  <c r="J25" i="5"/>
  <c r="N25" i="5" s="1"/>
  <c r="N23" i="5"/>
  <c r="J21" i="5"/>
  <c r="J27" i="5" s="1"/>
  <c r="J33" i="5" s="1"/>
  <c r="N19" i="5"/>
  <c r="N18" i="5"/>
  <c r="N17" i="5"/>
  <c r="N16" i="5"/>
  <c r="N15" i="5"/>
  <c r="N14" i="5"/>
  <c r="L13" i="5"/>
  <c r="J13" i="5"/>
  <c r="N13" i="5" s="1"/>
  <c r="N12" i="5"/>
  <c r="N11" i="5"/>
  <c r="M10" i="5"/>
  <c r="N10" i="5" s="1"/>
  <c r="I10" i="5"/>
  <c r="L9" i="5"/>
  <c r="L21" i="5" s="1"/>
  <c r="L27" i="5" s="1"/>
  <c r="L33" i="5" s="1"/>
  <c r="K9" i="5"/>
  <c r="K21" i="5" s="1"/>
  <c r="K27" i="5" s="1"/>
  <c r="K33" i="5" s="1"/>
  <c r="I9" i="5"/>
  <c r="N5" i="5"/>
  <c r="D17" i="4"/>
  <c r="D9" i="4" s="1"/>
  <c r="D5" i="4" s="1"/>
  <c r="D13" i="4"/>
  <c r="D7" i="4"/>
  <c r="L31" i="3"/>
  <c r="R31" i="3" s="1"/>
  <c r="K31" i="3"/>
  <c r="L29" i="3"/>
  <c r="K29" i="3"/>
  <c r="R29" i="3" s="1"/>
  <c r="L25" i="3"/>
  <c r="R25" i="3" s="1"/>
  <c r="K25" i="3"/>
  <c r="L23" i="3"/>
  <c r="K23" i="3"/>
  <c r="R23" i="3" s="1"/>
  <c r="R19" i="3"/>
  <c r="R18" i="3"/>
  <c r="L18" i="3"/>
  <c r="K18" i="3"/>
  <c r="L17" i="3"/>
  <c r="R17" i="3" s="1"/>
  <c r="K17" i="3"/>
  <c r="R16" i="3"/>
  <c r="L15" i="3"/>
  <c r="R15" i="3" s="1"/>
  <c r="K15" i="3"/>
  <c r="R14" i="3"/>
  <c r="Q13" i="3"/>
  <c r="Q9" i="3" s="1"/>
  <c r="Q21" i="3" s="1"/>
  <c r="Q27" i="3" s="1"/>
  <c r="Q33" i="3" s="1"/>
  <c r="N13" i="3"/>
  <c r="I13" i="3"/>
  <c r="L13" i="3" s="1"/>
  <c r="K12" i="3"/>
  <c r="R12" i="3" s="1"/>
  <c r="R11" i="3"/>
  <c r="Q10" i="3"/>
  <c r="P10" i="3"/>
  <c r="P9" i="3" s="1"/>
  <c r="P21" i="3" s="1"/>
  <c r="P27" i="3" s="1"/>
  <c r="P33" i="3" s="1"/>
  <c r="O10" i="3"/>
  <c r="N10" i="3"/>
  <c r="N9" i="3" s="1"/>
  <c r="N21" i="3" s="1"/>
  <c r="N27" i="3" s="1"/>
  <c r="N33" i="3" s="1"/>
  <c r="M10" i="3"/>
  <c r="L10" i="3"/>
  <c r="L9" i="3" s="1"/>
  <c r="L21" i="3" s="1"/>
  <c r="L27" i="3" s="1"/>
  <c r="L33" i="3" s="1"/>
  <c r="I10" i="3"/>
  <c r="I9" i="3" s="1"/>
  <c r="O9" i="3"/>
  <c r="O21" i="3" s="1"/>
  <c r="O27" i="3" s="1"/>
  <c r="O33" i="3" s="1"/>
  <c r="M9" i="3"/>
  <c r="M21" i="3" s="1"/>
  <c r="M27" i="3" s="1"/>
  <c r="M33" i="3" s="1"/>
  <c r="J9" i="3"/>
  <c r="J21" i="3" s="1"/>
  <c r="J27" i="3" s="1"/>
  <c r="J33" i="3" s="1"/>
  <c r="R5" i="3"/>
  <c r="D17" i="2"/>
  <c r="D9" i="2" s="1"/>
  <c r="D5" i="2" s="1"/>
  <c r="D13" i="2"/>
  <c r="D7" i="2"/>
  <c r="U32" i="1"/>
  <c r="Q31" i="1"/>
  <c r="P31" i="1"/>
  <c r="L31" i="1"/>
  <c r="K31" i="1"/>
  <c r="U31" i="1" s="1"/>
  <c r="U30" i="1"/>
  <c r="Q29" i="1"/>
  <c r="P29" i="1"/>
  <c r="L29" i="1"/>
  <c r="K29" i="1"/>
  <c r="U29" i="1" s="1"/>
  <c r="U28" i="1"/>
  <c r="U26" i="1"/>
  <c r="Q25" i="1"/>
  <c r="P25" i="1"/>
  <c r="L25" i="1"/>
  <c r="K25" i="1"/>
  <c r="U25" i="1" s="1"/>
  <c r="U24" i="1"/>
  <c r="Q23" i="1"/>
  <c r="P23" i="1"/>
  <c r="L23" i="1"/>
  <c r="K23" i="1"/>
  <c r="U23" i="1" s="1"/>
  <c r="U22" i="1"/>
  <c r="R21" i="1"/>
  <c r="R27" i="1" s="1"/>
  <c r="R33" i="1" s="1"/>
  <c r="N21" i="1"/>
  <c r="N27" i="1" s="1"/>
  <c r="N33" i="1" s="1"/>
  <c r="J21" i="1"/>
  <c r="J27" i="1" s="1"/>
  <c r="J33" i="1" s="1"/>
  <c r="U20" i="1"/>
  <c r="U19" i="1"/>
  <c r="Q18" i="1"/>
  <c r="P18" i="1"/>
  <c r="L18" i="1"/>
  <c r="K18" i="1"/>
  <c r="U18" i="1" s="1"/>
  <c r="U17" i="1"/>
  <c r="U16" i="1"/>
  <c r="I15" i="1"/>
  <c r="P15" i="1" s="1"/>
  <c r="K14" i="1"/>
  <c r="U14" i="1" s="1"/>
  <c r="Q13" i="1"/>
  <c r="Q9" i="1" s="1"/>
  <c r="L13" i="1"/>
  <c r="K13" i="1"/>
  <c r="I13" i="1"/>
  <c r="U13" i="1" s="1"/>
  <c r="U12" i="1"/>
  <c r="K12" i="1"/>
  <c r="U11" i="1"/>
  <c r="K10" i="1"/>
  <c r="K9" i="1" s="1"/>
  <c r="J10" i="1"/>
  <c r="I10" i="1"/>
  <c r="U10" i="1" s="1"/>
  <c r="T9" i="1"/>
  <c r="T21" i="1" s="1"/>
  <c r="T27" i="1" s="1"/>
  <c r="T33" i="1" s="1"/>
  <c r="S9" i="1"/>
  <c r="S21" i="1" s="1"/>
  <c r="S27" i="1" s="1"/>
  <c r="S33" i="1" s="1"/>
  <c r="R9" i="1"/>
  <c r="P9" i="1"/>
  <c r="O9" i="1"/>
  <c r="O21" i="1" s="1"/>
  <c r="O27" i="1" s="1"/>
  <c r="O33" i="1" s="1"/>
  <c r="N9" i="1"/>
  <c r="M9" i="1"/>
  <c r="M21" i="1" s="1"/>
  <c r="M27" i="1" s="1"/>
  <c r="M33" i="1" s="1"/>
  <c r="L9" i="1"/>
  <c r="J9" i="1"/>
  <c r="U5" i="1"/>
  <c r="P21" i="1" l="1"/>
  <c r="P27" i="1" s="1"/>
  <c r="P33" i="1" s="1"/>
  <c r="I21" i="3"/>
  <c r="I27" i="3" s="1"/>
  <c r="I33" i="3" s="1"/>
  <c r="Q15" i="1"/>
  <c r="Q21" i="1" s="1"/>
  <c r="Q27" i="1" s="1"/>
  <c r="Q33" i="1" s="1"/>
  <c r="I9" i="1"/>
  <c r="K15" i="1"/>
  <c r="K21" i="1" s="1"/>
  <c r="K27" i="1" s="1"/>
  <c r="K33" i="1" s="1"/>
  <c r="K10" i="3"/>
  <c r="K13" i="3"/>
  <c r="R13" i="3" s="1"/>
  <c r="M9" i="5"/>
  <c r="M21" i="5" s="1"/>
  <c r="M27" i="5" s="1"/>
  <c r="M33" i="5" s="1"/>
  <c r="I21" i="5"/>
  <c r="I27" i="5" s="1"/>
  <c r="I33" i="5" s="1"/>
  <c r="R10" i="3"/>
  <c r="L15" i="1"/>
  <c r="L21" i="1" s="1"/>
  <c r="L27" i="1" s="1"/>
  <c r="L33" i="1" s="1"/>
  <c r="K9" i="3" l="1"/>
  <c r="U15" i="1"/>
  <c r="I21" i="1"/>
  <c r="U9" i="1"/>
  <c r="N9" i="5"/>
  <c r="N21" i="5" s="1"/>
  <c r="N27" i="5" s="1"/>
  <c r="N33" i="5" s="1"/>
  <c r="U21" i="1" l="1"/>
  <c r="I27" i="1"/>
  <c r="K21" i="3"/>
  <c r="K27" i="3" s="1"/>
  <c r="K33" i="3" s="1"/>
  <c r="R9" i="3"/>
  <c r="R21" i="3" s="1"/>
  <c r="R27" i="3" s="1"/>
  <c r="R33" i="3" s="1"/>
  <c r="I33" i="1" l="1"/>
  <c r="U33" i="1" s="1"/>
  <c r="U27" i="1"/>
</calcChain>
</file>

<file path=xl/sharedStrings.xml><?xml version="1.0" encoding="utf-8"?>
<sst xmlns="http://schemas.openxmlformats.org/spreadsheetml/2006/main" count="318" uniqueCount="105">
  <si>
    <t>Bijlage 1: Resultatenrekening per activiteitencentrum</t>
  </si>
  <si>
    <t>Naam vzw: CAW Brussel vzw</t>
  </si>
  <si>
    <t>Codes</t>
  </si>
  <si>
    <t>Vzw</t>
  </si>
  <si>
    <t>VG + SocMar+ GECO + VOP</t>
  </si>
  <si>
    <t>VGC + SocMar</t>
  </si>
  <si>
    <t>VGC SF</t>
  </si>
  <si>
    <t>K. Boudewijn - WBL</t>
  </si>
  <si>
    <t>K. Boudewijn - Archipel</t>
  </si>
  <si>
    <t>Budget in zicht</t>
  </si>
  <si>
    <t>Thomas Moore</t>
  </si>
  <si>
    <t>Kind en Gezin</t>
  </si>
  <si>
    <t>Centrum gelijkheid</t>
  </si>
  <si>
    <t>Stad BXL</t>
  </si>
  <si>
    <t>Hobo + VGC + GECO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</si>
  <si>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</si>
  <si>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</si>
  <si>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</si>
  <si>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</si>
  <si>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</si>
  <si>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</si>
  <si>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</si>
  <si>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</si>
  <si>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</si>
  <si>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</si>
  <si>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</si>
  <si>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</si>
  <si>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</si>
  <si>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</si>
  <si>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</si>
  <si>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</si>
  <si>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</si>
  <si>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</si>
  <si>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</si>
  <si>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</si>
  <si>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</si>
  <si>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</si>
  <si>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</si>
  <si>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</si>
  <si>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</si>
  <si>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</si>
  <si>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</si>
  <si>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</si>
  <si>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</si>
  <si>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4: DETAIL VAN DE 73-REKENINGEN (lijst van subsidies)</t>
  </si>
  <si>
    <t>Naam VZW: CAW Brussel vzw</t>
  </si>
  <si>
    <t>730/731</t>
  </si>
  <si>
    <t>Lidgelden</t>
  </si>
  <si>
    <t>732/733</t>
  </si>
  <si>
    <t>Schenkingen</t>
  </si>
  <si>
    <t>734/735</t>
  </si>
  <si>
    <t>Legaten</t>
  </si>
  <si>
    <t xml:space="preserve">736 
737  
738 </t>
  </si>
  <si>
    <t>Kapitaal- en intrestsubsidies
Werkingssubsides Vlaamse Overheid 
Overige werkingssubsidies en werkingstoelagen</t>
  </si>
  <si>
    <t>Subsidieverlener</t>
  </si>
  <si>
    <t>Doel</t>
  </si>
  <si>
    <t>Activiteitencentrum</t>
  </si>
  <si>
    <t>Bedrag</t>
  </si>
  <si>
    <t>Afschrijvingen VIPA-subsidies</t>
  </si>
  <si>
    <t>AWW VG</t>
  </si>
  <si>
    <t>Afschrijvingen overige kapitaalsubsidies</t>
  </si>
  <si>
    <t>VG</t>
  </si>
  <si>
    <t>VG - enveloppesubsidie</t>
  </si>
  <si>
    <t>VGC</t>
  </si>
  <si>
    <t>Stedenfonds</t>
  </si>
  <si>
    <t>Fonds Sociale Maribel</t>
  </si>
  <si>
    <t>Actiris</t>
  </si>
  <si>
    <t>GECO en Actiris Partnership</t>
  </si>
  <si>
    <t>VOP</t>
  </si>
  <si>
    <t>Vlaamse ondersteuningspremie</t>
  </si>
  <si>
    <t>VIVO</t>
  </si>
  <si>
    <t>VIVO-toelagen</t>
  </si>
  <si>
    <t>VOHI</t>
  </si>
  <si>
    <t>Centrum Gelijk v Kansen</t>
  </si>
  <si>
    <t>Hobo - saldo 2010 participatie voetbal</t>
  </si>
  <si>
    <t>Centrum Gelijkheid</t>
  </si>
  <si>
    <t>K. Boudewijnstichting</t>
  </si>
  <si>
    <t>woonbegeleiding</t>
  </si>
  <si>
    <t>K. Boudewijn WBL</t>
  </si>
  <si>
    <t>ex-Archipel</t>
  </si>
  <si>
    <t>K. Boudewijn Archipel</t>
  </si>
  <si>
    <t>Stad Brussel</t>
  </si>
  <si>
    <t>gelijke kansen - woonbegeleiding - saldo 2013</t>
  </si>
  <si>
    <t>project Thomas Moore</t>
  </si>
  <si>
    <t>DMO - adoptie</t>
  </si>
  <si>
    <t>Naam vzw:</t>
  </si>
  <si>
    <t>VGC bezoekruimte</t>
  </si>
  <si>
    <t>K.Boudewijn</t>
  </si>
  <si>
    <t>GECO, DSP-premies en Actiris Partnership</t>
  </si>
  <si>
    <t>VGC + VGC SF (incl Hobo)</t>
  </si>
  <si>
    <t>Kind &amp; Gezin</t>
  </si>
  <si>
    <t>Naam VZW: CAW Brrussel vzw</t>
  </si>
  <si>
    <t xml:space="preserve">Kapitaal- en intrestsubsidies
</t>
  </si>
  <si>
    <t>enveloppe</t>
  </si>
  <si>
    <t>schuldbemiddeling</t>
  </si>
  <si>
    <t>project vluchtelingen</t>
  </si>
  <si>
    <t>DMO adoptie</t>
  </si>
  <si>
    <t>VGC &amp; VGC SF</t>
  </si>
  <si>
    <t>Sociale Maribel</t>
  </si>
  <si>
    <t>GECO-premies</t>
  </si>
  <si>
    <t>DSP-premies</t>
  </si>
  <si>
    <t>Partnership</t>
  </si>
  <si>
    <t>toelagen</t>
  </si>
  <si>
    <t>Thomas More</t>
  </si>
  <si>
    <t>saldo afrekeningen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</si>
</sst>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0000"/>
        <bgColor rgb="FFFF0000"/>
      </patternFill>
    </fill>
    <fill>
      <patternFill patternType="solid">
        <fgColor rgb="FFA6A6A6"/>
        <bgColor rgb="FFA6A6A6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4" borderId="9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4" fontId="0" fillId="2" borderId="11" xfId="0" applyNumberFormat="1" applyFill="1" applyBorder="1" applyAlignment="1" applyProtection="1">
      <alignment horizontal="center" vertical="top"/>
      <protection locked="0"/>
    </xf>
    <xf numFmtId="4" fontId="0" fillId="2" borderId="12" xfId="0" applyNumberFormat="1" applyFill="1" applyBorder="1" applyAlignment="1" applyProtection="1">
      <alignment horizontal="center" vertical="top"/>
      <protection locked="0"/>
    </xf>
    <xf numFmtId="4" fontId="0" fillId="2" borderId="13" xfId="0" applyNumberFormat="1" applyFill="1" applyBorder="1" applyAlignment="1" applyProtection="1">
      <alignment horizontal="center" vertical="top"/>
      <protection locked="0"/>
    </xf>
    <xf numFmtId="4" fontId="0" fillId="4" borderId="9" xfId="0" applyNumberFormat="1" applyFill="1" applyBorder="1" applyAlignment="1" applyProtection="1">
      <alignment horizontal="center" vertical="top"/>
    </xf>
    <xf numFmtId="4" fontId="0" fillId="0" borderId="0" xfId="0" applyNumberForma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protection locked="0"/>
    </xf>
    <xf numFmtId="3" fontId="0" fillId="0" borderId="17" xfId="0" applyNumberFormat="1" applyBorder="1" applyAlignment="1" applyProtection="1">
      <protection locked="0"/>
    </xf>
    <xf numFmtId="3" fontId="0" fillId="0" borderId="18" xfId="0" applyNumberFormat="1" applyBorder="1" applyAlignment="1" applyProtection="1">
      <protection locked="0"/>
    </xf>
    <xf numFmtId="3" fontId="0" fillId="0" borderId="19" xfId="0" applyNumberFormat="1" applyBorder="1" applyAlignment="1" applyProtection="1">
      <protection locked="0"/>
    </xf>
    <xf numFmtId="3" fontId="0" fillId="4" borderId="9" xfId="0" applyNumberFormat="1" applyFill="1" applyBorder="1" applyAlignment="1" applyProtection="1"/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9" fontId="0" fillId="0" borderId="15" xfId="0" applyNumberFormat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4" fontId="0" fillId="0" borderId="18" xfId="0" applyNumberFormat="1" applyBorder="1" applyAlignment="1" applyProtection="1">
      <protection locked="0"/>
    </xf>
    <xf numFmtId="4" fontId="0" fillId="0" borderId="0" xfId="0" applyNumberFormat="1" applyAlignment="1" applyProtection="1">
      <protection locked="0"/>
    </xf>
    <xf numFmtId="4" fontId="0" fillId="0" borderId="9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4" fontId="0" fillId="0" borderId="1" xfId="0" applyNumberFormat="1" applyBorder="1" applyAlignment="1" applyProtection="1">
      <protection locked="0"/>
    </xf>
    <xf numFmtId="4" fontId="0" fillId="0" borderId="19" xfId="0" applyNumberFormat="1" applyBorder="1" applyAlignment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3" fontId="0" fillId="0" borderId="18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8" fillId="0" borderId="15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20" xfId="0" applyBorder="1" applyProtection="1"/>
    <xf numFmtId="3" fontId="0" fillId="0" borderId="8" xfId="0" applyNumberFormat="1" applyBorder="1" applyAlignment="1" applyProtection="1">
      <protection locked="0"/>
    </xf>
    <xf numFmtId="4" fontId="0" fillId="0" borderId="2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3" fontId="0" fillId="0" borderId="19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5" xfId="0" applyFont="1" applyBorder="1" applyProtection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4" borderId="9" xfId="0" applyNumberFormat="1" applyFill="1" applyBorder="1" applyProtection="1"/>
    <xf numFmtId="0" fontId="10" fillId="0" borderId="0" xfId="0" applyFont="1"/>
    <xf numFmtId="0" fontId="7" fillId="5" borderId="10" xfId="0" applyFont="1" applyFill="1" applyBorder="1" applyAlignment="1">
      <alignment horizontal="center" vertical="top" wrapText="1"/>
    </xf>
    <xf numFmtId="4" fontId="7" fillId="5" borderId="26" xfId="0" applyNumberFormat="1" applyFont="1" applyFill="1" applyBorder="1" applyAlignment="1" applyProtection="1">
      <alignment vertical="top"/>
    </xf>
    <xf numFmtId="0" fontId="0" fillId="0" borderId="27" xfId="0" applyFill="1" applyBorder="1" applyAlignment="1">
      <alignment horizontal="center" vertical="top" wrapText="1"/>
    </xf>
    <xf numFmtId="4" fontId="0" fillId="0" borderId="29" xfId="0" applyNumberFormat="1" applyFill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4" fontId="0" fillId="0" borderId="33" xfId="0" applyNumberFormat="1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26" xfId="0" applyNumberFormat="1" applyFont="1" applyFill="1" applyBorder="1" applyAlignment="1">
      <alignment horizontal="center" vertical="top" wrapText="1"/>
    </xf>
    <xf numFmtId="4" fontId="0" fillId="0" borderId="19" xfId="0" applyNumberFormat="1" applyFill="1" applyBorder="1" applyAlignment="1">
      <alignment vertical="top"/>
    </xf>
    <xf numFmtId="0" fontId="0" fillId="0" borderId="29" xfId="0" applyFill="1" applyBorder="1" applyAlignment="1">
      <alignment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/>
    </xf>
    <xf numFmtId="0" fontId="0" fillId="0" borderId="35" xfId="0" applyBorder="1"/>
    <xf numFmtId="0" fontId="0" fillId="0" borderId="9" xfId="0" applyBorder="1"/>
    <xf numFmtId="0" fontId="0" fillId="0" borderId="30" xfId="0" applyBorder="1"/>
    <xf numFmtId="4" fontId="0" fillId="0" borderId="30" xfId="0" applyNumberFormat="1" applyBorder="1"/>
    <xf numFmtId="0" fontId="0" fillId="0" borderId="36" xfId="0" applyBorder="1"/>
    <xf numFmtId="0" fontId="0" fillId="0" borderId="6" xfId="0" applyBorder="1"/>
    <xf numFmtId="0" fontId="0" fillId="0" borderId="32" xfId="0" applyBorder="1"/>
    <xf numFmtId="4" fontId="0" fillId="0" borderId="32" xfId="0" applyNumberFormat="1" applyBorder="1"/>
    <xf numFmtId="0" fontId="4" fillId="0" borderId="2" xfId="0" applyFont="1" applyBorder="1" applyAlignment="1" applyProtection="1">
      <protection locked="0"/>
    </xf>
    <xf numFmtId="0" fontId="0" fillId="0" borderId="0" xfId="0" applyAlignment="1">
      <alignment wrapText="1"/>
    </xf>
    <xf numFmtId="0" fontId="6" fillId="4" borderId="6" xfId="0" applyFont="1" applyFill="1" applyBorder="1" applyAlignment="1" applyProtection="1">
      <alignment horizontal="center" vertical="top"/>
    </xf>
    <xf numFmtId="4" fontId="0" fillId="4" borderId="13" xfId="0" applyNumberFormat="1" applyFill="1" applyBorder="1" applyAlignment="1" applyProtection="1">
      <alignment horizontal="center" vertical="top"/>
    </xf>
    <xf numFmtId="3" fontId="0" fillId="4" borderId="16" xfId="0" applyNumberFormat="1" applyFill="1" applyBorder="1" applyAlignment="1" applyProtection="1"/>
    <xf numFmtId="3" fontId="0" fillId="4" borderId="18" xfId="0" applyNumberFormat="1" applyFill="1" applyBorder="1" applyAlignment="1" applyProtection="1"/>
    <xf numFmtId="4" fontId="0" fillId="4" borderId="18" xfId="0" applyNumberFormat="1" applyFill="1" applyBorder="1" applyAlignment="1" applyProtection="1"/>
    <xf numFmtId="4" fontId="0" fillId="6" borderId="9" xfId="0" applyNumberFormat="1" applyFill="1" applyBorder="1" applyAlignment="1" applyProtection="1">
      <protection locked="0"/>
    </xf>
    <xf numFmtId="3" fontId="0" fillId="6" borderId="9" xfId="0" applyNumberFormat="1" applyFill="1" applyBorder="1" applyAlignment="1" applyProtection="1">
      <protection locked="0"/>
    </xf>
    <xf numFmtId="4" fontId="0" fillId="0" borderId="37" xfId="0" applyNumberFormat="1" applyBorder="1" applyAlignment="1" applyProtection="1">
      <protection locked="0"/>
    </xf>
    <xf numFmtId="4" fontId="0" fillId="0" borderId="38" xfId="0" applyNumberFormat="1" applyBorder="1" applyProtection="1">
      <protection locked="0"/>
    </xf>
    <xf numFmtId="4" fontId="0" fillId="4" borderId="18" xfId="0" applyNumberFormat="1" applyFill="1" applyBorder="1" applyProtection="1"/>
    <xf numFmtId="4" fontId="0" fillId="4" borderId="9" xfId="0" applyNumberFormat="1" applyFill="1" applyBorder="1" applyAlignment="1" applyProtection="1"/>
    <xf numFmtId="4" fontId="0" fillId="0" borderId="39" xfId="0" applyNumberFormat="1" applyBorder="1" applyAlignment="1" applyProtection="1">
      <protection locked="0"/>
    </xf>
    <xf numFmtId="4" fontId="0" fillId="4" borderId="8" xfId="0" applyNumberFormat="1" applyFill="1" applyBorder="1" applyAlignment="1" applyProtection="1"/>
    <xf numFmtId="4" fontId="0" fillId="0" borderId="40" xfId="0" applyNumberFormat="1" applyBorder="1" applyAlignment="1" applyProtection="1">
      <protection locked="0"/>
    </xf>
    <xf numFmtId="4" fontId="0" fillId="4" borderId="19" xfId="0" applyNumberFormat="1" applyFill="1" applyBorder="1" applyAlignment="1" applyProtection="1"/>
    <xf numFmtId="4" fontId="0" fillId="0" borderId="40" xfId="0" applyNumberFormat="1" applyBorder="1" applyProtection="1">
      <protection locked="0"/>
    </xf>
    <xf numFmtId="4" fontId="0" fillId="4" borderId="19" xfId="0" applyNumberFormat="1" applyFill="1" applyBorder="1" applyProtection="1"/>
    <xf numFmtId="4" fontId="0" fillId="0" borderId="37" xfId="0" applyNumberFormat="1" applyBorder="1" applyProtection="1">
      <protection locked="0"/>
    </xf>
    <xf numFmtId="4" fontId="0" fillId="4" borderId="9" xfId="0" applyNumberFormat="1" applyFill="1" applyBorder="1" applyProtection="1"/>
    <xf numFmtId="3" fontId="0" fillId="0" borderId="40" xfId="0" applyNumberFormat="1" applyBorder="1" applyProtection="1">
      <protection locked="0"/>
    </xf>
    <xf numFmtId="3" fontId="0" fillId="4" borderId="19" xfId="0" applyNumberFormat="1" applyFill="1" applyBorder="1" applyProtection="1"/>
    <xf numFmtId="4" fontId="0" fillId="0" borderId="0" xfId="0" applyNumberFormat="1"/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center" vertical="top"/>
    </xf>
    <xf numFmtId="4" fontId="6" fillId="0" borderId="9" xfId="0" applyNumberFormat="1" applyFont="1" applyBorder="1" applyAlignment="1" applyProtection="1">
      <protection locked="0"/>
    </xf>
    <xf numFmtId="0" fontId="0" fillId="0" borderId="0" xfId="0" applyAlignment="1">
      <alignment horizontal="center"/>
    </xf>
    <xf numFmtId="2" fontId="7" fillId="5" borderId="26" xfId="0" applyNumberFormat="1" applyFont="1" applyFill="1" applyBorder="1" applyAlignment="1" applyProtection="1">
      <alignment vertical="top"/>
    </xf>
    <xf numFmtId="4" fontId="0" fillId="0" borderId="19" xfId="0" applyNumberForma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20" xfId="0" applyFont="1" applyFill="1" applyBorder="1" applyAlignment="1" applyProtection="1">
      <alignment horizontal="left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9" fillId="0" borderId="2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9" fillId="0" borderId="20" xfId="0" applyFont="1" applyFill="1" applyBorder="1" applyAlignment="1" applyProtection="1">
      <alignment horizontal="left" vertical="top"/>
    </xf>
    <xf numFmtId="0" fontId="0" fillId="0" borderId="0" xfId="0"/>
    <xf numFmtId="49" fontId="8" fillId="0" borderId="0" xfId="0" applyNumberFormat="1" applyFont="1" applyAlignment="1" applyProtection="1">
      <protection locked="0"/>
    </xf>
    <xf numFmtId="49" fontId="8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1" xfId="0" applyFont="1" applyFill="1" applyBorder="1" applyAlignment="1"/>
    <xf numFmtId="4" fontId="7" fillId="5" borderId="25" xfId="0" applyNumberFormat="1" applyFont="1" applyFill="1" applyBorder="1" applyAlignment="1">
      <alignment vertical="top"/>
    </xf>
    <xf numFmtId="4" fontId="0" fillId="0" borderId="28" xfId="0" applyNumberFormat="1" applyFill="1" applyBorder="1" applyAlignment="1">
      <alignment vertical="top"/>
    </xf>
    <xf numFmtId="4" fontId="0" fillId="0" borderId="30" xfId="0" applyNumberFormat="1" applyFill="1" applyBorder="1" applyAlignment="1">
      <alignment vertical="top"/>
    </xf>
    <xf numFmtId="4" fontId="0" fillId="0" borderId="32" xfId="0" applyNumberFormat="1" applyFill="1" applyBorder="1" applyAlignment="1">
      <alignment vertical="top"/>
    </xf>
    <xf numFmtId="0" fontId="0" fillId="0" borderId="25" xfId="0" applyFill="1" applyBorder="1" applyAlignment="1">
      <alignment horizontal="left" vertical="top" wrapText="1"/>
    </xf>
    <xf numFmtId="0" fontId="7" fillId="2" borderId="10" xfId="0" applyFont="1" applyFill="1" applyBorder="1" applyAlignment="1" applyProtection="1">
      <alignment horizontal="center" vertical="center"/>
      <protection locked="0"/>
    </xf>
  </cellXfs>
  <cellStyles count="3">
    <cellStyle name="cf1" xfId="1"/>
    <cellStyle name="cf2" xfId="2"/>
    <cellStyle name="Standaard" xfId="0" builtinId="0" customBuiltin="1"/>
  </cellStyles>
  <dxfs count="6">
    <dxf>
      <font>
        <color rgb="FF000000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U34" sqref="A1:U34"/>
    </sheetView>
  </sheetViews>
  <sheetFormatPr defaultColWidth="9.140625" defaultRowHeight="15" x14ac:dyDescent="0.25"/>
  <cols>
    <col min="1" max="1" width="7.85546875" style="1" customWidth="1"/>
    <col min="2" max="2" width="10.5703125" style="1" customWidth="1"/>
    <col min="3" max="3" width="3.7109375" style="1" customWidth="1"/>
    <col min="4" max="4" width="9.140625" style="1" customWidth="1"/>
    <col min="5" max="5" width="4.85546875" style="1" customWidth="1"/>
    <col min="6" max="6" width="22.5703125" style="1" hidden="1" customWidth="1"/>
    <col min="7" max="7" width="5" style="1" customWidth="1"/>
    <col min="8" max="8" width="6.28515625" style="1" customWidth="1"/>
    <col min="9" max="9" width="9.140625" style="1" customWidth="1"/>
    <col min="10" max="10" width="13.7109375" style="1" customWidth="1"/>
    <col min="11" max="12" width="10.140625" style="1" customWidth="1"/>
    <col min="13" max="14" width="13.140625" style="1" customWidth="1"/>
    <col min="15" max="15" width="13.5703125" style="1" customWidth="1"/>
    <col min="16" max="16" width="13.42578125" style="1" customWidth="1"/>
    <col min="17" max="17" width="12.7109375" style="1" customWidth="1"/>
    <col min="18" max="19" width="8.7109375" style="1" customWidth="1"/>
    <col min="20" max="20" width="10.7109375" style="1" customWidth="1"/>
    <col min="21" max="21" width="11" style="1" customWidth="1"/>
    <col min="22" max="22" width="9.140625" style="1" customWidth="1"/>
    <col min="23" max="16384" width="9.140625" style="1"/>
  </cols>
  <sheetData>
    <row r="1" spans="1:21" ht="18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21" ht="15.75" x14ac:dyDescent="0.25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21" s="7" customFormat="1" ht="15.75" x14ac:dyDescent="0.25">
      <c r="A3" s="2"/>
      <c r="B3" s="2"/>
      <c r="C3" s="2"/>
      <c r="D3" s="3"/>
      <c r="E3" s="4"/>
      <c r="F3" s="4"/>
      <c r="G3" s="4"/>
      <c r="H3" s="4"/>
      <c r="I3" s="5">
        <v>0</v>
      </c>
      <c r="J3" s="6">
        <v>1</v>
      </c>
      <c r="K3" s="5">
        <v>2</v>
      </c>
      <c r="L3" s="6">
        <v>3</v>
      </c>
      <c r="M3" s="5">
        <v>4</v>
      </c>
      <c r="N3" s="6">
        <v>5</v>
      </c>
      <c r="O3" s="5">
        <v>6</v>
      </c>
      <c r="P3" s="6">
        <v>7</v>
      </c>
      <c r="Q3" s="5">
        <v>8</v>
      </c>
      <c r="R3" s="6">
        <v>9</v>
      </c>
      <c r="S3" s="5">
        <v>10</v>
      </c>
      <c r="T3" s="6">
        <v>11</v>
      </c>
    </row>
    <row r="4" spans="1:21" s="18" customFormat="1" ht="45.75" thickBot="1" x14ac:dyDescent="0.3">
      <c r="A4" s="8"/>
      <c r="B4" s="9"/>
      <c r="C4" s="9"/>
      <c r="D4" s="9"/>
      <c r="E4" s="9"/>
      <c r="F4" s="9"/>
      <c r="G4" s="10"/>
      <c r="H4" s="11" t="s">
        <v>2</v>
      </c>
      <c r="I4" s="12" t="s">
        <v>3</v>
      </c>
      <c r="J4" s="13" t="s">
        <v>4</v>
      </c>
      <c r="K4" s="14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4" t="s">
        <v>13</v>
      </c>
      <c r="T4" s="16" t="s">
        <v>14</v>
      </c>
      <c r="U4" s="17" t="s">
        <v>15</v>
      </c>
    </row>
    <row r="5" spans="1:21" s="23" customFormat="1" ht="15" customHeight="1" thickBot="1" x14ac:dyDescent="0.3">
      <c r="A5" s="148" t="s">
        <v>16</v>
      </c>
      <c r="B5" s="148"/>
      <c r="C5" s="148"/>
      <c r="D5" s="148"/>
      <c r="E5" s="148"/>
      <c r="F5" s="148"/>
      <c r="G5" s="148"/>
      <c r="H5" s="148"/>
      <c r="I5" s="19">
        <v>125.28</v>
      </c>
      <c r="J5" s="20">
        <v>109.87</v>
      </c>
      <c r="K5" s="21">
        <v>2.73</v>
      </c>
      <c r="L5" s="21">
        <v>1.2</v>
      </c>
      <c r="M5" s="21">
        <v>0</v>
      </c>
      <c r="N5" s="19">
        <v>0</v>
      </c>
      <c r="O5" s="19">
        <v>1</v>
      </c>
      <c r="P5" s="19">
        <v>1</v>
      </c>
      <c r="Q5" s="19">
        <v>3.88</v>
      </c>
      <c r="R5" s="21">
        <v>0</v>
      </c>
      <c r="S5" s="21">
        <v>0</v>
      </c>
      <c r="T5" s="21">
        <v>5.6</v>
      </c>
      <c r="U5" s="22">
        <f>I5-SUM(J5:T5)</f>
        <v>0</v>
      </c>
    </row>
    <row r="6" spans="1:21" x14ac:dyDescent="0.25">
      <c r="A6" s="149" t="s">
        <v>17</v>
      </c>
      <c r="B6" s="149"/>
      <c r="C6" s="149"/>
      <c r="D6" s="149"/>
      <c r="E6" s="149"/>
      <c r="F6" s="149"/>
      <c r="G6" s="24"/>
      <c r="I6" s="25"/>
      <c r="J6" s="26"/>
      <c r="K6" s="25"/>
      <c r="L6" s="25"/>
      <c r="M6" s="25"/>
      <c r="N6" s="27"/>
      <c r="O6" s="28"/>
      <c r="P6" s="28"/>
      <c r="Q6" s="28"/>
      <c r="R6" s="28"/>
      <c r="S6" s="28"/>
      <c r="T6" s="28"/>
      <c r="U6" s="29"/>
    </row>
    <row r="7" spans="1:21" x14ac:dyDescent="0.25">
      <c r="A7" s="30"/>
      <c r="G7" s="31"/>
      <c r="I7" s="27"/>
      <c r="J7" s="32"/>
      <c r="K7" s="27"/>
      <c r="L7" s="27"/>
      <c r="M7" s="27"/>
      <c r="N7" s="27"/>
      <c r="O7" s="33"/>
      <c r="P7" s="33"/>
      <c r="Q7" s="33"/>
      <c r="R7" s="33"/>
      <c r="S7" s="33"/>
      <c r="T7" s="33"/>
      <c r="U7" s="29"/>
    </row>
    <row r="8" spans="1:21" x14ac:dyDescent="0.25">
      <c r="A8" s="137" t="s">
        <v>18</v>
      </c>
      <c r="B8" s="137"/>
      <c r="C8" s="137"/>
      <c r="D8" s="137"/>
      <c r="E8" s="137"/>
      <c r="F8" s="137"/>
      <c r="G8" s="35"/>
      <c r="I8" s="27"/>
      <c r="J8" s="32"/>
      <c r="K8" s="27"/>
      <c r="L8" s="27"/>
      <c r="M8" s="27"/>
      <c r="N8" s="27"/>
      <c r="O8" s="33"/>
      <c r="P8" s="33"/>
      <c r="Q8" s="33"/>
      <c r="R8" s="33"/>
      <c r="S8" s="33"/>
      <c r="T8" s="33"/>
      <c r="U8" s="29"/>
    </row>
    <row r="9" spans="1:21" x14ac:dyDescent="0.25">
      <c r="A9" s="34"/>
      <c r="B9" s="36" t="s">
        <v>19</v>
      </c>
      <c r="C9" s="37"/>
      <c r="D9" s="37"/>
      <c r="E9" s="37"/>
      <c r="F9" s="37"/>
      <c r="G9" s="38" t="s">
        <v>20</v>
      </c>
      <c r="H9" s="39">
        <v>9900</v>
      </c>
      <c r="I9" s="27">
        <f t="shared" ref="I9:T9" si="0">I10-I13</f>
        <v>7333941.6099999994</v>
      </c>
      <c r="J9" s="40">
        <f t="shared" si="0"/>
        <v>6421586.1399999997</v>
      </c>
      <c r="K9" s="41">
        <f t="shared" si="0"/>
        <v>307225.27724137931</v>
      </c>
      <c r="L9" s="40">
        <f t="shared" si="0"/>
        <v>186629.5724137931</v>
      </c>
      <c r="M9" s="40">
        <f t="shared" si="0"/>
        <v>-22.079999999999927</v>
      </c>
      <c r="N9" s="40">
        <f t="shared" si="0"/>
        <v>2000</v>
      </c>
      <c r="O9" s="42">
        <f t="shared" si="0"/>
        <v>52329.9</v>
      </c>
      <c r="P9" s="42">
        <f t="shared" si="0"/>
        <v>29093.8</v>
      </c>
      <c r="Q9" s="42">
        <f t="shared" si="0"/>
        <v>260569.99000000002</v>
      </c>
      <c r="R9" s="42">
        <f t="shared" si="0"/>
        <v>2150</v>
      </c>
      <c r="S9" s="42">
        <f t="shared" si="0"/>
        <v>2000</v>
      </c>
      <c r="T9" s="42">
        <f t="shared" si="0"/>
        <v>70379.010000000009</v>
      </c>
      <c r="U9" s="22">
        <f t="shared" ref="U9:U33" si="1">I9-SUM(J9:T9)</f>
        <v>3.4482777118682861E-4</v>
      </c>
    </row>
    <row r="10" spans="1:21" x14ac:dyDescent="0.25">
      <c r="A10" s="30"/>
      <c r="B10" s="43"/>
      <c r="C10" s="150" t="s">
        <v>21</v>
      </c>
      <c r="D10" s="150"/>
      <c r="E10" s="150"/>
      <c r="F10" s="150"/>
      <c r="G10" s="35"/>
      <c r="H10" s="39" t="s">
        <v>22</v>
      </c>
      <c r="I10" s="28">
        <f>I11+I12+294264.34</f>
        <v>8729814.25</v>
      </c>
      <c r="J10" s="44">
        <f>SUM(J11:J12)+294264.34</f>
        <v>7664901.9199999999</v>
      </c>
      <c r="K10" s="45">
        <f>305000+8060+24583</f>
        <v>337643</v>
      </c>
      <c r="L10" s="45">
        <v>200000</v>
      </c>
      <c r="M10" s="45">
        <v>2500</v>
      </c>
      <c r="N10" s="45">
        <v>2000</v>
      </c>
      <c r="O10" s="42">
        <v>56378.96</v>
      </c>
      <c r="P10" s="42">
        <v>29280</v>
      </c>
      <c r="Q10" s="42">
        <v>298425.58</v>
      </c>
      <c r="R10" s="42">
        <v>2150</v>
      </c>
      <c r="S10" s="42">
        <v>2000</v>
      </c>
      <c r="T10" s="42">
        <v>134534.79</v>
      </c>
      <c r="U10" s="22">
        <f t="shared" si="1"/>
        <v>0</v>
      </c>
    </row>
    <row r="11" spans="1:21" x14ac:dyDescent="0.25">
      <c r="A11" s="30"/>
      <c r="B11" s="143"/>
      <c r="C11" s="143"/>
      <c r="D11" s="144" t="s">
        <v>23</v>
      </c>
      <c r="E11" s="144"/>
      <c r="F11" s="144"/>
      <c r="G11" s="35"/>
      <c r="H11" s="39">
        <v>70</v>
      </c>
      <c r="I11" s="28">
        <v>679940.64</v>
      </c>
      <c r="J11" s="44">
        <v>679566.64</v>
      </c>
      <c r="K11" s="45"/>
      <c r="L11" s="45"/>
      <c r="M11" s="45"/>
      <c r="N11" s="45"/>
      <c r="O11" s="42"/>
      <c r="P11" s="42"/>
      <c r="Q11" s="42"/>
      <c r="R11" s="42"/>
      <c r="S11" s="42"/>
      <c r="T11" s="42">
        <v>374</v>
      </c>
      <c r="U11" s="22">
        <f t="shared" si="1"/>
        <v>0</v>
      </c>
    </row>
    <row r="12" spans="1:21" ht="14.45" customHeight="1" x14ac:dyDescent="0.25">
      <c r="A12" s="30"/>
      <c r="D12" s="145" t="s">
        <v>24</v>
      </c>
      <c r="E12" s="145"/>
      <c r="F12" s="145"/>
      <c r="G12" s="46"/>
      <c r="H12" s="39">
        <v>73</v>
      </c>
      <c r="I12" s="33">
        <v>7755609.2699999996</v>
      </c>
      <c r="J12" s="47">
        <v>6691070.9400000004</v>
      </c>
      <c r="K12" s="42">
        <f>305000+8060+24583</f>
        <v>337643</v>
      </c>
      <c r="L12" s="42">
        <v>200000</v>
      </c>
      <c r="M12" s="42">
        <v>2500</v>
      </c>
      <c r="N12" s="42">
        <v>2000</v>
      </c>
      <c r="O12" s="42">
        <v>56378.96</v>
      </c>
      <c r="P12" s="42">
        <v>29280</v>
      </c>
      <c r="Q12" s="42">
        <v>298425.58</v>
      </c>
      <c r="R12" s="42">
        <v>2150</v>
      </c>
      <c r="S12" s="42">
        <v>2000</v>
      </c>
      <c r="T12" s="42">
        <v>134160.79</v>
      </c>
      <c r="U12" s="22">
        <f t="shared" si="1"/>
        <v>0</v>
      </c>
    </row>
    <row r="13" spans="1:21" ht="14.45" customHeight="1" x14ac:dyDescent="0.25">
      <c r="A13" s="30"/>
      <c r="B13" s="48"/>
      <c r="C13" s="140" t="s">
        <v>25</v>
      </c>
      <c r="D13" s="140"/>
      <c r="E13" s="140"/>
      <c r="F13" s="140"/>
      <c r="G13" s="35"/>
      <c r="H13" s="39" t="s">
        <v>26</v>
      </c>
      <c r="I13" s="33">
        <f>175677.1+1220195.54</f>
        <v>1395872.6400000001</v>
      </c>
      <c r="J13" s="47">
        <v>1243315.78</v>
      </c>
      <c r="K13" s="42">
        <f>I13*K5/I5</f>
        <v>30417.72275862069</v>
      </c>
      <c r="L13" s="42">
        <f>I13*L5/I5</f>
        <v>13370.427586206897</v>
      </c>
      <c r="M13" s="42">
        <v>2522.08</v>
      </c>
      <c r="N13" s="42">
        <v>0</v>
      </c>
      <c r="O13" s="42">
        <v>4049.06</v>
      </c>
      <c r="P13" s="42">
        <v>186.2</v>
      </c>
      <c r="Q13" s="42">
        <f>16927.76+20927.83</f>
        <v>37855.589999999997</v>
      </c>
      <c r="R13" s="42">
        <v>0</v>
      </c>
      <c r="S13" s="42"/>
      <c r="T13" s="42">
        <v>64155.78</v>
      </c>
      <c r="U13" s="22">
        <f t="shared" si="1"/>
        <v>-3.4482777118682861E-4</v>
      </c>
    </row>
    <row r="14" spans="1:21" ht="14.45" customHeight="1" x14ac:dyDescent="0.25">
      <c r="A14" s="30"/>
      <c r="B14" s="140" t="s">
        <v>27</v>
      </c>
      <c r="C14" s="140"/>
      <c r="D14" s="140"/>
      <c r="E14" s="140"/>
      <c r="F14" s="140"/>
      <c r="G14" s="35" t="s">
        <v>20</v>
      </c>
      <c r="H14" s="39">
        <v>62</v>
      </c>
      <c r="I14" s="28">
        <v>6570316.6100000003</v>
      </c>
      <c r="J14" s="44">
        <v>5852190.0899999999</v>
      </c>
      <c r="K14" s="45">
        <f>132435.73+28026.16</f>
        <v>160461.89000000001</v>
      </c>
      <c r="L14" s="45">
        <v>76773.91</v>
      </c>
      <c r="M14" s="45">
        <v>0</v>
      </c>
      <c r="N14" s="45">
        <v>0</v>
      </c>
      <c r="O14" s="42">
        <v>43087.08</v>
      </c>
      <c r="P14" s="42">
        <v>27724.240000000002</v>
      </c>
      <c r="Q14" s="42">
        <v>209025.1</v>
      </c>
      <c r="R14" s="42">
        <v>0</v>
      </c>
      <c r="S14" s="42"/>
      <c r="T14" s="42">
        <v>201054.3</v>
      </c>
      <c r="U14" s="22">
        <f t="shared" si="1"/>
        <v>0</v>
      </c>
    </row>
    <row r="15" spans="1:21" ht="14.45" customHeight="1" x14ac:dyDescent="0.25">
      <c r="A15" s="30"/>
      <c r="B15" s="140" t="s">
        <v>28</v>
      </c>
      <c r="C15" s="140"/>
      <c r="D15" s="140"/>
      <c r="E15" s="140"/>
      <c r="F15" s="140"/>
      <c r="G15" s="35" t="s">
        <v>20</v>
      </c>
      <c r="H15" s="39">
        <v>630</v>
      </c>
      <c r="I15" s="33">
        <f>240923.07+10000</f>
        <v>250923.07</v>
      </c>
      <c r="J15" s="47">
        <v>232914.54</v>
      </c>
      <c r="K15" s="42">
        <f>$I$15*K5/$I$5</f>
        <v>5467.9117265325667</v>
      </c>
      <c r="L15" s="42">
        <f>$I$15*L5/$I$5</f>
        <v>2403.4776819923372</v>
      </c>
      <c r="M15" s="42">
        <v>0</v>
      </c>
      <c r="N15" s="42">
        <v>0</v>
      </c>
      <c r="O15" s="42">
        <v>0</v>
      </c>
      <c r="P15" s="42">
        <f>$I$15*P5/$I$5</f>
        <v>2002.8980683269476</v>
      </c>
      <c r="Q15" s="42">
        <f>$I$15*Q5/$I$5</f>
        <v>7771.244505108557</v>
      </c>
      <c r="R15" s="42">
        <v>0</v>
      </c>
      <c r="S15" s="42"/>
      <c r="T15" s="42">
        <v>363</v>
      </c>
      <c r="U15" s="22">
        <f t="shared" si="1"/>
        <v>-1.9819604349322617E-3</v>
      </c>
    </row>
    <row r="16" spans="1:21" ht="14.45" customHeight="1" x14ac:dyDescent="0.25">
      <c r="A16" s="30"/>
      <c r="B16" s="140" t="s">
        <v>29</v>
      </c>
      <c r="C16" s="140"/>
      <c r="D16" s="140"/>
      <c r="E16" s="140"/>
      <c r="F16" s="140"/>
      <c r="G16" s="35" t="s">
        <v>20</v>
      </c>
      <c r="H16" s="39" t="s">
        <v>30</v>
      </c>
      <c r="I16" s="33"/>
      <c r="J16" s="47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2">
        <f t="shared" si="1"/>
        <v>0</v>
      </c>
    </row>
    <row r="17" spans="1:21" ht="14.45" customHeight="1" x14ac:dyDescent="0.25">
      <c r="A17" s="30"/>
      <c r="B17" s="140" t="s">
        <v>31</v>
      </c>
      <c r="C17" s="140"/>
      <c r="D17" s="140"/>
      <c r="E17" s="140"/>
      <c r="F17" s="140"/>
      <c r="G17" s="35" t="s">
        <v>20</v>
      </c>
      <c r="H17" s="39" t="s">
        <v>32</v>
      </c>
      <c r="I17" s="33">
        <v>-5610</v>
      </c>
      <c r="J17" s="47">
        <v>-5610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/>
      <c r="T17" s="42"/>
      <c r="U17" s="22">
        <f t="shared" si="1"/>
        <v>0</v>
      </c>
    </row>
    <row r="18" spans="1:21" ht="14.45" customHeight="1" x14ac:dyDescent="0.25">
      <c r="A18" s="30"/>
      <c r="B18" s="141" t="s">
        <v>33</v>
      </c>
      <c r="C18" s="141"/>
      <c r="D18" s="141"/>
      <c r="E18" s="141"/>
      <c r="F18" s="141"/>
      <c r="G18" s="35"/>
      <c r="H18" s="39" t="s">
        <v>34</v>
      </c>
      <c r="I18" s="33">
        <v>59473.42</v>
      </c>
      <c r="J18" s="47">
        <v>51436.12</v>
      </c>
      <c r="K18" s="42">
        <f>$I$18*K5/$I$5</f>
        <v>1295.9964607279692</v>
      </c>
      <c r="L18" s="42">
        <f>$I$18*L5/$I$5</f>
        <v>569.66877394636003</v>
      </c>
      <c r="M18" s="42">
        <v>0</v>
      </c>
      <c r="N18" s="42">
        <v>0</v>
      </c>
      <c r="O18" s="42">
        <v>0</v>
      </c>
      <c r="P18" s="42">
        <f>$I$18*P5/$I$5</f>
        <v>474.72397828863342</v>
      </c>
      <c r="Q18" s="42">
        <f>$I$18*Q5/$I$5</f>
        <v>1841.9290357598977</v>
      </c>
      <c r="R18" s="42">
        <v>0</v>
      </c>
      <c r="S18" s="42"/>
      <c r="T18" s="42">
        <v>3854.98</v>
      </c>
      <c r="U18" s="22">
        <f t="shared" si="1"/>
        <v>1.7512771373731084E-3</v>
      </c>
    </row>
    <row r="19" spans="1:21" ht="14.45" customHeight="1" x14ac:dyDescent="0.25">
      <c r="A19" s="30"/>
      <c r="B19" s="140" t="s">
        <v>35</v>
      </c>
      <c r="C19" s="140"/>
      <c r="D19" s="140"/>
      <c r="E19" s="140"/>
      <c r="F19" s="140"/>
      <c r="G19" s="35" t="s">
        <v>36</v>
      </c>
      <c r="H19" s="39">
        <v>649</v>
      </c>
      <c r="I19" s="33"/>
      <c r="J19" s="4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2">
        <f t="shared" si="1"/>
        <v>0</v>
      </c>
    </row>
    <row r="20" spans="1:21" x14ac:dyDescent="0.25">
      <c r="A20" s="30"/>
      <c r="B20" s="49"/>
      <c r="C20" s="50"/>
      <c r="D20" s="43"/>
      <c r="E20" s="43"/>
      <c r="F20" s="43"/>
      <c r="G20" s="35"/>
      <c r="H20" s="39"/>
      <c r="I20" s="51"/>
      <c r="J20" s="52"/>
      <c r="K20" s="53"/>
      <c r="L20" s="53"/>
      <c r="M20" s="53"/>
      <c r="N20" s="53"/>
      <c r="O20" s="54"/>
      <c r="P20" s="54"/>
      <c r="Q20" s="54"/>
      <c r="R20" s="54"/>
      <c r="S20" s="54"/>
      <c r="T20" s="54"/>
      <c r="U20" s="22">
        <f t="shared" si="1"/>
        <v>0</v>
      </c>
    </row>
    <row r="21" spans="1:21" s="57" customFormat="1" x14ac:dyDescent="0.25">
      <c r="A21" s="142" t="s">
        <v>37</v>
      </c>
      <c r="B21" s="142"/>
      <c r="C21" s="142"/>
      <c r="D21" s="142"/>
      <c r="E21" s="142"/>
      <c r="F21" s="142"/>
      <c r="G21" s="55" t="s">
        <v>20</v>
      </c>
      <c r="H21" s="56">
        <v>9901</v>
      </c>
      <c r="I21" s="33">
        <f t="shared" ref="I21:T21" si="2">I9-I14-I15-I16-I17-I18-I19</f>
        <v>458838.50999999908</v>
      </c>
      <c r="J21" s="47">
        <f t="shared" si="2"/>
        <v>290655.38999999978</v>
      </c>
      <c r="K21" s="42">
        <f t="shared" si="2"/>
        <v>139999.47905411877</v>
      </c>
      <c r="L21" s="42">
        <f t="shared" si="2"/>
        <v>106882.51595785438</v>
      </c>
      <c r="M21" s="42">
        <f t="shared" si="2"/>
        <v>-22.079999999999927</v>
      </c>
      <c r="N21" s="42">
        <f t="shared" si="2"/>
        <v>2000</v>
      </c>
      <c r="O21" s="42">
        <f t="shared" si="2"/>
        <v>9242.82</v>
      </c>
      <c r="P21" s="42">
        <f t="shared" si="2"/>
        <v>-1108.0620466155833</v>
      </c>
      <c r="Q21" s="42">
        <f t="shared" si="2"/>
        <v>41931.71645913156</v>
      </c>
      <c r="R21" s="42">
        <f t="shared" si="2"/>
        <v>2150</v>
      </c>
      <c r="S21" s="42">
        <f t="shared" si="2"/>
        <v>2000</v>
      </c>
      <c r="T21" s="42">
        <f t="shared" si="2"/>
        <v>-134893.26999999999</v>
      </c>
      <c r="U21" s="22">
        <f t="shared" si="1"/>
        <v>5.7551031932234764E-4</v>
      </c>
    </row>
    <row r="22" spans="1:21" s="57" customFormat="1" x14ac:dyDescent="0.25">
      <c r="A22" s="58"/>
      <c r="B22" s="143"/>
      <c r="C22" s="143"/>
      <c r="D22" s="143"/>
      <c r="E22" s="143"/>
      <c r="F22" s="143"/>
      <c r="G22" s="55"/>
      <c r="H22" s="56"/>
      <c r="I22" s="59"/>
      <c r="J22" s="60"/>
      <c r="K22" s="61"/>
      <c r="L22" s="61"/>
      <c r="M22" s="61"/>
      <c r="N22" s="61"/>
      <c r="O22" s="42"/>
      <c r="P22" s="42"/>
      <c r="Q22" s="42"/>
      <c r="R22" s="42"/>
      <c r="S22" s="42"/>
      <c r="T22" s="42"/>
      <c r="U22" s="22">
        <f t="shared" si="1"/>
        <v>0</v>
      </c>
    </row>
    <row r="23" spans="1:21" x14ac:dyDescent="0.25">
      <c r="A23" s="62" t="s">
        <v>38</v>
      </c>
      <c r="B23" s="63"/>
      <c r="C23" s="63"/>
      <c r="D23" s="63"/>
      <c r="E23" s="63"/>
      <c r="F23" s="63"/>
      <c r="G23" s="31"/>
      <c r="H23" s="39">
        <v>75</v>
      </c>
      <c r="I23" s="28">
        <v>3332.03</v>
      </c>
      <c r="J23" s="44">
        <v>3097.7</v>
      </c>
      <c r="K23" s="44">
        <f>$I$23*K5/$I$5</f>
        <v>72.608891283524898</v>
      </c>
      <c r="L23" s="44">
        <f>$I$23*L5/$I$5</f>
        <v>31.915996168582378</v>
      </c>
      <c r="M23" s="45">
        <v>0</v>
      </c>
      <c r="N23" s="45">
        <v>0</v>
      </c>
      <c r="O23" s="42">
        <v>0</v>
      </c>
      <c r="P23" s="44">
        <f>$I$23*P5/$I$5</f>
        <v>26.596663473818648</v>
      </c>
      <c r="Q23" s="44">
        <f>$I$23*Q5/$I$5</f>
        <v>103.19505427841635</v>
      </c>
      <c r="R23" s="42">
        <v>0</v>
      </c>
      <c r="S23" s="42"/>
      <c r="T23" s="42">
        <v>0.01</v>
      </c>
      <c r="U23" s="22">
        <f t="shared" si="1"/>
        <v>3.3947956580959726E-3</v>
      </c>
    </row>
    <row r="24" spans="1:21" x14ac:dyDescent="0.25">
      <c r="A24" s="62"/>
      <c r="B24" s="63"/>
      <c r="C24" s="63"/>
      <c r="D24" s="63"/>
      <c r="E24" s="63"/>
      <c r="F24" s="63"/>
      <c r="G24" s="31"/>
      <c r="H24" s="39"/>
      <c r="I24" s="59"/>
      <c r="J24" s="60"/>
      <c r="K24" s="61"/>
      <c r="L24" s="61"/>
      <c r="M24" s="61"/>
      <c r="N24" s="61"/>
      <c r="O24" s="42"/>
      <c r="P24" s="42"/>
      <c r="Q24" s="42"/>
      <c r="R24" s="42"/>
      <c r="S24" s="42"/>
      <c r="T24" s="42"/>
      <c r="U24" s="22">
        <f t="shared" si="1"/>
        <v>0</v>
      </c>
    </row>
    <row r="25" spans="1:21" x14ac:dyDescent="0.25">
      <c r="A25" s="137" t="s">
        <v>39</v>
      </c>
      <c r="B25" s="137"/>
      <c r="C25" s="137"/>
      <c r="D25" s="137"/>
      <c r="E25" s="137"/>
      <c r="F25" s="137"/>
      <c r="G25" s="31"/>
      <c r="H25" s="39">
        <v>65</v>
      </c>
      <c r="I25" s="64">
        <v>29849.47</v>
      </c>
      <c r="J25" s="65">
        <v>27702.38</v>
      </c>
      <c r="K25" s="65">
        <f>$I$25*K5/$I$5</f>
        <v>650.45540469348657</v>
      </c>
      <c r="L25" s="65">
        <f>$I$25*L5/$I$5</f>
        <v>285.91446360153259</v>
      </c>
      <c r="M25" s="66">
        <v>0</v>
      </c>
      <c r="N25" s="66">
        <v>0</v>
      </c>
      <c r="O25" s="54">
        <v>0</v>
      </c>
      <c r="P25" s="65">
        <f>$I$25*P5/$I$5</f>
        <v>238.26205300127714</v>
      </c>
      <c r="Q25" s="65">
        <f>$I$25*Q5/$I$5</f>
        <v>924.45676564495523</v>
      </c>
      <c r="R25" s="54">
        <v>0</v>
      </c>
      <c r="S25" s="54"/>
      <c r="T25" s="54">
        <v>48</v>
      </c>
      <c r="U25" s="22">
        <f t="shared" si="1"/>
        <v>1.3130587503837887E-3</v>
      </c>
    </row>
    <row r="26" spans="1:21" x14ac:dyDescent="0.25">
      <c r="A26" s="34"/>
      <c r="B26" s="37"/>
      <c r="C26" s="37"/>
      <c r="D26" s="37"/>
      <c r="E26" s="37"/>
      <c r="F26" s="37"/>
      <c r="G26" s="31"/>
      <c r="H26" s="39"/>
      <c r="I26" s="67"/>
      <c r="J26" s="68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22">
        <f t="shared" si="1"/>
        <v>0</v>
      </c>
    </row>
    <row r="27" spans="1:21" x14ac:dyDescent="0.25">
      <c r="A27" s="138" t="s">
        <v>40</v>
      </c>
      <c r="B27" s="138"/>
      <c r="C27" s="138"/>
      <c r="D27" s="138"/>
      <c r="E27" s="138"/>
      <c r="F27" s="138"/>
      <c r="G27" s="69" t="s">
        <v>20</v>
      </c>
      <c r="H27" s="39">
        <v>9902</v>
      </c>
      <c r="I27" s="33">
        <f t="shared" ref="I27:T27" si="3">I21+I23-I25</f>
        <v>432321.06999999913</v>
      </c>
      <c r="J27" s="47">
        <f t="shared" si="3"/>
        <v>266050.70999999979</v>
      </c>
      <c r="K27" s="42">
        <f t="shared" si="3"/>
        <v>139421.63254070879</v>
      </c>
      <c r="L27" s="42">
        <f t="shared" si="3"/>
        <v>106628.51749042144</v>
      </c>
      <c r="M27" s="42">
        <f t="shared" si="3"/>
        <v>-22.079999999999927</v>
      </c>
      <c r="N27" s="42">
        <f t="shared" si="3"/>
        <v>2000</v>
      </c>
      <c r="O27" s="42">
        <f t="shared" si="3"/>
        <v>9242.82</v>
      </c>
      <c r="P27" s="42">
        <f t="shared" si="3"/>
        <v>-1319.7274361430418</v>
      </c>
      <c r="Q27" s="42">
        <f t="shared" si="3"/>
        <v>41110.454747765019</v>
      </c>
      <c r="R27" s="42">
        <f t="shared" si="3"/>
        <v>2150</v>
      </c>
      <c r="S27" s="42">
        <f t="shared" si="3"/>
        <v>2000</v>
      </c>
      <c r="T27" s="42">
        <f t="shared" si="3"/>
        <v>-134941.25999999998</v>
      </c>
      <c r="U27" s="22">
        <f t="shared" si="1"/>
        <v>2.6572471251711249E-3</v>
      </c>
    </row>
    <row r="28" spans="1:21" x14ac:dyDescent="0.25">
      <c r="A28" s="30"/>
      <c r="G28" s="31"/>
      <c r="H28" s="39"/>
      <c r="I28" s="51"/>
      <c r="J28" s="52"/>
      <c r="K28" s="53"/>
      <c r="L28" s="53"/>
      <c r="M28" s="53"/>
      <c r="N28" s="53"/>
      <c r="O28" s="54"/>
      <c r="P28" s="54"/>
      <c r="Q28" s="54"/>
      <c r="R28" s="54"/>
      <c r="S28" s="54"/>
      <c r="T28" s="54"/>
      <c r="U28" s="22">
        <f t="shared" si="1"/>
        <v>0</v>
      </c>
    </row>
    <row r="29" spans="1:21" x14ac:dyDescent="0.25">
      <c r="A29" s="137" t="s">
        <v>41</v>
      </c>
      <c r="B29" s="137"/>
      <c r="C29" s="137"/>
      <c r="D29" s="137"/>
      <c r="E29" s="137"/>
      <c r="F29" s="137"/>
      <c r="G29" s="31"/>
      <c r="H29" s="39">
        <v>76</v>
      </c>
      <c r="I29" s="28">
        <v>20857.34</v>
      </c>
      <c r="J29" s="44">
        <v>9390.6</v>
      </c>
      <c r="K29" s="44">
        <f>$I$29*K5/$I$5</f>
        <v>454.50621168582376</v>
      </c>
      <c r="L29" s="44">
        <f>$I$29*L5/$I$5</f>
        <v>199.78295019157088</v>
      </c>
      <c r="M29" s="45">
        <v>0</v>
      </c>
      <c r="N29" s="45">
        <v>0</v>
      </c>
      <c r="O29" s="42">
        <v>0</v>
      </c>
      <c r="P29" s="44">
        <f>$I$29*P5/$I$5</f>
        <v>166.48579182630905</v>
      </c>
      <c r="Q29" s="44">
        <f>$I$29*Q5/$I$5</f>
        <v>645.96487228607918</v>
      </c>
      <c r="R29" s="42">
        <v>0</v>
      </c>
      <c r="S29" s="42"/>
      <c r="T29" s="42">
        <v>10000</v>
      </c>
      <c r="U29" s="22">
        <f t="shared" si="1"/>
        <v>1.7401021614205092E-4</v>
      </c>
    </row>
    <row r="30" spans="1:21" x14ac:dyDescent="0.25">
      <c r="A30" s="34"/>
      <c r="B30" s="37"/>
      <c r="C30" s="37"/>
      <c r="D30" s="37"/>
      <c r="E30" s="37"/>
      <c r="F30" s="37"/>
      <c r="G30" s="31"/>
      <c r="H30" s="39"/>
      <c r="I30" s="59"/>
      <c r="J30" s="60"/>
      <c r="K30" s="61"/>
      <c r="L30" s="61"/>
      <c r="M30" s="61"/>
      <c r="N30" s="61"/>
      <c r="O30" s="42"/>
      <c r="P30" s="42"/>
      <c r="Q30" s="42"/>
      <c r="R30" s="42"/>
      <c r="S30" s="42"/>
      <c r="T30" s="42"/>
      <c r="U30" s="22">
        <f t="shared" si="1"/>
        <v>0</v>
      </c>
    </row>
    <row r="31" spans="1:21" x14ac:dyDescent="0.25">
      <c r="A31" s="137" t="s">
        <v>42</v>
      </c>
      <c r="B31" s="137"/>
      <c r="C31" s="137"/>
      <c r="D31" s="137"/>
      <c r="E31" s="137"/>
      <c r="F31" s="137"/>
      <c r="G31" s="31"/>
      <c r="H31" s="39">
        <v>66</v>
      </c>
      <c r="I31" s="64">
        <v>21127.52</v>
      </c>
      <c r="J31" s="65">
        <v>19641.78</v>
      </c>
      <c r="K31" s="65">
        <f>$I$31*K5/$I$5</f>
        <v>460.39375478927201</v>
      </c>
      <c r="L31" s="65">
        <f>$I$31*L5/$I$5</f>
        <v>202.37088122605365</v>
      </c>
      <c r="M31" s="66">
        <v>0</v>
      </c>
      <c r="N31" s="66">
        <v>0</v>
      </c>
      <c r="O31" s="54">
        <v>0</v>
      </c>
      <c r="P31" s="65">
        <f>$I$31*P5/$I$5</f>
        <v>168.64240102171138</v>
      </c>
      <c r="Q31" s="65">
        <f>$I$31*Q5/$I$5</f>
        <v>654.33251596424009</v>
      </c>
      <c r="R31" s="54">
        <v>0</v>
      </c>
      <c r="S31" s="54"/>
      <c r="T31" s="54"/>
      <c r="U31" s="22">
        <f t="shared" si="1"/>
        <v>4.469987252377905E-4</v>
      </c>
    </row>
    <row r="32" spans="1:21" x14ac:dyDescent="0.25">
      <c r="A32" s="30"/>
      <c r="G32" s="31"/>
      <c r="H32" s="39"/>
      <c r="I32" s="51"/>
      <c r="J32" s="52"/>
      <c r="K32" s="53"/>
      <c r="L32" s="53"/>
      <c r="M32" s="53"/>
      <c r="N32" s="53"/>
      <c r="O32" s="54"/>
      <c r="P32" s="54"/>
      <c r="Q32" s="54"/>
      <c r="R32" s="54"/>
      <c r="S32" s="54"/>
      <c r="T32" s="54"/>
      <c r="U32" s="22">
        <f t="shared" si="1"/>
        <v>0</v>
      </c>
    </row>
    <row r="33" spans="1:21" s="57" customFormat="1" x14ac:dyDescent="0.25">
      <c r="A33" s="139" t="s">
        <v>43</v>
      </c>
      <c r="B33" s="139"/>
      <c r="C33" s="139"/>
      <c r="D33" s="139"/>
      <c r="E33" s="139"/>
      <c r="F33" s="139"/>
      <c r="G33" s="70" t="s">
        <v>20</v>
      </c>
      <c r="H33" s="56">
        <v>9904</v>
      </c>
      <c r="I33" s="33">
        <f t="shared" ref="I33:T33" si="4">I27+I29-I31</f>
        <v>432050.88999999914</v>
      </c>
      <c r="J33" s="47">
        <f t="shared" si="4"/>
        <v>255799.52999999977</v>
      </c>
      <c r="K33" s="42">
        <f t="shared" si="4"/>
        <v>139415.74499760533</v>
      </c>
      <c r="L33" s="42">
        <f t="shared" si="4"/>
        <v>106625.92955938695</v>
      </c>
      <c r="M33" s="42">
        <f t="shared" si="4"/>
        <v>-22.079999999999927</v>
      </c>
      <c r="N33" s="42">
        <f t="shared" si="4"/>
        <v>2000</v>
      </c>
      <c r="O33" s="42">
        <f t="shared" si="4"/>
        <v>9242.82</v>
      </c>
      <c r="P33" s="42">
        <f t="shared" si="4"/>
        <v>-1321.8840453384441</v>
      </c>
      <c r="Q33" s="42">
        <f t="shared" si="4"/>
        <v>41102.087104086859</v>
      </c>
      <c r="R33" s="42">
        <f t="shared" si="4"/>
        <v>2150</v>
      </c>
      <c r="S33" s="42">
        <f t="shared" si="4"/>
        <v>2000</v>
      </c>
      <c r="T33" s="42">
        <f t="shared" si="4"/>
        <v>-124941.25999999998</v>
      </c>
      <c r="U33" s="22">
        <f t="shared" si="1"/>
        <v>2.3842587252147496E-3</v>
      </c>
    </row>
    <row r="34" spans="1:21" ht="8.25" customHeight="1" thickBot="1" x14ac:dyDescent="0.3">
      <c r="A34" s="71"/>
      <c r="B34" s="72"/>
      <c r="C34" s="72"/>
      <c r="D34" s="72"/>
      <c r="E34" s="72"/>
      <c r="F34" s="72"/>
      <c r="G34" s="73"/>
      <c r="H34" s="74"/>
      <c r="I34" s="64"/>
      <c r="J34" s="75"/>
      <c r="K34" s="64"/>
      <c r="L34" s="64"/>
      <c r="M34" s="64"/>
      <c r="N34" s="64"/>
      <c r="O34" s="67"/>
      <c r="P34" s="67"/>
      <c r="Q34" s="67"/>
      <c r="R34" s="67"/>
      <c r="S34" s="67"/>
      <c r="T34" s="67"/>
      <c r="U34" s="76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T21 I27:T27 I33:T33">
    <cfRule type="cellIs" dxfId="5" priority="2" stopIfTrue="1" operator="lessThan">
      <formula>0</formula>
    </cfRule>
  </conditionalFormatting>
  <conditionalFormatting sqref="I21:T21 I27:T27 I33:T33">
    <cfRule type="cellIs" dxfId="4" priority="1" stopIfTrue="1" operator="greaterThanOrEqual">
      <formula>0</formula>
    </cfRule>
  </conditionalFormatting>
  <pageMargins left="0.70000000000000007" right="0.70000000000000007" top="0.75" bottom="0.75" header="0.30000000000000004" footer="0.30000000000000004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D28" sqref="A1:D28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5" max="5" width="8.85546875" customWidth="1"/>
  </cols>
  <sheetData>
    <row r="1" spans="1:4" ht="18" x14ac:dyDescent="0.25">
      <c r="A1" s="77" t="s">
        <v>44</v>
      </c>
    </row>
    <row r="2" spans="1:4" ht="18" x14ac:dyDescent="0.25">
      <c r="A2" s="77"/>
    </row>
    <row r="3" spans="1:4" ht="23.25" customHeight="1" x14ac:dyDescent="0.25">
      <c r="A3" s="151" t="s">
        <v>45</v>
      </c>
      <c r="B3" s="151"/>
    </row>
    <row r="4" spans="1:4" ht="15.75" thickBot="1" x14ac:dyDescent="0.3"/>
    <row r="5" spans="1:4" ht="15.75" thickBot="1" x14ac:dyDescent="0.3">
      <c r="A5" s="78">
        <v>73</v>
      </c>
      <c r="B5" s="152" t="s">
        <v>24</v>
      </c>
      <c r="C5" s="152"/>
      <c r="D5" s="79">
        <f>SUM(D6:D8)+D9</f>
        <v>7755609.2700000014</v>
      </c>
    </row>
    <row r="6" spans="1:4" x14ac:dyDescent="0.25">
      <c r="A6" s="80" t="s">
        <v>46</v>
      </c>
      <c r="B6" s="153" t="s">
        <v>47</v>
      </c>
      <c r="C6" s="153"/>
      <c r="D6" s="81"/>
    </row>
    <row r="7" spans="1:4" x14ac:dyDescent="0.25">
      <c r="A7" s="80" t="s">
        <v>48</v>
      </c>
      <c r="B7" s="154" t="s">
        <v>49</v>
      </c>
      <c r="C7" s="154"/>
      <c r="D7" s="81">
        <f>6435.02+30368.8</f>
        <v>36803.82</v>
      </c>
    </row>
    <row r="8" spans="1:4" ht="15.75" thickBot="1" x14ac:dyDescent="0.3">
      <c r="A8" s="82" t="s">
        <v>50</v>
      </c>
      <c r="B8" s="155" t="s">
        <v>51</v>
      </c>
      <c r="C8" s="155"/>
      <c r="D8" s="83"/>
    </row>
    <row r="9" spans="1:4" ht="39.75" customHeight="1" thickBot="1" x14ac:dyDescent="0.3">
      <c r="A9" s="84" t="s">
        <v>52</v>
      </c>
      <c r="B9" s="156" t="s">
        <v>53</v>
      </c>
      <c r="C9" s="156"/>
      <c r="D9" s="79">
        <f>SUM(D11:D41)</f>
        <v>7718805.4500000011</v>
      </c>
    </row>
    <row r="10" spans="1:4" ht="15.75" thickBot="1" x14ac:dyDescent="0.3">
      <c r="A10" s="85" t="s">
        <v>54</v>
      </c>
      <c r="B10" s="86" t="s">
        <v>55</v>
      </c>
      <c r="C10" s="85" t="s">
        <v>56</v>
      </c>
      <c r="D10" s="87" t="s">
        <v>57</v>
      </c>
    </row>
    <row r="11" spans="1:4" x14ac:dyDescent="0.25">
      <c r="A11" s="80">
        <v>736100</v>
      </c>
      <c r="B11" s="88" t="s">
        <v>58</v>
      </c>
      <c r="C11" s="89" t="s">
        <v>59</v>
      </c>
      <c r="D11" s="81">
        <v>83270.850000000006</v>
      </c>
    </row>
    <row r="12" spans="1:4" x14ac:dyDescent="0.25">
      <c r="A12" s="80">
        <v>736140</v>
      </c>
      <c r="B12" s="88" t="s">
        <v>60</v>
      </c>
      <c r="C12" s="89" t="s">
        <v>59</v>
      </c>
      <c r="D12" s="81">
        <v>64973.52</v>
      </c>
    </row>
    <row r="13" spans="1:4" x14ac:dyDescent="0.25">
      <c r="A13" s="80" t="s">
        <v>61</v>
      </c>
      <c r="B13" s="88" t="s">
        <v>62</v>
      </c>
      <c r="C13" s="89" t="s">
        <v>59</v>
      </c>
      <c r="D13" s="81">
        <f>5671092.48-56378.96</f>
        <v>5614713.5200000005</v>
      </c>
    </row>
    <row r="14" spans="1:4" x14ac:dyDescent="0.25">
      <c r="A14" s="90" t="s">
        <v>63</v>
      </c>
      <c r="B14" s="88"/>
      <c r="C14" s="91" t="s">
        <v>63</v>
      </c>
      <c r="D14" s="81">
        <v>305000</v>
      </c>
    </row>
    <row r="15" spans="1:4" x14ac:dyDescent="0.25">
      <c r="A15" s="90" t="s">
        <v>6</v>
      </c>
      <c r="B15" s="92" t="s">
        <v>64</v>
      </c>
      <c r="C15" s="91" t="s">
        <v>6</v>
      </c>
      <c r="D15" s="81">
        <v>200000</v>
      </c>
    </row>
    <row r="16" spans="1:4" x14ac:dyDescent="0.25">
      <c r="A16" s="80">
        <v>738200</v>
      </c>
      <c r="B16" s="92" t="s">
        <v>65</v>
      </c>
      <c r="C16" s="91" t="s">
        <v>59</v>
      </c>
      <c r="D16" s="81">
        <v>425113.19</v>
      </c>
    </row>
    <row r="17" spans="1:4" x14ac:dyDescent="0.25">
      <c r="A17" s="90" t="s">
        <v>66</v>
      </c>
      <c r="B17" s="92" t="s">
        <v>67</v>
      </c>
      <c r="C17" s="91" t="s">
        <v>59</v>
      </c>
      <c r="D17" s="81">
        <f>559547.42+70847.9</f>
        <v>630395.32000000007</v>
      </c>
    </row>
    <row r="18" spans="1:4" x14ac:dyDescent="0.25">
      <c r="A18" s="90" t="s">
        <v>68</v>
      </c>
      <c r="B18" s="92" t="s">
        <v>69</v>
      </c>
      <c r="C18" s="91" t="s">
        <v>59</v>
      </c>
      <c r="D18" s="81">
        <v>1330.77</v>
      </c>
    </row>
    <row r="19" spans="1:4" x14ac:dyDescent="0.25">
      <c r="A19" s="90" t="s">
        <v>70</v>
      </c>
      <c r="B19" s="92" t="s">
        <v>71</v>
      </c>
      <c r="C19" s="91" t="s">
        <v>59</v>
      </c>
      <c r="D19" s="81">
        <v>1014.74</v>
      </c>
    </row>
    <row r="20" spans="1:4" x14ac:dyDescent="0.25">
      <c r="A20" s="90" t="s">
        <v>72</v>
      </c>
      <c r="B20" s="92" t="s">
        <v>72</v>
      </c>
      <c r="C20" s="91" t="s">
        <v>59</v>
      </c>
      <c r="D20" s="81">
        <v>259</v>
      </c>
    </row>
    <row r="21" spans="1:4" x14ac:dyDescent="0.25">
      <c r="A21" s="90" t="s">
        <v>73</v>
      </c>
      <c r="B21" s="92" t="s">
        <v>74</v>
      </c>
      <c r="C21" s="91" t="s">
        <v>75</v>
      </c>
      <c r="D21" s="81">
        <v>2150</v>
      </c>
    </row>
    <row r="22" spans="1:4" x14ac:dyDescent="0.25">
      <c r="A22" s="90" t="s">
        <v>76</v>
      </c>
      <c r="B22" s="92" t="s">
        <v>77</v>
      </c>
      <c r="C22" s="91" t="s">
        <v>78</v>
      </c>
      <c r="D22" s="81">
        <v>2500</v>
      </c>
    </row>
    <row r="23" spans="1:4" x14ac:dyDescent="0.25">
      <c r="A23" s="90" t="s">
        <v>76</v>
      </c>
      <c r="B23" s="92" t="s">
        <v>79</v>
      </c>
      <c r="C23" s="91" t="s">
        <v>80</v>
      </c>
      <c r="D23" s="81">
        <v>2000</v>
      </c>
    </row>
    <row r="24" spans="1:4" x14ac:dyDescent="0.25">
      <c r="A24" s="90" t="s">
        <v>81</v>
      </c>
      <c r="B24" s="92" t="s">
        <v>82</v>
      </c>
      <c r="C24" s="91" t="s">
        <v>13</v>
      </c>
      <c r="D24" s="81">
        <v>2000</v>
      </c>
    </row>
    <row r="25" spans="1:4" x14ac:dyDescent="0.25">
      <c r="A25" s="90" t="s">
        <v>10</v>
      </c>
      <c r="B25" s="92" t="s">
        <v>83</v>
      </c>
      <c r="C25" s="91" t="s">
        <v>10</v>
      </c>
      <c r="D25" s="81">
        <v>29280</v>
      </c>
    </row>
    <row r="26" spans="1:4" x14ac:dyDescent="0.25">
      <c r="A26" s="90" t="s">
        <v>11</v>
      </c>
      <c r="B26" s="92" t="s">
        <v>84</v>
      </c>
      <c r="C26" s="91" t="s">
        <v>11</v>
      </c>
      <c r="D26" s="81">
        <v>298425.58</v>
      </c>
    </row>
    <row r="27" spans="1:4" x14ac:dyDescent="0.25">
      <c r="A27" s="80" t="s">
        <v>61</v>
      </c>
      <c r="B27" s="88" t="s">
        <v>9</v>
      </c>
      <c r="C27" s="89" t="s">
        <v>9</v>
      </c>
      <c r="D27" s="81">
        <v>56378.96</v>
      </c>
    </row>
    <row r="28" spans="1:4" x14ac:dyDescent="0.25">
      <c r="A28" s="80"/>
      <c r="B28" s="88"/>
      <c r="C28" s="89"/>
      <c r="D28" s="81"/>
    </row>
    <row r="29" spans="1:4" x14ac:dyDescent="0.25">
      <c r="A29" s="80"/>
      <c r="B29" s="88"/>
      <c r="C29" s="89"/>
      <c r="D29" s="81"/>
    </row>
    <row r="30" spans="1:4" x14ac:dyDescent="0.25">
      <c r="A30" s="80"/>
      <c r="B30" s="88"/>
      <c r="C30" s="89"/>
      <c r="D30" s="81"/>
    </row>
    <row r="31" spans="1:4" x14ac:dyDescent="0.25">
      <c r="A31" s="80"/>
      <c r="B31" s="88"/>
      <c r="C31" s="89"/>
      <c r="D31" s="81"/>
    </row>
    <row r="32" spans="1:4" x14ac:dyDescent="0.25">
      <c r="A32" s="80"/>
      <c r="B32" s="88"/>
      <c r="C32" s="89"/>
      <c r="D32" s="81"/>
    </row>
    <row r="33" spans="1:4" x14ac:dyDescent="0.25">
      <c r="A33" s="80"/>
      <c r="B33" s="88"/>
      <c r="C33" s="89"/>
      <c r="D33" s="81"/>
    </row>
    <row r="34" spans="1:4" x14ac:dyDescent="0.25">
      <c r="A34" s="80"/>
      <c r="B34" s="88"/>
      <c r="C34" s="89"/>
      <c r="D34" s="81"/>
    </row>
    <row r="35" spans="1:4" x14ac:dyDescent="0.25">
      <c r="A35" s="80"/>
      <c r="B35" s="88"/>
      <c r="C35" s="89"/>
      <c r="D35" s="81"/>
    </row>
    <row r="36" spans="1:4" x14ac:dyDescent="0.25">
      <c r="A36" s="93"/>
      <c r="B36" s="94"/>
      <c r="C36" s="95"/>
      <c r="D36" s="96"/>
    </row>
    <row r="37" spans="1:4" x14ac:dyDescent="0.25">
      <c r="A37" s="93"/>
      <c r="B37" s="94"/>
      <c r="C37" s="95"/>
      <c r="D37" s="96"/>
    </row>
    <row r="38" spans="1:4" x14ac:dyDescent="0.25">
      <c r="A38" s="93"/>
      <c r="B38" s="94"/>
      <c r="C38" s="95"/>
      <c r="D38" s="96"/>
    </row>
    <row r="39" spans="1:4" x14ac:dyDescent="0.25">
      <c r="A39" s="93"/>
      <c r="B39" s="94"/>
      <c r="C39" s="95"/>
      <c r="D39" s="96"/>
    </row>
    <row r="40" spans="1:4" x14ac:dyDescent="0.25">
      <c r="A40" s="93"/>
      <c r="B40" s="94"/>
      <c r="C40" s="95"/>
      <c r="D40" s="96"/>
    </row>
    <row r="41" spans="1:4" ht="15.75" thickBot="1" x14ac:dyDescent="0.3">
      <c r="A41" s="97"/>
      <c r="B41" s="98"/>
      <c r="C41" s="99"/>
      <c r="D41" s="100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selection activeCell="R34" sqref="A1:R34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 customWidth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7" width="16.85546875" style="1" customWidth="1"/>
    <col min="18" max="18" width="12.28515625" style="1" customWidth="1"/>
    <col min="19" max="19" width="9.140625" style="1" customWidth="1"/>
    <col min="20" max="16384" width="9.140625" style="1"/>
  </cols>
  <sheetData>
    <row r="1" spans="1:18" ht="18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" ht="15.75" x14ac:dyDescent="0.25">
      <c r="A2" s="147" t="s">
        <v>85</v>
      </c>
      <c r="B2" s="147"/>
      <c r="C2" s="147"/>
      <c r="D2" s="147"/>
      <c r="E2" s="147"/>
      <c r="F2" s="147"/>
      <c r="G2" s="147"/>
      <c r="H2" s="147"/>
      <c r="I2" s="147"/>
    </row>
    <row r="3" spans="1:18" ht="15.75" x14ac:dyDescent="0.25">
      <c r="A3" s="101"/>
      <c r="B3" s="101"/>
      <c r="C3" s="101"/>
      <c r="D3" s="50"/>
      <c r="E3" s="102"/>
      <c r="F3" s="102"/>
      <c r="G3" s="102"/>
      <c r="H3" s="102"/>
      <c r="I3" s="102"/>
    </row>
    <row r="4" spans="1:18" s="18" customFormat="1" ht="30.75" thickBot="1" x14ac:dyDescent="0.3">
      <c r="A4" s="8"/>
      <c r="B4" s="9"/>
      <c r="C4" s="9"/>
      <c r="D4" s="9"/>
      <c r="E4" s="9"/>
      <c r="F4" s="9"/>
      <c r="G4" s="10"/>
      <c r="H4" s="11" t="s">
        <v>2</v>
      </c>
      <c r="I4" s="12" t="s">
        <v>3</v>
      </c>
      <c r="J4" s="13" t="s">
        <v>61</v>
      </c>
      <c r="K4" s="15" t="s">
        <v>63</v>
      </c>
      <c r="L4" s="15" t="s">
        <v>6</v>
      </c>
      <c r="M4" s="15" t="s">
        <v>86</v>
      </c>
      <c r="N4" s="15" t="s">
        <v>11</v>
      </c>
      <c r="O4" s="15" t="s">
        <v>87</v>
      </c>
      <c r="P4" s="15" t="s">
        <v>9</v>
      </c>
      <c r="Q4" s="15" t="s">
        <v>66</v>
      </c>
      <c r="R4" s="103" t="s">
        <v>15</v>
      </c>
    </row>
    <row r="5" spans="1:18" s="23" customFormat="1" ht="15" customHeight="1" thickBot="1" x14ac:dyDescent="0.3">
      <c r="A5" s="148" t="s">
        <v>16</v>
      </c>
      <c r="B5" s="148"/>
      <c r="C5" s="148"/>
      <c r="D5" s="148"/>
      <c r="E5" s="148"/>
      <c r="F5" s="148"/>
      <c r="G5" s="148"/>
      <c r="H5" s="148"/>
      <c r="I5" s="19">
        <v>120</v>
      </c>
      <c r="J5" s="20">
        <v>102.14</v>
      </c>
      <c r="K5" s="21">
        <v>6.13</v>
      </c>
      <c r="L5" s="21">
        <v>3.58</v>
      </c>
      <c r="M5" s="21">
        <v>0</v>
      </c>
      <c r="N5" s="21">
        <v>3.15</v>
      </c>
      <c r="O5" s="21">
        <v>0</v>
      </c>
      <c r="P5" s="21">
        <v>1.75</v>
      </c>
      <c r="Q5" s="21">
        <v>3.25</v>
      </c>
      <c r="R5" s="104">
        <f>I5-SUM(J5:Q5)</f>
        <v>0</v>
      </c>
    </row>
    <row r="6" spans="1:18" x14ac:dyDescent="0.25">
      <c r="A6" s="149" t="s">
        <v>17</v>
      </c>
      <c r="B6" s="149"/>
      <c r="C6" s="149"/>
      <c r="D6" s="149"/>
      <c r="E6" s="149"/>
      <c r="F6" s="149"/>
      <c r="G6" s="24"/>
      <c r="I6" s="25"/>
      <c r="J6" s="26"/>
      <c r="K6" s="25"/>
      <c r="L6" s="25"/>
      <c r="M6" s="25"/>
      <c r="N6" s="25"/>
      <c r="O6" s="25"/>
      <c r="P6" s="25"/>
      <c r="Q6" s="25"/>
      <c r="R6" s="105"/>
    </row>
    <row r="7" spans="1:18" x14ac:dyDescent="0.25">
      <c r="A7" s="30"/>
      <c r="G7" s="31"/>
      <c r="I7" s="27"/>
      <c r="J7" s="32"/>
      <c r="K7" s="27"/>
      <c r="L7" s="27"/>
      <c r="M7" s="27"/>
      <c r="N7" s="27"/>
      <c r="O7" s="27"/>
      <c r="P7" s="27"/>
      <c r="Q7" s="27"/>
      <c r="R7" s="106"/>
    </row>
    <row r="8" spans="1:18" x14ac:dyDescent="0.25">
      <c r="A8" s="137" t="s">
        <v>18</v>
      </c>
      <c r="B8" s="137"/>
      <c r="C8" s="137"/>
      <c r="D8" s="137"/>
      <c r="E8" s="137"/>
      <c r="F8" s="137"/>
      <c r="G8" s="35"/>
      <c r="I8" s="27"/>
      <c r="J8" s="32"/>
      <c r="K8" s="27"/>
      <c r="L8" s="27"/>
      <c r="M8" s="27"/>
      <c r="N8" s="27"/>
      <c r="O8" s="27"/>
      <c r="P8" s="27"/>
      <c r="Q8" s="27"/>
      <c r="R8" s="106"/>
    </row>
    <row r="9" spans="1:18" x14ac:dyDescent="0.25">
      <c r="A9" s="34"/>
      <c r="B9" s="36" t="s">
        <v>19</v>
      </c>
      <c r="C9" s="37"/>
      <c r="D9" s="37"/>
      <c r="E9" s="37"/>
      <c r="F9" s="37"/>
      <c r="G9" s="38" t="s">
        <v>20</v>
      </c>
      <c r="H9" s="39">
        <v>9900</v>
      </c>
      <c r="I9" s="27">
        <f t="shared" ref="I9:Q9" si="0">I10-I13</f>
        <v>7051427.5399999991</v>
      </c>
      <c r="J9" s="27">
        <f t="shared" si="0"/>
        <v>6286856.6500000004</v>
      </c>
      <c r="K9" s="27">
        <f t="shared" si="0"/>
        <v>262406.04144916666</v>
      </c>
      <c r="L9" s="27">
        <f t="shared" si="0"/>
        <v>160908.87706166666</v>
      </c>
      <c r="M9" s="27">
        <f t="shared" si="0"/>
        <v>930.10999999999967</v>
      </c>
      <c r="N9" s="40">
        <f t="shared" si="0"/>
        <v>261802.32</v>
      </c>
      <c r="O9" s="27">
        <f t="shared" si="0"/>
        <v>2000</v>
      </c>
      <c r="P9" s="27">
        <f t="shared" si="0"/>
        <v>50397.020000000004</v>
      </c>
      <c r="Q9" s="40">
        <f t="shared" si="0"/>
        <v>26126.519999999997</v>
      </c>
      <c r="R9" s="107">
        <f t="shared" ref="R9:R19" si="1">I9-SUM(J9:Q9)</f>
        <v>1.4891652390360832E-3</v>
      </c>
    </row>
    <row r="10" spans="1:18" x14ac:dyDescent="0.25">
      <c r="A10" s="30"/>
      <c r="B10" s="43"/>
      <c r="C10" s="150" t="s">
        <v>21</v>
      </c>
      <c r="D10" s="150"/>
      <c r="E10" s="150"/>
      <c r="F10" s="150"/>
      <c r="G10" s="35"/>
      <c r="H10" s="39" t="s">
        <v>22</v>
      </c>
      <c r="I10" s="28">
        <f>I11+I12+215570.55</f>
        <v>8361744.5099999998</v>
      </c>
      <c r="J10" s="28">
        <v>7413095.46</v>
      </c>
      <c r="K10" s="28">
        <f>K11+K12</f>
        <v>329341.40000000002</v>
      </c>
      <c r="L10" s="28">
        <f>L11+L12</f>
        <v>200000</v>
      </c>
      <c r="M10" s="28">
        <f>M11+M12</f>
        <v>6000</v>
      </c>
      <c r="N10" s="28">
        <f>N12+590</f>
        <v>292140.89</v>
      </c>
      <c r="O10" s="28">
        <f>SUM(O11:O12)</f>
        <v>2000</v>
      </c>
      <c r="P10" s="28">
        <f>SUM(P11:P12)</f>
        <v>55414.37</v>
      </c>
      <c r="Q10" s="28">
        <f>Q12+Q11+2508</f>
        <v>63752.39</v>
      </c>
      <c r="R10" s="107">
        <f t="shared" si="1"/>
        <v>0</v>
      </c>
    </row>
    <row r="11" spans="1:18" x14ac:dyDescent="0.25">
      <c r="A11" s="30"/>
      <c r="B11" s="143"/>
      <c r="C11" s="143"/>
      <c r="D11" s="144" t="s">
        <v>23</v>
      </c>
      <c r="E11" s="144"/>
      <c r="F11" s="144"/>
      <c r="G11" s="35"/>
      <c r="H11" s="39">
        <v>70</v>
      </c>
      <c r="I11" s="28">
        <v>521413.55</v>
      </c>
      <c r="J11" s="44">
        <v>521161.17</v>
      </c>
      <c r="K11" s="45"/>
      <c r="L11" s="45"/>
      <c r="M11" s="28"/>
      <c r="N11" s="45">
        <v>0</v>
      </c>
      <c r="O11" s="28"/>
      <c r="P11" s="28"/>
      <c r="Q11" s="45">
        <v>252.38</v>
      </c>
      <c r="R11" s="107">
        <f t="shared" si="1"/>
        <v>0</v>
      </c>
    </row>
    <row r="12" spans="1:18" ht="14.45" customHeight="1" x14ac:dyDescent="0.25">
      <c r="A12" s="30"/>
      <c r="D12" s="145" t="s">
        <v>24</v>
      </c>
      <c r="E12" s="145"/>
      <c r="F12" s="145"/>
      <c r="G12" s="46"/>
      <c r="H12" s="39">
        <v>73</v>
      </c>
      <c r="I12" s="33">
        <v>7624760.4100000001</v>
      </c>
      <c r="J12" s="47">
        <v>6679461.7400000002</v>
      </c>
      <c r="K12" s="108">
        <f>305000+24341.4</f>
        <v>329341.40000000002</v>
      </c>
      <c r="L12" s="108">
        <v>200000</v>
      </c>
      <c r="M12" s="109">
        <v>6000</v>
      </c>
      <c r="N12" s="108">
        <v>291550.89</v>
      </c>
      <c r="O12" s="109">
        <v>2000</v>
      </c>
      <c r="P12" s="109">
        <v>55414.37</v>
      </c>
      <c r="Q12" s="108">
        <v>60992.01</v>
      </c>
      <c r="R12" s="107">
        <f t="shared" si="1"/>
        <v>0</v>
      </c>
    </row>
    <row r="13" spans="1:18" ht="14.45" customHeight="1" x14ac:dyDescent="0.25">
      <c r="A13" s="30"/>
      <c r="B13" s="48"/>
      <c r="C13" s="140" t="s">
        <v>25</v>
      </c>
      <c r="D13" s="140"/>
      <c r="E13" s="140"/>
      <c r="F13" s="140"/>
      <c r="G13" s="35"/>
      <c r="H13" s="39" t="s">
        <v>26</v>
      </c>
      <c r="I13" s="33">
        <f>156491.61+1153825.36</f>
        <v>1310316.9700000002</v>
      </c>
      <c r="J13" s="47">
        <v>1126238.81</v>
      </c>
      <c r="K13" s="42">
        <f>I13*K5/120</f>
        <v>66935.358550833349</v>
      </c>
      <c r="L13" s="42">
        <f>I13*L5/I5</f>
        <v>39091.122938333341</v>
      </c>
      <c r="M13" s="33">
        <v>5069.8900000000003</v>
      </c>
      <c r="N13" s="42">
        <f>752.8+29585.77</f>
        <v>30338.57</v>
      </c>
      <c r="O13" s="33"/>
      <c r="P13" s="33">
        <v>5017.3500000000004</v>
      </c>
      <c r="Q13" s="42">
        <f>19523.65+18102.22</f>
        <v>37625.870000000003</v>
      </c>
      <c r="R13" s="107">
        <f t="shared" si="1"/>
        <v>-1.4891666360199451E-3</v>
      </c>
    </row>
    <row r="14" spans="1:18" ht="14.45" customHeight="1" x14ac:dyDescent="0.25">
      <c r="A14" s="30"/>
      <c r="B14" s="140" t="s">
        <v>27</v>
      </c>
      <c r="C14" s="140"/>
      <c r="D14" s="140"/>
      <c r="E14" s="140"/>
      <c r="F14" s="140"/>
      <c r="G14" s="35" t="s">
        <v>20</v>
      </c>
      <c r="H14" s="39">
        <v>62</v>
      </c>
      <c r="I14" s="28">
        <v>6840608.2300000004</v>
      </c>
      <c r="J14" s="44">
        <v>6082973.4800000004</v>
      </c>
      <c r="K14" s="45">
        <v>300000.26</v>
      </c>
      <c r="L14" s="45">
        <v>208837.48</v>
      </c>
      <c r="M14" s="28">
        <v>0</v>
      </c>
      <c r="N14" s="45">
        <v>200293.08</v>
      </c>
      <c r="O14" s="28">
        <v>0</v>
      </c>
      <c r="P14" s="28">
        <v>48503.93</v>
      </c>
      <c r="Q14" s="45"/>
      <c r="R14" s="107">
        <f t="shared" si="1"/>
        <v>0</v>
      </c>
    </row>
    <row r="15" spans="1:18" ht="14.45" customHeight="1" x14ac:dyDescent="0.25">
      <c r="A15" s="30"/>
      <c r="B15" s="140" t="s">
        <v>28</v>
      </c>
      <c r="C15" s="140"/>
      <c r="D15" s="140"/>
      <c r="E15" s="140"/>
      <c r="F15" s="140"/>
      <c r="G15" s="35" t="s">
        <v>20</v>
      </c>
      <c r="H15" s="39">
        <v>630</v>
      </c>
      <c r="I15" s="33">
        <v>218442.35</v>
      </c>
      <c r="J15" s="47">
        <v>181808.3</v>
      </c>
      <c r="K15" s="42">
        <f>I15*K5/I5</f>
        <v>11158.763379166667</v>
      </c>
      <c r="L15" s="110">
        <f>I15*L5/I5</f>
        <v>6516.8634416666664</v>
      </c>
      <c r="M15" s="33">
        <v>0</v>
      </c>
      <c r="N15" s="42">
        <v>18958.419999999998</v>
      </c>
      <c r="O15" s="33">
        <v>0</v>
      </c>
      <c r="P15" s="33">
        <v>0</v>
      </c>
      <c r="Q15" s="42"/>
      <c r="R15" s="107">
        <f t="shared" si="1"/>
        <v>3.1791666697245091E-3</v>
      </c>
    </row>
    <row r="16" spans="1:18" ht="14.45" customHeight="1" x14ac:dyDescent="0.25">
      <c r="A16" s="30"/>
      <c r="B16" s="140" t="s">
        <v>29</v>
      </c>
      <c r="C16" s="140"/>
      <c r="D16" s="140"/>
      <c r="E16" s="140"/>
      <c r="F16" s="140"/>
      <c r="G16" s="35" t="s">
        <v>20</v>
      </c>
      <c r="H16" s="39" t="s">
        <v>30</v>
      </c>
      <c r="I16" s="33">
        <v>0</v>
      </c>
      <c r="J16" s="47"/>
      <c r="K16" s="42"/>
      <c r="L16" s="110"/>
      <c r="M16" s="33">
        <v>0</v>
      </c>
      <c r="N16" s="42"/>
      <c r="O16" s="33">
        <v>0</v>
      </c>
      <c r="P16" s="33">
        <v>0</v>
      </c>
      <c r="Q16" s="42"/>
      <c r="R16" s="107">
        <f t="shared" si="1"/>
        <v>0</v>
      </c>
    </row>
    <row r="17" spans="1:18" ht="14.45" customHeight="1" x14ac:dyDescent="0.25">
      <c r="A17" s="30"/>
      <c r="B17" s="140" t="s">
        <v>31</v>
      </c>
      <c r="C17" s="140"/>
      <c r="D17" s="140"/>
      <c r="E17" s="140"/>
      <c r="F17" s="140"/>
      <c r="G17" s="35" t="s">
        <v>20</v>
      </c>
      <c r="H17" s="39" t="s">
        <v>32</v>
      </c>
      <c r="I17" s="33">
        <v>-5610</v>
      </c>
      <c r="J17" s="47">
        <v>-5156.0600000000004</v>
      </c>
      <c r="K17" s="42">
        <f>I17*K5/I5</f>
        <v>-286.57750000000004</v>
      </c>
      <c r="L17" s="110">
        <f>I17*L5/I5</f>
        <v>-167.36499999999998</v>
      </c>
      <c r="M17" s="33">
        <v>0</v>
      </c>
      <c r="N17" s="42"/>
      <c r="O17" s="33">
        <v>0</v>
      </c>
      <c r="P17" s="33">
        <v>0</v>
      </c>
      <c r="Q17" s="42"/>
      <c r="R17" s="107">
        <f t="shared" si="1"/>
        <v>2.500000000509317E-3</v>
      </c>
    </row>
    <row r="18" spans="1:18" ht="14.45" customHeight="1" x14ac:dyDescent="0.25">
      <c r="A18" s="30"/>
      <c r="B18" s="141" t="s">
        <v>33</v>
      </c>
      <c r="C18" s="141"/>
      <c r="D18" s="141"/>
      <c r="E18" s="141"/>
      <c r="F18" s="141"/>
      <c r="G18" s="35"/>
      <c r="H18" s="39" t="s">
        <v>34</v>
      </c>
      <c r="I18" s="33">
        <v>90853.87</v>
      </c>
      <c r="J18" s="47">
        <v>79351.649999999994</v>
      </c>
      <c r="K18" s="42">
        <f>I18*K5/I5</f>
        <v>4641.1185258333326</v>
      </c>
      <c r="L18" s="110">
        <f>I18*L5/I5</f>
        <v>2710.4737883333332</v>
      </c>
      <c r="M18" s="33">
        <v>147.71</v>
      </c>
      <c r="N18" s="42">
        <v>4002.92</v>
      </c>
      <c r="O18" s="33">
        <v>0</v>
      </c>
      <c r="P18" s="33">
        <v>0</v>
      </c>
      <c r="Q18" s="42"/>
      <c r="R18" s="107">
        <f t="shared" si="1"/>
        <v>-2.3141666606534272E-3</v>
      </c>
    </row>
    <row r="19" spans="1:18" ht="14.45" customHeight="1" x14ac:dyDescent="0.25">
      <c r="A19" s="30"/>
      <c r="B19" s="140" t="s">
        <v>35</v>
      </c>
      <c r="C19" s="140"/>
      <c r="D19" s="140"/>
      <c r="E19" s="140"/>
      <c r="F19" s="140"/>
      <c r="G19" s="35" t="s">
        <v>36</v>
      </c>
      <c r="H19" s="39">
        <v>649</v>
      </c>
      <c r="I19" s="33">
        <v>0</v>
      </c>
      <c r="J19" s="47"/>
      <c r="K19" s="42"/>
      <c r="L19" s="110"/>
      <c r="M19" s="33"/>
      <c r="N19" s="42"/>
      <c r="O19" s="33"/>
      <c r="P19" s="33"/>
      <c r="Q19" s="42"/>
      <c r="R19" s="107">
        <f t="shared" si="1"/>
        <v>0</v>
      </c>
    </row>
    <row r="20" spans="1:18" x14ac:dyDescent="0.25">
      <c r="A20" s="30"/>
      <c r="B20" s="49"/>
      <c r="C20" s="50"/>
      <c r="D20" s="43"/>
      <c r="E20" s="43"/>
      <c r="F20" s="43"/>
      <c r="G20" s="35"/>
      <c r="H20" s="39"/>
      <c r="I20" s="51"/>
      <c r="J20" s="52"/>
      <c r="K20" s="53"/>
      <c r="L20" s="111"/>
      <c r="M20" s="51"/>
      <c r="N20" s="53"/>
      <c r="O20" s="51"/>
      <c r="P20" s="51"/>
      <c r="Q20" s="53"/>
      <c r="R20" s="112"/>
    </row>
    <row r="21" spans="1:18" s="57" customFormat="1" x14ac:dyDescent="0.25">
      <c r="A21" s="142" t="s">
        <v>37</v>
      </c>
      <c r="B21" s="142"/>
      <c r="C21" s="142"/>
      <c r="D21" s="142"/>
      <c r="E21" s="142"/>
      <c r="F21" s="142"/>
      <c r="G21" s="55" t="s">
        <v>20</v>
      </c>
      <c r="H21" s="56">
        <v>9901</v>
      </c>
      <c r="I21" s="33">
        <f t="shared" ref="I21:R21" si="2">I9-I14-I15-I16-I17-I18-I19</f>
        <v>-92866.910000001342</v>
      </c>
      <c r="J21" s="47">
        <f t="shared" si="2"/>
        <v>-52120.720000000059</v>
      </c>
      <c r="K21" s="42">
        <f t="shared" si="2"/>
        <v>-53107.522955833352</v>
      </c>
      <c r="L21" s="110">
        <f t="shared" si="2"/>
        <v>-56988.575168333358</v>
      </c>
      <c r="M21" s="33">
        <f t="shared" si="2"/>
        <v>782.39999999999964</v>
      </c>
      <c r="N21" s="42">
        <f t="shared" si="2"/>
        <v>38547.900000000023</v>
      </c>
      <c r="O21" s="33">
        <f t="shared" si="2"/>
        <v>2000</v>
      </c>
      <c r="P21" s="33">
        <f t="shared" si="2"/>
        <v>1893.0900000000038</v>
      </c>
      <c r="Q21" s="42">
        <f t="shared" si="2"/>
        <v>26126.519999999997</v>
      </c>
      <c r="R21" s="113">
        <f t="shared" si="2"/>
        <v>-1.8758347705443157E-3</v>
      </c>
    </row>
    <row r="22" spans="1:18" s="57" customFormat="1" x14ac:dyDescent="0.25">
      <c r="A22" s="58"/>
      <c r="B22" s="143"/>
      <c r="C22" s="143"/>
      <c r="D22" s="143"/>
      <c r="E22" s="143"/>
      <c r="F22" s="143"/>
      <c r="G22" s="55"/>
      <c r="H22" s="56"/>
      <c r="I22" s="59"/>
      <c r="J22" s="60"/>
      <c r="K22" s="61"/>
      <c r="L22" s="114"/>
      <c r="M22" s="59"/>
      <c r="N22" s="61"/>
      <c r="O22" s="59"/>
      <c r="P22" s="59"/>
      <c r="Q22" s="61"/>
      <c r="R22" s="115"/>
    </row>
    <row r="23" spans="1:18" x14ac:dyDescent="0.25">
      <c r="A23" s="62" t="s">
        <v>38</v>
      </c>
      <c r="B23" s="63"/>
      <c r="C23" s="63"/>
      <c r="D23" s="63"/>
      <c r="E23" s="63"/>
      <c r="F23" s="63"/>
      <c r="G23" s="31"/>
      <c r="H23" s="39">
        <v>75</v>
      </c>
      <c r="I23" s="28">
        <v>4167.7</v>
      </c>
      <c r="J23" s="44">
        <v>3830.46</v>
      </c>
      <c r="K23" s="45">
        <f>I23*K5/I5</f>
        <v>212.90000833333335</v>
      </c>
      <c r="L23" s="116">
        <f>I23*L5/I5</f>
        <v>124.33638333333333</v>
      </c>
      <c r="M23" s="28"/>
      <c r="N23" s="45"/>
      <c r="O23" s="28"/>
      <c r="P23" s="28"/>
      <c r="Q23" s="45"/>
      <c r="R23" s="117">
        <f>I23-SUM(J23:O23)</f>
        <v>3.6083333325223066E-3</v>
      </c>
    </row>
    <row r="24" spans="1:18" x14ac:dyDescent="0.25">
      <c r="A24" s="62"/>
      <c r="B24" s="63"/>
      <c r="C24" s="63"/>
      <c r="D24" s="63"/>
      <c r="E24" s="63"/>
      <c r="F24" s="63"/>
      <c r="G24" s="31"/>
      <c r="H24" s="39"/>
      <c r="I24" s="59"/>
      <c r="J24" s="60"/>
      <c r="K24" s="61"/>
      <c r="L24" s="114"/>
      <c r="M24" s="59"/>
      <c r="N24" s="61"/>
      <c r="O24" s="59"/>
      <c r="P24" s="59"/>
      <c r="Q24" s="61"/>
      <c r="R24" s="115"/>
    </row>
    <row r="25" spans="1:18" x14ac:dyDescent="0.25">
      <c r="A25" s="137" t="s">
        <v>39</v>
      </c>
      <c r="B25" s="137"/>
      <c r="C25" s="137"/>
      <c r="D25" s="137"/>
      <c r="E25" s="137"/>
      <c r="F25" s="137"/>
      <c r="G25" s="31"/>
      <c r="H25" s="39">
        <v>65</v>
      </c>
      <c r="I25" s="64">
        <v>29184.15</v>
      </c>
      <c r="J25" s="65">
        <v>18213.099999999999</v>
      </c>
      <c r="K25" s="66">
        <f>I25*K5/I5</f>
        <v>1490.8236625</v>
      </c>
      <c r="L25" s="118">
        <f>I25*L5/I5</f>
        <v>870.66047500000013</v>
      </c>
      <c r="M25" s="64"/>
      <c r="N25" s="66">
        <v>8609.57</v>
      </c>
      <c r="O25" s="64"/>
      <c r="P25" s="64"/>
      <c r="Q25" s="66"/>
      <c r="R25" s="119">
        <f>I25-SUM(J25:O25)</f>
        <v>-4.1374999964318704E-3</v>
      </c>
    </row>
    <row r="26" spans="1:18" x14ac:dyDescent="0.25">
      <c r="A26" s="34"/>
      <c r="B26" s="37"/>
      <c r="C26" s="37"/>
      <c r="D26" s="37"/>
      <c r="E26" s="37"/>
      <c r="F26" s="37"/>
      <c r="G26" s="31"/>
      <c r="H26" s="39"/>
      <c r="I26" s="67"/>
      <c r="J26" s="68"/>
      <c r="K26" s="54"/>
      <c r="L26" s="120"/>
      <c r="M26" s="67"/>
      <c r="N26" s="54"/>
      <c r="O26" s="67"/>
      <c r="P26" s="67"/>
      <c r="Q26" s="54"/>
      <c r="R26" s="121"/>
    </row>
    <row r="27" spans="1:18" x14ac:dyDescent="0.25">
      <c r="A27" s="138" t="s">
        <v>40</v>
      </c>
      <c r="B27" s="138"/>
      <c r="C27" s="138"/>
      <c r="D27" s="138"/>
      <c r="E27" s="138"/>
      <c r="F27" s="138"/>
      <c r="G27" s="69" t="s">
        <v>20</v>
      </c>
      <c r="H27" s="39">
        <v>9902</v>
      </c>
      <c r="I27" s="33">
        <f t="shared" ref="I27:R27" si="3">I21+I23-I25</f>
        <v>-117883.36000000135</v>
      </c>
      <c r="J27" s="47">
        <f t="shared" si="3"/>
        <v>-66503.360000000059</v>
      </c>
      <c r="K27" s="42">
        <f t="shared" si="3"/>
        <v>-54385.446610000021</v>
      </c>
      <c r="L27" s="110">
        <f t="shared" si="3"/>
        <v>-57734.89926000002</v>
      </c>
      <c r="M27" s="33">
        <f t="shared" si="3"/>
        <v>782.39999999999964</v>
      </c>
      <c r="N27" s="42">
        <f t="shared" si="3"/>
        <v>29938.330000000024</v>
      </c>
      <c r="O27" s="33">
        <f t="shared" si="3"/>
        <v>2000</v>
      </c>
      <c r="P27" s="33">
        <f t="shared" si="3"/>
        <v>1893.0900000000038</v>
      </c>
      <c r="Q27" s="42">
        <f t="shared" si="3"/>
        <v>26126.519999999997</v>
      </c>
      <c r="R27" s="113">
        <f t="shared" si="3"/>
        <v>5.8699985584098613E-3</v>
      </c>
    </row>
    <row r="28" spans="1:18" x14ac:dyDescent="0.25">
      <c r="A28" s="30"/>
      <c r="G28" s="31"/>
      <c r="H28" s="39"/>
      <c r="I28" s="51"/>
      <c r="J28" s="52"/>
      <c r="K28" s="53"/>
      <c r="L28" s="111"/>
      <c r="M28" s="51"/>
      <c r="N28" s="53"/>
      <c r="O28" s="51"/>
      <c r="P28" s="51"/>
      <c r="Q28" s="53"/>
      <c r="R28" s="112"/>
    </row>
    <row r="29" spans="1:18" x14ac:dyDescent="0.25">
      <c r="A29" s="137" t="s">
        <v>41</v>
      </c>
      <c r="B29" s="137"/>
      <c r="C29" s="137"/>
      <c r="D29" s="137"/>
      <c r="E29" s="137"/>
      <c r="F29" s="137"/>
      <c r="G29" s="31"/>
      <c r="H29" s="39">
        <v>76</v>
      </c>
      <c r="I29" s="28">
        <v>23700.99</v>
      </c>
      <c r="J29" s="44">
        <v>21783.18</v>
      </c>
      <c r="K29" s="45">
        <f>I29*K5/I5</f>
        <v>1210.7255725</v>
      </c>
      <c r="L29" s="116">
        <f>I29*L5/I5</f>
        <v>707.07953500000008</v>
      </c>
      <c r="M29" s="28"/>
      <c r="N29" s="45"/>
      <c r="O29" s="28"/>
      <c r="P29" s="28"/>
      <c r="Q29" s="45"/>
      <c r="R29" s="117">
        <f>I29-SUM(J29:O29)</f>
        <v>4.8925000010058284E-3</v>
      </c>
    </row>
    <row r="30" spans="1:18" x14ac:dyDescent="0.25">
      <c r="A30" s="34"/>
      <c r="B30" s="37"/>
      <c r="C30" s="37"/>
      <c r="D30" s="37"/>
      <c r="E30" s="37"/>
      <c r="F30" s="37"/>
      <c r="G30" s="31"/>
      <c r="H30" s="39"/>
      <c r="I30" s="59"/>
      <c r="J30" s="60"/>
      <c r="K30" s="61"/>
      <c r="L30" s="114"/>
      <c r="M30" s="59"/>
      <c r="N30" s="61"/>
      <c r="O30" s="59"/>
      <c r="P30" s="59"/>
      <c r="Q30" s="61"/>
      <c r="R30" s="115"/>
    </row>
    <row r="31" spans="1:18" x14ac:dyDescent="0.25">
      <c r="A31" s="137" t="s">
        <v>42</v>
      </c>
      <c r="B31" s="137"/>
      <c r="C31" s="137"/>
      <c r="D31" s="137"/>
      <c r="E31" s="137"/>
      <c r="F31" s="137"/>
      <c r="G31" s="31"/>
      <c r="H31" s="39">
        <v>66</v>
      </c>
      <c r="I31" s="64">
        <v>56774.47</v>
      </c>
      <c r="J31" s="65">
        <v>52180.47</v>
      </c>
      <c r="K31" s="66">
        <f>I31*K5/I5</f>
        <v>2900.2291758333331</v>
      </c>
      <c r="L31" s="118">
        <f>I31*L5/I5</f>
        <v>1693.7716883333335</v>
      </c>
      <c r="M31" s="64"/>
      <c r="N31" s="66"/>
      <c r="O31" s="64"/>
      <c r="P31" s="64"/>
      <c r="Q31" s="66"/>
      <c r="R31" s="119">
        <f>I31-SUM(J31:O31)</f>
        <v>-8.6416666454169899E-4</v>
      </c>
    </row>
    <row r="32" spans="1:18" x14ac:dyDescent="0.25">
      <c r="A32" s="30"/>
      <c r="G32" s="31"/>
      <c r="H32" s="39"/>
      <c r="I32" s="51"/>
      <c r="J32" s="52"/>
      <c r="K32" s="53"/>
      <c r="L32" s="111"/>
      <c r="M32" s="51"/>
      <c r="N32" s="53"/>
      <c r="O32" s="51"/>
      <c r="P32" s="51"/>
      <c r="Q32" s="53"/>
      <c r="R32" s="112"/>
    </row>
    <row r="33" spans="1:18" s="57" customFormat="1" x14ac:dyDescent="0.25">
      <c r="A33" s="139" t="s">
        <v>43</v>
      </c>
      <c r="B33" s="139"/>
      <c r="C33" s="139"/>
      <c r="D33" s="139"/>
      <c r="E33" s="139"/>
      <c r="F33" s="139"/>
      <c r="G33" s="70" t="s">
        <v>20</v>
      </c>
      <c r="H33" s="56">
        <v>9904</v>
      </c>
      <c r="I33" s="33">
        <f t="shared" ref="I33:R33" si="4">I27+I29-I31</f>
        <v>-150956.84000000136</v>
      </c>
      <c r="J33" s="47">
        <f t="shared" si="4"/>
        <v>-96900.650000000052</v>
      </c>
      <c r="K33" s="42">
        <f t="shared" si="4"/>
        <v>-56074.950213333352</v>
      </c>
      <c r="L33" s="110">
        <f t="shared" si="4"/>
        <v>-58721.591413333357</v>
      </c>
      <c r="M33" s="33">
        <f t="shared" si="4"/>
        <v>782.39999999999964</v>
      </c>
      <c r="N33" s="42">
        <f t="shared" si="4"/>
        <v>29938.330000000024</v>
      </c>
      <c r="O33" s="33">
        <f t="shared" si="4"/>
        <v>2000</v>
      </c>
      <c r="P33" s="33">
        <f t="shared" si="4"/>
        <v>1893.0900000000038</v>
      </c>
      <c r="Q33" s="42">
        <f t="shared" si="4"/>
        <v>26126.519999999997</v>
      </c>
      <c r="R33" s="113">
        <f t="shared" si="4"/>
        <v>1.1626665223957389E-2</v>
      </c>
    </row>
    <row r="34" spans="1:18" ht="8.25" customHeight="1" thickBot="1" x14ac:dyDescent="0.3">
      <c r="A34" s="71"/>
      <c r="B34" s="72"/>
      <c r="C34" s="72"/>
      <c r="D34" s="72"/>
      <c r="E34" s="72"/>
      <c r="F34" s="72"/>
      <c r="G34" s="73"/>
      <c r="H34" s="74"/>
      <c r="I34" s="64"/>
      <c r="J34" s="75"/>
      <c r="K34" s="64"/>
      <c r="L34" s="122"/>
      <c r="M34" s="64"/>
      <c r="N34" s="64"/>
      <c r="O34" s="64"/>
      <c r="P34" s="64"/>
      <c r="Q34" s="64"/>
      <c r="R34" s="123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R21 I27:R27 I33:R33">
    <cfRule type="cellIs" dxfId="3" priority="2" stopIfTrue="1" operator="lessThan">
      <formula>0</formula>
    </cfRule>
  </conditionalFormatting>
  <conditionalFormatting sqref="I21:R21 I27:R27 I33:R33">
    <cfRule type="cellIs" dxfId="2" priority="1" stopIfTrue="1" operator="greaterThanOrEqual">
      <formula>0</formula>
    </cfRule>
  </conditionalFormatting>
  <pageMargins left="0.70000000000000007" right="0.70000000000000007" top="0.75" bottom="0.75" header="0.30000000000000004" footer="0.30000000000000004"/>
  <pageSetup paperSize="8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E41" sqref="A1:E41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5" max="5" width="2" customWidth="1"/>
    <col min="6" max="6" width="8.85546875" customWidth="1"/>
  </cols>
  <sheetData>
    <row r="1" spans="1:5" ht="18" x14ac:dyDescent="0.25">
      <c r="A1" s="77" t="s">
        <v>44</v>
      </c>
    </row>
    <row r="2" spans="1:5" ht="18" x14ac:dyDescent="0.25">
      <c r="A2" s="77"/>
    </row>
    <row r="3" spans="1:5" ht="23.25" customHeight="1" x14ac:dyDescent="0.25">
      <c r="A3" s="151" t="s">
        <v>45</v>
      </c>
      <c r="B3" s="151"/>
    </row>
    <row r="4" spans="1:5" ht="15.75" thickBot="1" x14ac:dyDescent="0.3"/>
    <row r="5" spans="1:5" ht="15.75" thickBot="1" x14ac:dyDescent="0.3">
      <c r="A5" s="78">
        <v>73</v>
      </c>
      <c r="B5" s="152" t="s">
        <v>24</v>
      </c>
      <c r="C5" s="152"/>
      <c r="D5" s="79">
        <f>SUM(D6:D8)+D9</f>
        <v>7624760.4099999992</v>
      </c>
    </row>
    <row r="6" spans="1:5" x14ac:dyDescent="0.25">
      <c r="A6" s="80" t="s">
        <v>46</v>
      </c>
      <c r="B6" s="153" t="s">
        <v>47</v>
      </c>
      <c r="C6" s="153"/>
      <c r="D6" s="81"/>
    </row>
    <row r="7" spans="1:5" x14ac:dyDescent="0.25">
      <c r="A7" s="80" t="s">
        <v>48</v>
      </c>
      <c r="B7" s="154" t="s">
        <v>49</v>
      </c>
      <c r="C7" s="154"/>
      <c r="D7" s="81">
        <f>841.86+22346.02</f>
        <v>23187.88</v>
      </c>
      <c r="E7">
        <v>1</v>
      </c>
    </row>
    <row r="8" spans="1:5" ht="15.75" thickBot="1" x14ac:dyDescent="0.3">
      <c r="A8" s="82" t="s">
        <v>50</v>
      </c>
      <c r="B8" s="155" t="s">
        <v>51</v>
      </c>
      <c r="C8" s="155"/>
      <c r="D8" s="83"/>
    </row>
    <row r="9" spans="1:5" ht="39.75" customHeight="1" thickBot="1" x14ac:dyDescent="0.3">
      <c r="A9" s="84" t="s">
        <v>52</v>
      </c>
      <c r="B9" s="156" t="s">
        <v>53</v>
      </c>
      <c r="C9" s="156"/>
      <c r="D9" s="79">
        <f>SUM(D11:D41)</f>
        <v>7601572.5299999993</v>
      </c>
    </row>
    <row r="10" spans="1:5" ht="15.75" thickBot="1" x14ac:dyDescent="0.3">
      <c r="A10" s="85" t="s">
        <v>54</v>
      </c>
      <c r="B10" s="86" t="s">
        <v>55</v>
      </c>
      <c r="C10" s="85" t="s">
        <v>56</v>
      </c>
      <c r="D10" s="87" t="s">
        <v>57</v>
      </c>
    </row>
    <row r="11" spans="1:5" x14ac:dyDescent="0.25">
      <c r="A11" s="80">
        <v>736100</v>
      </c>
      <c r="B11" s="88" t="s">
        <v>58</v>
      </c>
      <c r="C11" s="89" t="s">
        <v>59</v>
      </c>
      <c r="D11" s="81">
        <v>83270.84</v>
      </c>
      <c r="E11">
        <v>1</v>
      </c>
    </row>
    <row r="12" spans="1:5" x14ac:dyDescent="0.25">
      <c r="A12" s="80">
        <v>736140</v>
      </c>
      <c r="B12" s="88" t="s">
        <v>60</v>
      </c>
      <c r="C12" s="89" t="s">
        <v>59</v>
      </c>
      <c r="D12" s="81">
        <v>45685.63</v>
      </c>
      <c r="E12">
        <v>1</v>
      </c>
    </row>
    <row r="13" spans="1:5" x14ac:dyDescent="0.25">
      <c r="A13" s="80" t="s">
        <v>61</v>
      </c>
      <c r="B13" s="88" t="s">
        <v>62</v>
      </c>
      <c r="C13" s="89" t="s">
        <v>59</v>
      </c>
      <c r="D13" s="81">
        <f>5645103.24-55414.37</f>
        <v>5589688.8700000001</v>
      </c>
      <c r="E13">
        <v>1</v>
      </c>
    </row>
    <row r="14" spans="1:5" x14ac:dyDescent="0.25">
      <c r="A14" s="90" t="s">
        <v>63</v>
      </c>
      <c r="B14" s="88"/>
      <c r="C14" s="91" t="s">
        <v>63</v>
      </c>
      <c r="D14" s="81">
        <v>305000</v>
      </c>
    </row>
    <row r="15" spans="1:5" x14ac:dyDescent="0.25">
      <c r="A15" s="90" t="s">
        <v>6</v>
      </c>
      <c r="B15" s="92" t="s">
        <v>64</v>
      </c>
      <c r="C15" s="91" t="s">
        <v>6</v>
      </c>
      <c r="D15" s="81">
        <v>200000</v>
      </c>
    </row>
    <row r="16" spans="1:5" x14ac:dyDescent="0.25">
      <c r="A16" s="80">
        <v>738200</v>
      </c>
      <c r="B16" s="92" t="s">
        <v>65</v>
      </c>
      <c r="C16" s="91" t="s">
        <v>59</v>
      </c>
      <c r="D16" s="81">
        <v>359323.04</v>
      </c>
      <c r="E16">
        <v>1</v>
      </c>
    </row>
    <row r="17" spans="1:5" x14ac:dyDescent="0.25">
      <c r="A17" s="90" t="s">
        <v>66</v>
      </c>
      <c r="B17" s="92" t="s">
        <v>88</v>
      </c>
      <c r="C17" s="91" t="s">
        <v>59</v>
      </c>
      <c r="D17" s="81">
        <f>587264.4+11389.56+60992.01</f>
        <v>659645.97000000009</v>
      </c>
      <c r="E17">
        <v>1</v>
      </c>
    </row>
    <row r="18" spans="1:5" x14ac:dyDescent="0.25">
      <c r="A18" s="90" t="s">
        <v>68</v>
      </c>
      <c r="B18" s="92" t="s">
        <v>69</v>
      </c>
      <c r="C18" s="91" t="s">
        <v>59</v>
      </c>
      <c r="D18" s="81">
        <v>0</v>
      </c>
    </row>
    <row r="19" spans="1:5" x14ac:dyDescent="0.25">
      <c r="A19" s="90" t="s">
        <v>70</v>
      </c>
      <c r="B19" s="92" t="s">
        <v>71</v>
      </c>
      <c r="C19" s="91" t="s">
        <v>59</v>
      </c>
      <c r="D19" s="81">
        <v>2448.92</v>
      </c>
    </row>
    <row r="20" spans="1:5" x14ac:dyDescent="0.25">
      <c r="A20" s="90" t="s">
        <v>72</v>
      </c>
      <c r="B20" s="92" t="s">
        <v>72</v>
      </c>
      <c r="C20" s="91" t="s">
        <v>59</v>
      </c>
      <c r="D20" s="81">
        <v>1544</v>
      </c>
    </row>
    <row r="21" spans="1:5" x14ac:dyDescent="0.25">
      <c r="A21" s="90" t="s">
        <v>73</v>
      </c>
      <c r="B21" s="92" t="s">
        <v>74</v>
      </c>
      <c r="C21" s="91" t="s">
        <v>75</v>
      </c>
      <c r="D21" s="81">
        <v>0</v>
      </c>
    </row>
    <row r="22" spans="1:5" x14ac:dyDescent="0.25">
      <c r="A22" s="90" t="s">
        <v>76</v>
      </c>
      <c r="B22" s="92" t="s">
        <v>77</v>
      </c>
      <c r="C22" s="91" t="s">
        <v>78</v>
      </c>
      <c r="D22" s="81">
        <v>0</v>
      </c>
    </row>
    <row r="23" spans="1:5" x14ac:dyDescent="0.25">
      <c r="A23" s="90" t="s">
        <v>76</v>
      </c>
      <c r="B23" s="92" t="s">
        <v>79</v>
      </c>
      <c r="C23" s="91" t="s">
        <v>80</v>
      </c>
      <c r="D23" s="81">
        <v>2000</v>
      </c>
    </row>
    <row r="24" spans="1:5" x14ac:dyDescent="0.25">
      <c r="A24" s="90" t="s">
        <v>81</v>
      </c>
      <c r="B24" s="92" t="s">
        <v>82</v>
      </c>
      <c r="C24" s="91" t="s">
        <v>13</v>
      </c>
      <c r="D24" s="81">
        <v>0</v>
      </c>
    </row>
    <row r="25" spans="1:5" x14ac:dyDescent="0.25">
      <c r="A25" s="90" t="s">
        <v>10</v>
      </c>
      <c r="B25" s="92" t="s">
        <v>83</v>
      </c>
      <c r="C25" s="91" t="s">
        <v>10</v>
      </c>
      <c r="D25" s="81">
        <v>0</v>
      </c>
    </row>
    <row r="26" spans="1:5" x14ac:dyDescent="0.25">
      <c r="A26" s="90" t="s">
        <v>11</v>
      </c>
      <c r="B26" s="92" t="s">
        <v>84</v>
      </c>
      <c r="C26" s="91" t="s">
        <v>11</v>
      </c>
      <c r="D26" s="81">
        <v>291550.89</v>
      </c>
    </row>
    <row r="27" spans="1:5" x14ac:dyDescent="0.25">
      <c r="A27" s="80" t="s">
        <v>61</v>
      </c>
      <c r="B27" s="88" t="s">
        <v>9</v>
      </c>
      <c r="C27" s="89" t="s">
        <v>9</v>
      </c>
      <c r="D27" s="81">
        <v>55414.37</v>
      </c>
      <c r="E27">
        <v>1</v>
      </c>
    </row>
    <row r="28" spans="1:5" x14ac:dyDescent="0.25">
      <c r="A28" s="80" t="s">
        <v>63</v>
      </c>
      <c r="B28" s="88" t="s">
        <v>9</v>
      </c>
      <c r="C28" s="89" t="s">
        <v>9</v>
      </c>
      <c r="D28" s="81">
        <v>6000</v>
      </c>
      <c r="E28" s="124"/>
    </row>
    <row r="29" spans="1:5" x14ac:dyDescent="0.25">
      <c r="A29" s="80"/>
      <c r="B29" s="88"/>
      <c r="C29" s="89"/>
      <c r="D29" s="81"/>
    </row>
    <row r="30" spans="1:5" x14ac:dyDescent="0.25">
      <c r="A30" s="80"/>
      <c r="B30" s="88"/>
      <c r="C30" s="89"/>
      <c r="D30" s="81"/>
    </row>
    <row r="31" spans="1:5" x14ac:dyDescent="0.25">
      <c r="A31" s="80"/>
      <c r="B31" s="88"/>
      <c r="C31" s="89"/>
      <c r="D31" s="81"/>
    </row>
    <row r="32" spans="1:5" x14ac:dyDescent="0.25">
      <c r="A32" s="80"/>
      <c r="B32" s="88"/>
      <c r="C32" s="89"/>
      <c r="D32" s="81"/>
    </row>
    <row r="33" spans="1:4" x14ac:dyDescent="0.25">
      <c r="A33" s="80"/>
      <c r="B33" s="88"/>
      <c r="C33" s="89"/>
      <c r="D33" s="81"/>
    </row>
    <row r="34" spans="1:4" x14ac:dyDescent="0.25">
      <c r="A34" s="80"/>
      <c r="B34" s="88"/>
      <c r="C34" s="89"/>
      <c r="D34" s="81"/>
    </row>
    <row r="35" spans="1:4" x14ac:dyDescent="0.25">
      <c r="A35" s="80"/>
      <c r="B35" s="88"/>
      <c r="C35" s="89"/>
      <c r="D35" s="81"/>
    </row>
    <row r="36" spans="1:4" x14ac:dyDescent="0.25">
      <c r="A36" s="93"/>
      <c r="B36" s="94"/>
      <c r="C36" s="95"/>
      <c r="D36" s="96"/>
    </row>
    <row r="37" spans="1:4" x14ac:dyDescent="0.25">
      <c r="A37" s="93"/>
      <c r="B37" s="94"/>
      <c r="C37" s="95"/>
      <c r="D37" s="96"/>
    </row>
    <row r="38" spans="1:4" x14ac:dyDescent="0.25">
      <c r="A38" s="93"/>
      <c r="B38" s="94"/>
      <c r="C38" s="95"/>
      <c r="D38" s="96"/>
    </row>
    <row r="39" spans="1:4" x14ac:dyDescent="0.25">
      <c r="A39" s="93"/>
      <c r="B39" s="94"/>
      <c r="C39" s="95"/>
      <c r="D39" s="96"/>
    </row>
    <row r="40" spans="1:4" x14ac:dyDescent="0.25">
      <c r="A40" s="93"/>
      <c r="B40" s="94"/>
      <c r="C40" s="95"/>
      <c r="D40" s="96"/>
    </row>
    <row r="41" spans="1:4" ht="15.75" thickBot="1" x14ac:dyDescent="0.3">
      <c r="A41" s="97"/>
      <c r="B41" s="98"/>
      <c r="C41" s="99"/>
      <c r="D41" s="100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N34" sqref="A1:N34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 customWidth="1"/>
    <col min="6" max="6" width="22.42578125" style="1" customWidth="1"/>
    <col min="7" max="7" width="4.42578125" style="1" customWidth="1"/>
    <col min="8" max="8" width="6.28515625" style="1" customWidth="1"/>
    <col min="9" max="9" width="14.7109375" style="1" customWidth="1"/>
    <col min="10" max="13" width="16.7109375" style="1" customWidth="1"/>
    <col min="14" max="14" width="12.28515625" style="1" customWidth="1"/>
    <col min="15" max="15" width="9.140625" style="1" customWidth="1"/>
    <col min="16" max="16384" width="9.140625" style="1"/>
  </cols>
  <sheetData>
    <row r="1" spans="1:14" ht="18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ht="15.75" x14ac:dyDescent="0.25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14" ht="15.75" x14ac:dyDescent="0.25">
      <c r="A3" s="101"/>
      <c r="B3" s="101"/>
      <c r="C3" s="101"/>
      <c r="D3" s="50"/>
      <c r="E3" s="102"/>
      <c r="F3" s="102"/>
      <c r="G3" s="102"/>
      <c r="H3" s="102"/>
      <c r="I3" s="102"/>
    </row>
    <row r="4" spans="1:14" s="18" customFormat="1" ht="30.75" thickBot="1" x14ac:dyDescent="0.3">
      <c r="A4" s="8"/>
      <c r="B4" s="9"/>
      <c r="C4" s="9"/>
      <c r="D4" s="9"/>
      <c r="E4" s="9"/>
      <c r="F4" s="9"/>
      <c r="G4" s="10"/>
      <c r="H4" s="11" t="s">
        <v>2</v>
      </c>
      <c r="I4" s="12" t="s">
        <v>3</v>
      </c>
      <c r="J4" s="13" t="s">
        <v>61</v>
      </c>
      <c r="K4" s="15" t="s">
        <v>89</v>
      </c>
      <c r="L4" s="15" t="s">
        <v>9</v>
      </c>
      <c r="M4" s="15" t="s">
        <v>90</v>
      </c>
      <c r="N4" s="103" t="s">
        <v>15</v>
      </c>
    </row>
    <row r="5" spans="1:14" s="18" customFormat="1" ht="15" customHeight="1" thickBot="1" x14ac:dyDescent="0.3">
      <c r="A5" s="157" t="s">
        <v>16</v>
      </c>
      <c r="B5" s="157"/>
      <c r="C5" s="157"/>
      <c r="D5" s="157"/>
      <c r="E5" s="157"/>
      <c r="F5" s="157"/>
      <c r="G5" s="157"/>
      <c r="H5" s="157"/>
      <c r="I5" s="125">
        <v>138</v>
      </c>
      <c r="J5" s="126">
        <v>122.66</v>
      </c>
      <c r="K5" s="127">
        <v>10.62</v>
      </c>
      <c r="L5" s="127">
        <v>1.3</v>
      </c>
      <c r="M5" s="127">
        <v>3.42</v>
      </c>
      <c r="N5" s="128">
        <f>I5-SUM(J5:M5)</f>
        <v>0</v>
      </c>
    </row>
    <row r="6" spans="1:14" x14ac:dyDescent="0.25">
      <c r="A6" s="149" t="s">
        <v>17</v>
      </c>
      <c r="B6" s="149"/>
      <c r="C6" s="149"/>
      <c r="D6" s="149"/>
      <c r="E6" s="149"/>
      <c r="F6" s="149"/>
      <c r="G6" s="24"/>
      <c r="I6" s="25"/>
      <c r="J6" s="26"/>
      <c r="K6" s="25"/>
      <c r="L6" s="25"/>
      <c r="M6" s="25"/>
      <c r="N6" s="105"/>
    </row>
    <row r="7" spans="1:14" x14ac:dyDescent="0.25">
      <c r="A7" s="30"/>
      <c r="G7" s="31"/>
      <c r="I7" s="27"/>
      <c r="J7" s="32"/>
      <c r="K7" s="27"/>
      <c r="L7" s="27"/>
      <c r="M7" s="27"/>
      <c r="N7" s="106"/>
    </row>
    <row r="8" spans="1:14" x14ac:dyDescent="0.25">
      <c r="A8" s="137" t="s">
        <v>18</v>
      </c>
      <c r="B8" s="137"/>
      <c r="C8" s="137"/>
      <c r="D8" s="137"/>
      <c r="E8" s="137"/>
      <c r="F8" s="137"/>
      <c r="G8" s="35"/>
      <c r="I8" s="27"/>
      <c r="J8" s="32"/>
      <c r="K8" s="27"/>
      <c r="L8" s="27"/>
      <c r="M8" s="27"/>
      <c r="N8" s="106"/>
    </row>
    <row r="9" spans="1:14" x14ac:dyDescent="0.25">
      <c r="A9" s="34"/>
      <c r="B9" s="36" t="s">
        <v>19</v>
      </c>
      <c r="C9" s="37"/>
      <c r="D9" s="37"/>
      <c r="E9" s="37"/>
      <c r="F9" s="37"/>
      <c r="G9" s="38" t="s">
        <v>20</v>
      </c>
      <c r="H9" s="39">
        <v>9900</v>
      </c>
      <c r="I9" s="27">
        <f>I10-I13</f>
        <v>7519451.9899999993</v>
      </c>
      <c r="J9" s="40">
        <v>6804100.4500000002</v>
      </c>
      <c r="K9" s="41">
        <f>K10-K13</f>
        <v>410182.86</v>
      </c>
      <c r="L9" s="40">
        <f>L10-L13</f>
        <v>49521.08</v>
      </c>
      <c r="M9" s="40">
        <f>M10-M13</f>
        <v>255647.6</v>
      </c>
      <c r="N9" s="107">
        <f t="shared" ref="N9:N19" si="0">I9-SUM(J9:M9)</f>
        <v>0</v>
      </c>
    </row>
    <row r="10" spans="1:14" x14ac:dyDescent="0.25">
      <c r="A10" s="30"/>
      <c r="B10" s="43"/>
      <c r="C10" s="150" t="s">
        <v>21</v>
      </c>
      <c r="D10" s="150"/>
      <c r="E10" s="150"/>
      <c r="F10" s="150"/>
      <c r="G10" s="35"/>
      <c r="H10" s="39" t="s">
        <v>22</v>
      </c>
      <c r="I10" s="28">
        <f>I11+I12+270634.7</f>
        <v>8917744.9399999995</v>
      </c>
      <c r="J10" s="44">
        <v>8063755.8200000003</v>
      </c>
      <c r="K10" s="45">
        <v>505000</v>
      </c>
      <c r="L10" s="45">
        <v>55888.5</v>
      </c>
      <c r="M10" s="45">
        <f>M12+465</f>
        <v>293100.62</v>
      </c>
      <c r="N10" s="107">
        <f t="shared" si="0"/>
        <v>0</v>
      </c>
    </row>
    <row r="11" spans="1:14" x14ac:dyDescent="0.25">
      <c r="A11" s="30"/>
      <c r="B11" s="143"/>
      <c r="C11" s="143"/>
      <c r="D11" s="144" t="s">
        <v>23</v>
      </c>
      <c r="E11" s="144"/>
      <c r="F11" s="144"/>
      <c r="G11" s="35"/>
      <c r="H11" s="39">
        <v>70</v>
      </c>
      <c r="I11" s="28">
        <v>598420.67000000004</v>
      </c>
      <c r="J11" s="44">
        <v>598420.67000000004</v>
      </c>
      <c r="K11" s="45"/>
      <c r="L11" s="45"/>
      <c r="M11" s="45"/>
      <c r="N11" s="107">
        <f t="shared" si="0"/>
        <v>0</v>
      </c>
    </row>
    <row r="12" spans="1:14" x14ac:dyDescent="0.25">
      <c r="A12" s="30"/>
      <c r="D12" s="145" t="s">
        <v>24</v>
      </c>
      <c r="E12" s="145"/>
      <c r="F12" s="145"/>
      <c r="G12" s="46"/>
      <c r="H12" s="39">
        <v>73</v>
      </c>
      <c r="I12" s="33">
        <v>8048689.5700000003</v>
      </c>
      <c r="J12" s="47">
        <v>7195165.4500000002</v>
      </c>
      <c r="K12" s="42">
        <v>505000</v>
      </c>
      <c r="L12" s="42">
        <v>55888.5</v>
      </c>
      <c r="M12" s="42">
        <v>292635.62</v>
      </c>
      <c r="N12" s="107">
        <f t="shared" si="0"/>
        <v>0</v>
      </c>
    </row>
    <row r="13" spans="1:14" x14ac:dyDescent="0.25">
      <c r="A13" s="30"/>
      <c r="B13" s="48"/>
      <c r="C13" s="140" t="s">
        <v>25</v>
      </c>
      <c r="D13" s="140"/>
      <c r="E13" s="140"/>
      <c r="F13" s="140"/>
      <c r="G13" s="35"/>
      <c r="H13" s="39" t="s">
        <v>26</v>
      </c>
      <c r="I13" s="33">
        <v>1398292.95</v>
      </c>
      <c r="J13" s="47">
        <f>1354472.51*(J5+1.29)/133.28</f>
        <v>1259655.3692564527</v>
      </c>
      <c r="K13" s="42">
        <v>94817.14</v>
      </c>
      <c r="L13" s="129">
        <f>3367.42+3000</f>
        <v>6367.42</v>
      </c>
      <c r="M13" s="42">
        <v>37453.019999999997</v>
      </c>
      <c r="N13" s="107">
        <f t="shared" si="0"/>
        <v>7.4354745447635651E-4</v>
      </c>
    </row>
    <row r="14" spans="1:14" x14ac:dyDescent="0.25">
      <c r="A14" s="30"/>
      <c r="B14" s="140" t="s">
        <v>27</v>
      </c>
      <c r="C14" s="140"/>
      <c r="D14" s="140"/>
      <c r="E14" s="140"/>
      <c r="F14" s="140"/>
      <c r="G14" s="35" t="s">
        <v>20</v>
      </c>
      <c r="H14" s="39">
        <v>62</v>
      </c>
      <c r="I14" s="28">
        <v>7316451.8600000003</v>
      </c>
      <c r="J14" s="44">
        <v>6483566.6699999999</v>
      </c>
      <c r="K14" s="45">
        <v>539120.55000000005</v>
      </c>
      <c r="L14" s="45">
        <v>43436.02</v>
      </c>
      <c r="M14" s="45">
        <v>250328.62</v>
      </c>
      <c r="N14" s="107">
        <f t="shared" si="0"/>
        <v>0</v>
      </c>
    </row>
    <row r="15" spans="1:14" x14ac:dyDescent="0.25">
      <c r="A15" s="30"/>
      <c r="B15" s="140" t="s">
        <v>28</v>
      </c>
      <c r="C15" s="140"/>
      <c r="D15" s="140"/>
      <c r="E15" s="140"/>
      <c r="F15" s="140"/>
      <c r="G15" s="35" t="s">
        <v>20</v>
      </c>
      <c r="H15" s="39">
        <v>630</v>
      </c>
      <c r="I15" s="33">
        <v>212894.74</v>
      </c>
      <c r="J15" s="47">
        <v>184572.59</v>
      </c>
      <c r="K15" s="42">
        <v>15980.441015906301</v>
      </c>
      <c r="L15" s="42">
        <v>0</v>
      </c>
      <c r="M15" s="42">
        <v>12341.71</v>
      </c>
      <c r="N15" s="107">
        <f t="shared" si="0"/>
        <v>-1.0159063094761223E-3</v>
      </c>
    </row>
    <row r="16" spans="1:14" x14ac:dyDescent="0.25">
      <c r="A16" s="30"/>
      <c r="B16" s="140" t="s">
        <v>29</v>
      </c>
      <c r="C16" s="140"/>
      <c r="D16" s="140"/>
      <c r="E16" s="140"/>
      <c r="F16" s="140"/>
      <c r="G16" s="35" t="s">
        <v>20</v>
      </c>
      <c r="H16" s="39" t="s">
        <v>30</v>
      </c>
      <c r="I16" s="33">
        <v>7278.85</v>
      </c>
      <c r="J16" s="47">
        <v>7278.85</v>
      </c>
      <c r="K16" s="42">
        <v>0</v>
      </c>
      <c r="L16" s="42">
        <v>0</v>
      </c>
      <c r="M16" s="42">
        <v>0</v>
      </c>
      <c r="N16" s="107">
        <f t="shared" si="0"/>
        <v>0</v>
      </c>
    </row>
    <row r="17" spans="1:14" x14ac:dyDescent="0.25">
      <c r="A17" s="30"/>
      <c r="B17" s="140" t="s">
        <v>31</v>
      </c>
      <c r="C17" s="140"/>
      <c r="D17" s="140"/>
      <c r="E17" s="140"/>
      <c r="F17" s="140"/>
      <c r="G17" s="35" t="s">
        <v>20</v>
      </c>
      <c r="H17" s="39" t="s">
        <v>32</v>
      </c>
      <c r="I17" s="33">
        <v>-5013.1000000000004</v>
      </c>
      <c r="J17" s="47">
        <v>-5013.1000000000004</v>
      </c>
      <c r="K17" s="42">
        <v>0</v>
      </c>
      <c r="L17" s="42">
        <v>0</v>
      </c>
      <c r="M17" s="42">
        <v>0</v>
      </c>
      <c r="N17" s="107">
        <f t="shared" si="0"/>
        <v>0</v>
      </c>
    </row>
    <row r="18" spans="1:14" x14ac:dyDescent="0.25">
      <c r="A18" s="30"/>
      <c r="B18" s="141" t="s">
        <v>33</v>
      </c>
      <c r="C18" s="141"/>
      <c r="D18" s="141"/>
      <c r="E18" s="141"/>
      <c r="F18" s="141"/>
      <c r="G18" s="35"/>
      <c r="H18" s="39" t="s">
        <v>34</v>
      </c>
      <c r="I18" s="33">
        <v>115683.24</v>
      </c>
      <c r="J18" s="47">
        <v>113567.6</v>
      </c>
      <c r="K18" s="42">
        <v>0</v>
      </c>
      <c r="L18" s="42">
        <v>0</v>
      </c>
      <c r="M18" s="42">
        <v>2115.64</v>
      </c>
      <c r="N18" s="107">
        <f t="shared" si="0"/>
        <v>0</v>
      </c>
    </row>
    <row r="19" spans="1:14" x14ac:dyDescent="0.25">
      <c r="A19" s="30"/>
      <c r="B19" s="140" t="s">
        <v>35</v>
      </c>
      <c r="C19" s="140"/>
      <c r="D19" s="140"/>
      <c r="E19" s="140"/>
      <c r="F19" s="140"/>
      <c r="G19" s="35" t="s">
        <v>36</v>
      </c>
      <c r="H19" s="39">
        <v>649</v>
      </c>
      <c r="I19" s="33"/>
      <c r="J19" s="47"/>
      <c r="K19" s="42"/>
      <c r="L19" s="42"/>
      <c r="M19" s="42"/>
      <c r="N19" s="107">
        <f t="shared" si="0"/>
        <v>0</v>
      </c>
    </row>
    <row r="20" spans="1:14" x14ac:dyDescent="0.25">
      <c r="A20" s="30"/>
      <c r="B20" s="49"/>
      <c r="C20" s="50"/>
      <c r="D20" s="43"/>
      <c r="E20" s="43"/>
      <c r="F20" s="43"/>
      <c r="G20" s="35"/>
      <c r="H20" s="39"/>
      <c r="I20" s="51"/>
      <c r="J20" s="52"/>
      <c r="K20" s="53"/>
      <c r="L20" s="53"/>
      <c r="M20" s="53"/>
      <c r="N20" s="112"/>
    </row>
    <row r="21" spans="1:14" s="57" customFormat="1" x14ac:dyDescent="0.25">
      <c r="A21" s="142" t="s">
        <v>37</v>
      </c>
      <c r="B21" s="142"/>
      <c r="C21" s="142"/>
      <c r="D21" s="142"/>
      <c r="E21" s="142"/>
      <c r="F21" s="142"/>
      <c r="G21" s="55" t="s">
        <v>20</v>
      </c>
      <c r="H21" s="56">
        <v>9901</v>
      </c>
      <c r="I21" s="33">
        <f t="shared" ref="I21:N21" si="1">I9-I14-I15-I16-I17-I18-I19</f>
        <v>-127843.60000000104</v>
      </c>
      <c r="J21" s="47">
        <f t="shared" si="1"/>
        <v>20127.840000000258</v>
      </c>
      <c r="K21" s="42">
        <f t="shared" si="1"/>
        <v>-144918.13101590637</v>
      </c>
      <c r="L21" s="42">
        <f t="shared" si="1"/>
        <v>6085.0600000000049</v>
      </c>
      <c r="M21" s="42">
        <f t="shared" si="1"/>
        <v>-9138.3699999999881</v>
      </c>
      <c r="N21" s="113">
        <f t="shared" si="1"/>
        <v>1.0159063094761223E-3</v>
      </c>
    </row>
    <row r="22" spans="1:14" s="57" customFormat="1" x14ac:dyDescent="0.25">
      <c r="A22" s="58"/>
      <c r="B22" s="143"/>
      <c r="C22" s="143"/>
      <c r="D22" s="143"/>
      <c r="E22" s="143"/>
      <c r="F22" s="143"/>
      <c r="G22" s="55"/>
      <c r="H22" s="56"/>
      <c r="I22" s="59"/>
      <c r="J22" s="60"/>
      <c r="K22" s="61"/>
      <c r="L22" s="61"/>
      <c r="M22" s="61"/>
      <c r="N22" s="115"/>
    </row>
    <row r="23" spans="1:14" x14ac:dyDescent="0.25">
      <c r="A23" s="62" t="s">
        <v>38</v>
      </c>
      <c r="B23" s="63"/>
      <c r="C23" s="63"/>
      <c r="D23" s="63"/>
      <c r="E23" s="63"/>
      <c r="F23" s="63"/>
      <c r="G23" s="31"/>
      <c r="H23" s="39">
        <v>75</v>
      </c>
      <c r="I23" s="28">
        <v>503.46</v>
      </c>
      <c r="J23" s="44">
        <v>503.46</v>
      </c>
      <c r="K23" s="45"/>
      <c r="L23" s="45"/>
      <c r="M23" s="45"/>
      <c r="N23" s="117">
        <f>I23-SUM(J23:M23)</f>
        <v>0</v>
      </c>
    </row>
    <row r="24" spans="1:14" x14ac:dyDescent="0.25">
      <c r="A24" s="62"/>
      <c r="B24" s="63"/>
      <c r="C24" s="63"/>
      <c r="D24" s="63"/>
      <c r="E24" s="63"/>
      <c r="F24" s="63"/>
      <c r="G24" s="31"/>
      <c r="H24" s="39"/>
      <c r="I24" s="59"/>
      <c r="J24" s="60"/>
      <c r="K24" s="61"/>
      <c r="L24" s="61"/>
      <c r="M24" s="61"/>
      <c r="N24" s="115"/>
    </row>
    <row r="25" spans="1:14" x14ac:dyDescent="0.25">
      <c r="A25" s="137" t="s">
        <v>39</v>
      </c>
      <c r="B25" s="137"/>
      <c r="C25" s="137"/>
      <c r="D25" s="137"/>
      <c r="E25" s="137"/>
      <c r="F25" s="137"/>
      <c r="G25" s="31"/>
      <c r="H25" s="39">
        <v>65</v>
      </c>
      <c r="I25" s="64">
        <v>28129.27</v>
      </c>
      <c r="J25" s="65">
        <f>28129.27-M25</f>
        <v>22522.06</v>
      </c>
      <c r="K25" s="66"/>
      <c r="L25" s="66"/>
      <c r="M25" s="66">
        <v>5607.21</v>
      </c>
      <c r="N25" s="119">
        <f>I25-SUM(J25:M25)</f>
        <v>0</v>
      </c>
    </row>
    <row r="26" spans="1:14" x14ac:dyDescent="0.25">
      <c r="A26" s="34"/>
      <c r="B26" s="37"/>
      <c r="C26" s="37"/>
      <c r="D26" s="37"/>
      <c r="E26" s="37"/>
      <c r="F26" s="37"/>
      <c r="G26" s="31"/>
      <c r="H26" s="39"/>
      <c r="I26" s="67"/>
      <c r="J26" s="68"/>
      <c r="K26" s="54"/>
      <c r="L26" s="54"/>
      <c r="M26" s="54"/>
      <c r="N26" s="121"/>
    </row>
    <row r="27" spans="1:14" x14ac:dyDescent="0.25">
      <c r="A27" s="138" t="s">
        <v>40</v>
      </c>
      <c r="B27" s="138"/>
      <c r="C27" s="138"/>
      <c r="D27" s="138"/>
      <c r="E27" s="138"/>
      <c r="F27" s="138"/>
      <c r="G27" s="69" t="s">
        <v>20</v>
      </c>
      <c r="H27" s="39">
        <v>9902</v>
      </c>
      <c r="I27" s="33">
        <f t="shared" ref="I27:N27" si="2">I21+I23-I25</f>
        <v>-155469.41000000102</v>
      </c>
      <c r="J27" s="47">
        <f t="shared" si="2"/>
        <v>-1890.7599999997437</v>
      </c>
      <c r="K27" s="42">
        <f t="shared" si="2"/>
        <v>-144918.13101590637</v>
      </c>
      <c r="L27" s="42">
        <f t="shared" si="2"/>
        <v>6085.0600000000049</v>
      </c>
      <c r="M27" s="42">
        <f t="shared" si="2"/>
        <v>-14745.579999999987</v>
      </c>
      <c r="N27" s="113">
        <f t="shared" si="2"/>
        <v>1.0159063094761223E-3</v>
      </c>
    </row>
    <row r="28" spans="1:14" x14ac:dyDescent="0.25">
      <c r="A28" s="30"/>
      <c r="G28" s="31"/>
      <c r="H28" s="39"/>
      <c r="I28" s="51"/>
      <c r="J28" s="52"/>
      <c r="K28" s="53"/>
      <c r="L28" s="53"/>
      <c r="M28" s="53"/>
      <c r="N28" s="112"/>
    </row>
    <row r="29" spans="1:14" x14ac:dyDescent="0.25">
      <c r="A29" s="137" t="s">
        <v>41</v>
      </c>
      <c r="B29" s="137"/>
      <c r="C29" s="137"/>
      <c r="D29" s="137"/>
      <c r="E29" s="137"/>
      <c r="F29" s="137"/>
      <c r="G29" s="31"/>
      <c r="H29" s="39">
        <v>76</v>
      </c>
      <c r="I29" s="28">
        <v>4035.83</v>
      </c>
      <c r="J29" s="44">
        <v>4035.83</v>
      </c>
      <c r="K29" s="45"/>
      <c r="L29" s="45"/>
      <c r="M29" s="45"/>
      <c r="N29" s="117">
        <f>I29-SUM(J29:M29)</f>
        <v>0</v>
      </c>
    </row>
    <row r="30" spans="1:14" x14ac:dyDescent="0.25">
      <c r="A30" s="34"/>
      <c r="B30" s="37"/>
      <c r="C30" s="37"/>
      <c r="D30" s="37"/>
      <c r="E30" s="37"/>
      <c r="F30" s="37"/>
      <c r="G30" s="31"/>
      <c r="H30" s="39"/>
      <c r="I30" s="59"/>
      <c r="J30" s="60"/>
      <c r="K30" s="61"/>
      <c r="L30" s="61"/>
      <c r="M30" s="61"/>
      <c r="N30" s="115"/>
    </row>
    <row r="31" spans="1:14" x14ac:dyDescent="0.25">
      <c r="A31" s="137" t="s">
        <v>42</v>
      </c>
      <c r="B31" s="137"/>
      <c r="C31" s="137"/>
      <c r="D31" s="137"/>
      <c r="E31" s="137"/>
      <c r="F31" s="137"/>
      <c r="G31" s="31"/>
      <c r="H31" s="39">
        <v>66</v>
      </c>
      <c r="I31" s="64">
        <v>14667.63</v>
      </c>
      <c r="J31" s="65">
        <v>14667.63</v>
      </c>
      <c r="K31" s="66"/>
      <c r="L31" s="66"/>
      <c r="M31" s="66"/>
      <c r="N31" s="119">
        <f>I31-SUM(J31:M31)</f>
        <v>0</v>
      </c>
    </row>
    <row r="32" spans="1:14" x14ac:dyDescent="0.25">
      <c r="A32" s="30"/>
      <c r="G32" s="31"/>
      <c r="H32" s="39"/>
      <c r="I32" s="51"/>
      <c r="J32" s="52"/>
      <c r="K32" s="53"/>
      <c r="L32" s="53"/>
      <c r="M32" s="53"/>
      <c r="N32" s="112"/>
    </row>
    <row r="33" spans="1:14" s="57" customFormat="1" x14ac:dyDescent="0.25">
      <c r="A33" s="139" t="s">
        <v>43</v>
      </c>
      <c r="B33" s="139"/>
      <c r="C33" s="139"/>
      <c r="D33" s="139"/>
      <c r="E33" s="139"/>
      <c r="F33" s="139"/>
      <c r="G33" s="70" t="s">
        <v>20</v>
      </c>
      <c r="H33" s="56">
        <v>9904</v>
      </c>
      <c r="I33" s="33">
        <f t="shared" ref="I33:N33" si="3">I27+I29-I31</f>
        <v>-166101.21000000104</v>
      </c>
      <c r="J33" s="47">
        <f t="shared" si="3"/>
        <v>-12522.559999999743</v>
      </c>
      <c r="K33" s="42">
        <f t="shared" si="3"/>
        <v>-144918.13101590637</v>
      </c>
      <c r="L33" s="42">
        <f t="shared" si="3"/>
        <v>6085.0600000000049</v>
      </c>
      <c r="M33" s="42">
        <f t="shared" si="3"/>
        <v>-14745.579999999987</v>
      </c>
      <c r="N33" s="113">
        <f t="shared" si="3"/>
        <v>1.0159063094761223E-3</v>
      </c>
    </row>
    <row r="34" spans="1:14" ht="8.25" customHeight="1" thickBot="1" x14ac:dyDescent="0.3">
      <c r="A34" s="71"/>
      <c r="B34" s="72"/>
      <c r="C34" s="72"/>
      <c r="D34" s="72"/>
      <c r="E34" s="72"/>
      <c r="F34" s="72"/>
      <c r="G34" s="73"/>
      <c r="H34" s="74"/>
      <c r="I34" s="64"/>
      <c r="J34" s="75"/>
      <c r="K34" s="64"/>
      <c r="L34" s="64"/>
      <c r="M34" s="64"/>
      <c r="N34" s="123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N21 I27:N27 I33:N33">
    <cfRule type="cellIs" dxfId="1" priority="2" stopIfTrue="1" operator="lessThan">
      <formula>0</formula>
    </cfRule>
  </conditionalFormatting>
  <conditionalFormatting sqref="I21:N21 I27:N27 I33:N33">
    <cfRule type="cellIs" dxfId="0" priority="1" stopIfTrue="1" operator="greaterThanOrEqual">
      <formula>0</formula>
    </cfRule>
  </conditionalFormatting>
  <pageMargins left="0.70000000000000007" right="0.70000000000000007" top="0.75" bottom="0.75" header="0.30000000000000004" footer="0.30000000000000004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25" sqref="A1:D25"/>
    </sheetView>
  </sheetViews>
  <sheetFormatPr defaultRowHeight="15" x14ac:dyDescent="0.25"/>
  <cols>
    <col min="1" max="1" width="27.42578125" customWidth="1"/>
    <col min="2" max="2" width="56.85546875" customWidth="1"/>
    <col min="3" max="3" width="29.140625" style="130" customWidth="1"/>
    <col min="4" max="4" width="22.7109375" customWidth="1"/>
    <col min="5" max="5" width="8.85546875" customWidth="1"/>
  </cols>
  <sheetData>
    <row r="1" spans="1:4" ht="18" x14ac:dyDescent="0.25">
      <c r="A1" s="77" t="s">
        <v>44</v>
      </c>
    </row>
    <row r="2" spans="1:4" ht="18" x14ac:dyDescent="0.25">
      <c r="A2" s="77"/>
    </row>
    <row r="3" spans="1:4" ht="23.25" customHeight="1" x14ac:dyDescent="0.25">
      <c r="A3" s="151" t="s">
        <v>91</v>
      </c>
      <c r="B3" s="151"/>
    </row>
    <row r="4" spans="1:4" ht="15.75" thickBot="1" x14ac:dyDescent="0.3"/>
    <row r="5" spans="1:4" ht="15.75" thickBot="1" x14ac:dyDescent="0.3">
      <c r="A5" s="78">
        <v>73</v>
      </c>
      <c r="B5" s="152" t="s">
        <v>24</v>
      </c>
      <c r="C5" s="152"/>
      <c r="D5" s="79">
        <f>SUM(D6:D8)+D9</f>
        <v>8048689.5700000003</v>
      </c>
    </row>
    <row r="6" spans="1:4" x14ac:dyDescent="0.25">
      <c r="A6" s="80" t="s">
        <v>46</v>
      </c>
      <c r="B6" s="153" t="s">
        <v>47</v>
      </c>
      <c r="C6" s="153"/>
      <c r="D6" s="81"/>
    </row>
    <row r="7" spans="1:4" x14ac:dyDescent="0.25">
      <c r="A7" s="80" t="s">
        <v>48</v>
      </c>
      <c r="B7" s="154" t="s">
        <v>49</v>
      </c>
      <c r="C7" s="154"/>
      <c r="D7" s="81">
        <f>15+18662.21</f>
        <v>18677.21</v>
      </c>
    </row>
    <row r="8" spans="1:4" ht="15.75" thickBot="1" x14ac:dyDescent="0.3">
      <c r="A8" s="82" t="s">
        <v>50</v>
      </c>
      <c r="B8" s="155" t="s">
        <v>51</v>
      </c>
      <c r="C8" s="155"/>
      <c r="D8" s="83"/>
    </row>
    <row r="9" spans="1:4" ht="39.75" customHeight="1" thickBot="1" x14ac:dyDescent="0.3">
      <c r="A9" s="84" t="s">
        <v>52</v>
      </c>
      <c r="B9" s="156" t="s">
        <v>53</v>
      </c>
      <c r="C9" s="156"/>
      <c r="D9" s="131">
        <f>SUM(D11:D40)</f>
        <v>8030012.3600000003</v>
      </c>
    </row>
    <row r="10" spans="1:4" ht="15.75" thickBot="1" x14ac:dyDescent="0.3">
      <c r="A10" s="85" t="s">
        <v>54</v>
      </c>
      <c r="B10" s="86" t="s">
        <v>55</v>
      </c>
      <c r="C10" s="85" t="s">
        <v>56</v>
      </c>
      <c r="D10" s="87" t="s">
        <v>57</v>
      </c>
    </row>
    <row r="11" spans="1:4" ht="15.75" customHeight="1" x14ac:dyDescent="0.25">
      <c r="A11" s="80"/>
      <c r="B11" s="132" t="s">
        <v>92</v>
      </c>
      <c r="C11" s="133" t="s">
        <v>61</v>
      </c>
      <c r="D11" s="81">
        <f>83270.84+46661.98</f>
        <v>129932.82</v>
      </c>
    </row>
    <row r="12" spans="1:4" x14ac:dyDescent="0.25">
      <c r="A12" s="80" t="s">
        <v>61</v>
      </c>
      <c r="B12" s="88" t="s">
        <v>93</v>
      </c>
      <c r="C12" s="133" t="s">
        <v>61</v>
      </c>
      <c r="D12" s="81">
        <v>5715861.2800000003</v>
      </c>
    </row>
    <row r="13" spans="1:4" x14ac:dyDescent="0.25">
      <c r="A13" s="80" t="s">
        <v>61</v>
      </c>
      <c r="B13" s="88" t="s">
        <v>94</v>
      </c>
      <c r="C13" s="133" t="s">
        <v>9</v>
      </c>
      <c r="D13" s="81">
        <v>55888.5</v>
      </c>
    </row>
    <row r="14" spans="1:4" x14ac:dyDescent="0.25">
      <c r="A14" s="80" t="s">
        <v>61</v>
      </c>
      <c r="B14" s="88" t="s">
        <v>95</v>
      </c>
      <c r="C14" s="134" t="s">
        <v>61</v>
      </c>
      <c r="D14" s="81">
        <v>222006.17</v>
      </c>
    </row>
    <row r="15" spans="1:4" x14ac:dyDescent="0.25">
      <c r="A15" s="80" t="s">
        <v>11</v>
      </c>
      <c r="B15" s="88" t="s">
        <v>96</v>
      </c>
      <c r="C15" s="133" t="s">
        <v>90</v>
      </c>
      <c r="D15" s="81">
        <v>292635.62</v>
      </c>
    </row>
    <row r="16" spans="1:4" x14ac:dyDescent="0.25">
      <c r="A16" s="80" t="s">
        <v>97</v>
      </c>
      <c r="B16" s="88"/>
      <c r="C16" s="133" t="s">
        <v>89</v>
      </c>
      <c r="D16" s="81">
        <v>505000</v>
      </c>
    </row>
    <row r="17" spans="1:4" x14ac:dyDescent="0.25">
      <c r="A17" s="80" t="s">
        <v>98</v>
      </c>
      <c r="B17" s="88"/>
      <c r="C17" s="133" t="s">
        <v>61</v>
      </c>
      <c r="D17" s="81">
        <v>386482.1</v>
      </c>
    </row>
    <row r="18" spans="1:4" x14ac:dyDescent="0.25">
      <c r="A18" s="80" t="s">
        <v>66</v>
      </c>
      <c r="B18" s="88" t="s">
        <v>99</v>
      </c>
      <c r="C18" s="133" t="s">
        <v>61</v>
      </c>
      <c r="D18" s="81">
        <v>602532.93999999994</v>
      </c>
    </row>
    <row r="19" spans="1:4" x14ac:dyDescent="0.25">
      <c r="A19" s="80" t="s">
        <v>66</v>
      </c>
      <c r="B19" s="88" t="s">
        <v>100</v>
      </c>
      <c r="C19" s="133" t="s">
        <v>61</v>
      </c>
      <c r="D19" s="81">
        <v>36354.230000000003</v>
      </c>
    </row>
    <row r="20" spans="1:4" x14ac:dyDescent="0.25">
      <c r="A20" s="80" t="s">
        <v>66</v>
      </c>
      <c r="B20" s="88" t="s">
        <v>101</v>
      </c>
      <c r="C20" s="133" t="s">
        <v>89</v>
      </c>
      <c r="D20" s="81">
        <v>68292.7</v>
      </c>
    </row>
    <row r="21" spans="1:4" x14ac:dyDescent="0.25">
      <c r="A21" s="80" t="s">
        <v>72</v>
      </c>
      <c r="B21" s="88" t="s">
        <v>102</v>
      </c>
      <c r="C21" s="133" t="s">
        <v>61</v>
      </c>
      <c r="D21" s="81">
        <v>386</v>
      </c>
    </row>
    <row r="22" spans="1:4" x14ac:dyDescent="0.25">
      <c r="A22" s="80" t="s">
        <v>103</v>
      </c>
      <c r="B22" s="88" t="s">
        <v>104</v>
      </c>
      <c r="C22" s="133" t="s">
        <v>61</v>
      </c>
      <c r="D22" s="81">
        <v>14640</v>
      </c>
    </row>
    <row r="23" spans="1:4" x14ac:dyDescent="0.25">
      <c r="A23" s="80"/>
      <c r="B23" s="88"/>
      <c r="C23" s="133"/>
      <c r="D23" s="81"/>
    </row>
    <row r="24" spans="1:4" x14ac:dyDescent="0.25">
      <c r="A24" s="80"/>
      <c r="B24" s="88"/>
      <c r="C24" s="133"/>
      <c r="D24" s="81"/>
    </row>
    <row r="25" spans="1:4" x14ac:dyDescent="0.25">
      <c r="A25" s="80"/>
      <c r="B25" s="88"/>
      <c r="C25" s="133"/>
      <c r="D25" s="81"/>
    </row>
    <row r="26" spans="1:4" x14ac:dyDescent="0.25">
      <c r="A26" s="80"/>
      <c r="B26" s="88"/>
      <c r="C26" s="133"/>
      <c r="D26" s="81"/>
    </row>
    <row r="27" spans="1:4" x14ac:dyDescent="0.25">
      <c r="A27" s="80"/>
      <c r="B27" s="88"/>
      <c r="C27" s="133"/>
      <c r="D27" s="81"/>
    </row>
    <row r="28" spans="1:4" x14ac:dyDescent="0.25">
      <c r="A28" s="80"/>
      <c r="B28" s="88"/>
      <c r="C28" s="133"/>
      <c r="D28" s="81"/>
    </row>
    <row r="29" spans="1:4" x14ac:dyDescent="0.25">
      <c r="A29" s="80"/>
      <c r="B29" s="88"/>
      <c r="C29" s="133"/>
      <c r="D29" s="81"/>
    </row>
    <row r="30" spans="1:4" x14ac:dyDescent="0.25">
      <c r="A30" s="80"/>
      <c r="B30" s="88"/>
      <c r="C30" s="133"/>
      <c r="D30" s="81"/>
    </row>
    <row r="31" spans="1:4" x14ac:dyDescent="0.25">
      <c r="A31" s="80"/>
      <c r="B31" s="88"/>
      <c r="C31" s="133"/>
      <c r="D31" s="81"/>
    </row>
    <row r="32" spans="1:4" x14ac:dyDescent="0.25">
      <c r="A32" s="80"/>
      <c r="B32" s="88"/>
      <c r="C32" s="133"/>
      <c r="D32" s="81"/>
    </row>
    <row r="33" spans="1:4" x14ac:dyDescent="0.25">
      <c r="A33" s="80"/>
      <c r="B33" s="88"/>
      <c r="C33" s="133"/>
      <c r="D33" s="81"/>
    </row>
    <row r="34" spans="1:4" x14ac:dyDescent="0.25">
      <c r="A34" s="80"/>
      <c r="B34" s="88"/>
      <c r="C34" s="133"/>
      <c r="D34" s="81"/>
    </row>
    <row r="35" spans="1:4" x14ac:dyDescent="0.25">
      <c r="A35" s="93"/>
      <c r="B35" s="94"/>
      <c r="C35" s="135"/>
      <c r="D35" s="96"/>
    </row>
    <row r="36" spans="1:4" x14ac:dyDescent="0.25">
      <c r="A36" s="93"/>
      <c r="B36" s="94"/>
      <c r="C36" s="135"/>
      <c r="D36" s="96"/>
    </row>
    <row r="37" spans="1:4" x14ac:dyDescent="0.25">
      <c r="A37" s="93"/>
      <c r="B37" s="94"/>
      <c r="C37" s="135"/>
      <c r="D37" s="96"/>
    </row>
    <row r="38" spans="1:4" x14ac:dyDescent="0.25">
      <c r="A38" s="93"/>
      <c r="B38" s="94"/>
      <c r="C38" s="135"/>
      <c r="D38" s="96"/>
    </row>
    <row r="39" spans="1:4" x14ac:dyDescent="0.25">
      <c r="A39" s="93"/>
      <c r="B39" s="94"/>
      <c r="C39" s="135"/>
      <c r="D39" s="96"/>
    </row>
    <row r="40" spans="1:4" ht="15.75" thickBot="1" x14ac:dyDescent="0.3">
      <c r="A40" s="97"/>
      <c r="B40" s="98"/>
      <c r="C40" s="136"/>
      <c r="D40" s="100"/>
    </row>
  </sheetData>
  <mergeCells count="6">
    <mergeCell ref="B9:C9"/>
    <mergeCell ref="A3:B3"/>
    <mergeCell ref="B5:C5"/>
    <mergeCell ref="B6:C6"/>
    <mergeCell ref="B7:C7"/>
    <mergeCell ref="B8:C8"/>
  </mergeCells>
  <pageMargins left="0.70000000000000007" right="0.70000000000000007" top="0.75" bottom="0.75" header="0.30000000000000004" footer="0.3000000000000000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CD4A8A-217B-48C9-AE0E-97968D8CD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28ACE-0302-4717-AD94-080EAA4FD1F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e58823c3-9226-4bb7-a434-941750dd9581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2665782-9488-45A7-AB2D-4D20BFCF9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RRAC14</vt:lpstr>
      <vt:lpstr>14Detail73</vt:lpstr>
      <vt:lpstr>RRAC15</vt:lpstr>
      <vt:lpstr>15Detail73</vt:lpstr>
      <vt:lpstr>RRAC16</vt:lpstr>
      <vt:lpstr>16Detail73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Van Neste, Ulrike</cp:lastModifiedBy>
  <cp:lastPrinted>2018-01-03T08:25:25Z</cp:lastPrinted>
  <dcterms:created xsi:type="dcterms:W3CDTF">2017-12-21T10:16:24Z</dcterms:created>
  <dcterms:modified xsi:type="dcterms:W3CDTF">2018-01-03T08:30:00Z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