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32.xml" ContentType="application/vnd.openxmlformats-officedocument.drawingml.chart+xml"/>
  <Override PartName="/xl/charts/colors31.xml" ContentType="application/vnd.ms-office.chartcolorstyle+xml"/>
  <Override PartName="/xl/charts/style31.xml" ContentType="application/vnd.ms-office.chartstyle+xml"/>
  <Override PartName="/xl/charts/chart31.xml" ContentType="application/vnd.openxmlformats-officedocument.drawingml.chart+xml"/>
  <Override PartName="/xl/charts/colors30.xml" ContentType="application/vnd.ms-office.chartcolorstyle+xml"/>
  <Override PartName="/xl/charts/style30.xml" ContentType="application/vnd.ms-office.chartstyle+xml"/>
  <Override PartName="/xl/charts/chart30.xml" ContentType="application/vnd.openxmlformats-officedocument.drawingml.chart+xml"/>
  <Override PartName="/xl/charts/colors29.xml" ContentType="application/vnd.ms-office.chartcolorstyle+xml"/>
  <Override PartName="/xl/charts/style32.xml" ContentType="application/vnd.ms-office.chartstyle+xml"/>
  <Override PartName="/xl/charts/colors32.xml" ContentType="application/vnd.ms-office.chartcolorstyle+xml"/>
  <Override PartName="/xl/charts/chart33.xml" ContentType="application/vnd.openxmlformats-officedocument.drawingml.char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/colors34.xml" ContentType="application/vnd.ms-office.chartcolorstyle+xml"/>
  <Override PartName="/xl/charts/style34.xml" ContentType="application/vnd.ms-office.chartstyle+xml"/>
  <Override PartName="/xl/charts/chart34.xml" ContentType="application/vnd.openxmlformats-officedocument.drawingml.chart+xml"/>
  <Override PartName="/xl/charts/colors33.xml" ContentType="application/vnd.ms-office.chartcolorstyle+xml"/>
  <Override PartName="/xl/charts/style33.xml" ContentType="application/vnd.ms-office.chartstyle+xml"/>
  <Override PartName="/xl/charts/style29.xml" ContentType="application/vnd.ms-office.chartstyle+xml"/>
  <Override PartName="/xl/charts/chart29.xml" ContentType="application/vnd.openxmlformats-officedocument.drawingml.chart+xml"/>
  <Override PartName="/xl/charts/colors28.xml" ContentType="application/vnd.ms-office.chartcolorstyle+xml"/>
  <Override PartName="/xl/charts/chart25.xml" ContentType="application/vnd.openxmlformats-officedocument.drawingml.chart+xml"/>
  <Override PartName="/xl/charts/colors24.xml" ContentType="application/vnd.ms-office.chartcolorstyle+xml"/>
  <Override PartName="/xl/charts/style24.xml" ContentType="application/vnd.ms-office.chartstyle+xml"/>
  <Override PartName="/xl/charts/chart24.xml" ContentType="application/vnd.openxmlformats-officedocument.drawingml.chart+xml"/>
  <Override PartName="/xl/charts/colors23.xml" ContentType="application/vnd.ms-office.chartcolorstyle+xml"/>
  <Override PartName="/xl/charts/style23.xml" ContentType="application/vnd.ms-office.chartstyle+xml"/>
  <Override PartName="/xl/charts/chart23.xml" ContentType="application/vnd.openxmlformats-officedocument.drawingml.chart+xml"/>
  <Override PartName="/xl/worksheets/sheet1.xml" ContentType="application/vnd.openxmlformats-officedocument.spreadsheetml.worksheet+xml"/>
  <Override PartName="/xl/charts/style25.xml" ContentType="application/vnd.ms-office.chartstyle+xml"/>
  <Override PartName="/xl/charts/colors25.xml" ContentType="application/vnd.ms-office.chartcolorstyle+xml"/>
  <Override PartName="/xl/charts/chart26.xml" ContentType="application/vnd.openxmlformats-officedocument.drawingml.chart+xml"/>
  <Override PartName="/xl/charts/style28.xml" ContentType="application/vnd.ms-office.chartstyle+xml"/>
  <Override PartName="/xl/charts/chart28.xml" ContentType="application/vnd.openxmlformats-officedocument.drawingml.chart+xml"/>
  <Override PartName="/xl/charts/colors27.xml" ContentType="application/vnd.ms-office.chartcolorstyle+xml"/>
  <Override PartName="/xl/charts/style27.xml" ContentType="application/vnd.ms-office.chartstyle+xml"/>
  <Override PartName="/xl/charts/chart27.xml" ContentType="application/vnd.openxmlformats-officedocument.drawingml.chart+xml"/>
  <Override PartName="/xl/charts/colors26.xml" ContentType="application/vnd.ms-office.chartcolorstyle+xml"/>
  <Override PartName="/xl/charts/style26.xml" ContentType="application/vnd.ms-office.chartstyle+xml"/>
  <Override PartName="/xl/charts/style22.xml" ContentType="application/vnd.ms-office.chartstyle+xml"/>
  <Override PartName="/xl/charts/colors22.xml" ContentType="application/vnd.ms-office.chartcolorstyle+xml"/>
  <Override PartName="/xl/charts/colors21.xml" ContentType="application/vnd.ms-office.chartcolorstyle+xml"/>
  <Override PartName="/xl/charts/colors7.xml" ContentType="application/vnd.ms-office.chartcolorstyle+xml"/>
  <Override PartName="/xl/charts/style7.xml" ContentType="application/vnd.ms-office.chartstyle+xml"/>
  <Override PartName="/xl/charts/chart7.xml" ContentType="application/vnd.openxmlformats-officedocument.drawingml.chart+xml"/>
  <Override PartName="/xl/charts/colors6.xml" ContentType="application/vnd.ms-office.chartcolorstyle+xml"/>
  <Override PartName="/xl/charts/style6.xml" ContentType="application/vnd.ms-office.chartstyle+xml"/>
  <Override PartName="/xl/charts/chart6.xml" ContentType="application/vnd.openxmlformats-officedocument.drawingml.chart+xml"/>
  <Override PartName="/xl/drawings/drawing2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11.xml" ContentType="application/vnd.openxmlformats-officedocument.drawingml.chart+xml"/>
  <Override PartName="/xl/charts/colors10.xml" ContentType="application/vnd.ms-office.chartcolorstyle+xml"/>
  <Override PartName="/xl/charts/chart22.xml" ContentType="application/vnd.openxmlformats-officedocument.drawingml.chart+xml"/>
  <Override PartName="/xl/charts/chart10.xml" ContentType="application/vnd.openxmlformats-officedocument.drawingml.chart+xml"/>
  <Override PartName="/xl/charts/colors9.xml" ContentType="application/vnd.ms-office.chartcolorstyle+xml"/>
  <Override PartName="/xl/charts/style9.xml" ContentType="application/vnd.ms-office.chartstyle+xml"/>
  <Override PartName="/xl/charts/chart9.xml" ContentType="application/vnd.openxmlformats-officedocument.drawingml.chart+xml"/>
  <Override PartName="/xl/charts/colors5.xml" ContentType="application/vnd.ms-office.chartcolorstyle+xml"/>
  <Override PartName="/xl/charts/style5.xml" ContentType="application/vnd.ms-office.chartstyle+xml"/>
  <Override PartName="/xl/charts/colors1.xml" ContentType="application/vnd.ms-office.chartcolorstyle+xml"/>
  <Override PartName="/xl/charts/style1.xml" ContentType="application/vnd.ms-office.chartstyle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5.xml" ContentType="application/vnd.openxmlformats-officedocument.drawingml.chart+xml"/>
  <Override PartName="/xl/charts/colors4.xml" ContentType="application/vnd.ms-office.chartcolorstyle+xml"/>
  <Override PartName="/xl/charts/style4.xml" ContentType="application/vnd.ms-office.chartstyle+xml"/>
  <Override PartName="/xl/charts/chart4.xml" ContentType="application/vnd.openxmlformats-officedocument.drawingml.chart+xml"/>
  <Override PartName="/xl/charts/colors3.xml" ContentType="application/vnd.ms-office.chartcolorstyle+xml"/>
  <Override PartName="/xl/charts/style3.xml" ContentType="application/vnd.ms-office.chartstyle+xml"/>
  <Override PartName="/xl/charts/chart3.xml" ContentType="application/vnd.openxmlformats-officedocument.drawingml.chart+xml"/>
  <Override PartName="/xl/charts/style11.xml" ContentType="application/vnd.ms-office.chartstyle+xml"/>
  <Override PartName="/xl/charts/style10.xml" ContentType="application/vnd.ms-office.chartstyle+xml"/>
  <Override PartName="/xl/charts/chart20.xml" ContentType="application/vnd.openxmlformats-officedocument.drawingml.chart+xml"/>
  <Override PartName="/xl/pivotTables/pivotTable1.xml" ContentType="application/vnd.openxmlformats-officedocument.spreadsheetml.pivotTable+xml"/>
  <Override PartName="/xl/charts/colors17.xml" ContentType="application/vnd.ms-office.chartcolorstyle+xml"/>
  <Override PartName="/xl/charts/style17.xml" ContentType="application/vnd.ms-office.chartstyle+xml"/>
  <Override PartName="/xl/charts/chart17.xml" ContentType="application/vnd.openxmlformats-officedocument.drawingml.chart+xml"/>
  <Override PartName="/xl/charts/colors16.xml" ContentType="application/vnd.ms-office.chartcolorstyle+xml"/>
  <Override PartName="/xl/charts/style16.xml" ContentType="application/vnd.ms-office.chartstyle+xml"/>
  <Override PartName="/xl/charts/chart16.xml" ContentType="application/vnd.openxmlformats-officedocument.drawingml.chart+xml"/>
  <Override PartName="/xl/charts/colors20.xml" ContentType="application/vnd.ms-office.chartcolorstyle+xml"/>
  <Override PartName="/xl/drawings/drawing4.xml" ContentType="application/vnd.openxmlformats-officedocument.drawing+xml"/>
  <Override PartName="/xl/charts/colors19.xml" ContentType="application/vnd.ms-office.chartcolorstyle+xml"/>
  <Override PartName="/xl/charts/style19.xml" ContentType="application/vnd.ms-office.chartstyle+xml"/>
  <Override PartName="/xl/charts/chart19.xml" ContentType="application/vnd.openxmlformats-officedocument.drawingml.chart+xml"/>
  <Override PartName="/xl/charts/colors18.xml" ContentType="application/vnd.ms-office.chartcolorstyle+xml"/>
  <Override PartName="/xl/charts/style18.xml" ContentType="application/vnd.ms-office.chartstyle+xml"/>
  <Override PartName="/xl/charts/chart18.xml" ContentType="application/vnd.openxmlformats-officedocument.drawingml.chart+xml"/>
  <Override PartName="/xl/charts/style20.xml" ContentType="application/vnd.ms-office.chartstyle+xml"/>
  <Override PartName="/xl/charts/chart21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olors12.xml" ContentType="application/vnd.ms-office.chartcolorstyle+xml"/>
  <Override PartName="/xl/charts/style12.xml" ContentType="application/vnd.ms-office.chartstyle+xml"/>
  <Override PartName="/xl/charts/chart12.xml" ContentType="application/vnd.openxmlformats-officedocument.drawingml.chart+xml"/>
  <Override PartName="/xl/charts/colors11.xml" ContentType="application/vnd.ms-office.chartcolorstyle+xml"/>
  <Override PartName="/xl/charts/style13.xml" ContentType="application/vnd.ms-office.chartstyle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3.xml" ContentType="application/vnd.openxmlformats-officedocument.drawing+xml"/>
  <Override PartName="/xl/charts/style21.xml" ContentType="application/vnd.ms-office.chartstyle+xml"/>
  <Override PartName="/xl/charts/colors13.xml" ContentType="application/vnd.ms-office.chartcolorstyle+xml"/>
  <Override PartName="/xl/charts/colors14.xml" ContentType="application/vnd.ms-office.chartcolorstyle+xml"/>
  <Override PartName="/xl/charts/style14.xml" ContentType="application/vnd.ms-office.chartstyle+xml"/>
  <Override PartName="/xl/pivotCache/pivotCacheDefinition1.xml" ContentType="application/vnd.openxmlformats-officedocument.spreadsheetml.pivotCacheDefinition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xl/comments1.xml" ContentType="application/vnd.openxmlformats-officedocument.spreadsheetml.comment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726"/>
  <workbookPr/>
  <mc:AlternateContent xmlns:mc="http://schemas.openxmlformats.org/markup-compatibility/2006">
    <mc:Choice Requires="x15">
      <x15ac:absPath xmlns:x15ac="http://schemas.microsoft.com/office/spreadsheetml/2010/11/ac" url="C:\Users\Callewso\Documents\aaafie\parl vragen\"/>
    </mc:Choice>
  </mc:AlternateContent>
  <bookViews>
    <workbookView xWindow="0" yWindow="0" windowWidth="19200" windowHeight="5610" activeTab="2"/>
  </bookViews>
  <sheets>
    <sheet name="Overzicht" sheetId="4" r:id="rId1"/>
    <sheet name="PMV " sheetId="1" r:id="rId2"/>
    <sheet name="PMVZ" sheetId="2" r:id="rId3"/>
    <sheet name="Invulsheet" sheetId="3" state="hidden" r:id="rId4"/>
  </sheets>
  <externalReferences>
    <externalReference r:id="rId5"/>
  </externalReferences>
  <definedNames>
    <definedName name="_xlnm.Print_Area" localSheetId="0">Overzicht!$A$1:$L$76</definedName>
    <definedName name="_xlnm.Print_Area" localSheetId="1">'PMV '!$A$1:$U$83</definedName>
    <definedName name="_xlnm.Print_Area" localSheetId="2">PMVZ!$A$1:$M$45</definedName>
  </definedNames>
  <calcPr calcId="171027"/>
  <pivotCaches>
    <pivotCache cacheId="1" r:id="rId6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1" i="2" l="1"/>
  <c r="F15" i="1"/>
  <c r="D298" i="3"/>
  <c r="D213" i="3"/>
  <c r="D212" i="3"/>
  <c r="D178" i="3"/>
  <c r="D179" i="3" s="1"/>
  <c r="D193" i="3"/>
  <c r="D192" i="3"/>
  <c r="D155" i="3" l="1"/>
  <c r="D126" i="3" l="1"/>
  <c r="D102" i="3"/>
  <c r="D56" i="3"/>
  <c r="D55" i="3"/>
  <c r="D54" i="3"/>
  <c r="D53" i="3"/>
  <c r="D52" i="3"/>
  <c r="D51" i="3"/>
  <c r="D50" i="3"/>
  <c r="D49" i="3"/>
  <c r="D48" i="3"/>
  <c r="D47" i="3"/>
  <c r="D46" i="3"/>
  <c r="D45" i="3"/>
  <c r="D44" i="3"/>
  <c r="D43" i="3"/>
  <c r="D42" i="3"/>
  <c r="D41" i="3"/>
  <c r="D40" i="3"/>
  <c r="D39" i="3"/>
  <c r="D38" i="3"/>
  <c r="D37" i="3"/>
  <c r="D36" i="3"/>
  <c r="D35" i="3"/>
  <c r="D34" i="3"/>
  <c r="D33" i="3"/>
  <c r="D32" i="3"/>
  <c r="D29" i="3"/>
  <c r="D28" i="3"/>
  <c r="D27" i="3"/>
  <c r="D26" i="3"/>
  <c r="D25" i="3"/>
  <c r="D24" i="3"/>
  <c r="D23" i="3"/>
  <c r="D22" i="3"/>
  <c r="D21" i="3"/>
  <c r="D20" i="3"/>
  <c r="D19" i="3"/>
  <c r="E18" i="3"/>
  <c r="D67" i="3"/>
  <c r="D335" i="3"/>
  <c r="D334" i="3"/>
  <c r="D333" i="3"/>
  <c r="E340" i="3"/>
  <c r="D340" i="3" s="1"/>
  <c r="D319" i="3" s="1"/>
  <c r="E339" i="3"/>
  <c r="D339" i="3" s="1"/>
  <c r="E338" i="3"/>
  <c r="D338" i="3" s="1"/>
  <c r="E319" i="3" s="1"/>
  <c r="E332" i="3"/>
  <c r="D332" i="3" s="1"/>
  <c r="D315" i="3"/>
  <c r="E314" i="3"/>
  <c r="D314" i="3"/>
  <c r="E311" i="3"/>
  <c r="E310" i="3"/>
  <c r="D310" i="3"/>
  <c r="D299" i="3"/>
  <c r="D300" i="3"/>
  <c r="D284" i="3"/>
  <c r="D283" i="3"/>
  <c r="D281" i="3"/>
  <c r="D279" i="3"/>
  <c r="D30" i="3" l="1"/>
  <c r="D280" i="3"/>
  <c r="F14" i="1"/>
  <c r="D57" i="3"/>
  <c r="D263" i="3" l="1"/>
  <c r="D262" i="3"/>
  <c r="D251" i="3"/>
  <c r="D277" i="3" l="1"/>
  <c r="D276" i="3"/>
  <c r="E315" i="3"/>
  <c r="D77" i="3" l="1"/>
  <c r="E59" i="3"/>
  <c r="H338" i="3" l="1"/>
  <c r="E14" i="2"/>
  <c r="H340" i="3"/>
  <c r="G340" i="3"/>
  <c r="K43" i="2"/>
  <c r="K14" i="2"/>
  <c r="Q14" i="1"/>
  <c r="E15" i="2"/>
  <c r="K44" i="2"/>
  <c r="K15" i="2"/>
  <c r="J24" i="4" l="1"/>
  <c r="K24" i="4" s="1"/>
  <c r="I23" i="4"/>
  <c r="J23" i="4"/>
  <c r="J25" i="4"/>
  <c r="K25" i="4" s="1"/>
  <c r="D194" i="3"/>
  <c r="K23" i="4" l="1"/>
  <c r="D149" i="3" l="1"/>
  <c r="D156" i="3"/>
  <c r="D131" i="3" l="1"/>
  <c r="D113" i="3"/>
  <c r="D105" i="3"/>
  <c r="F13" i="1" l="1"/>
  <c r="F39" i="1"/>
  <c r="F40" i="1"/>
  <c r="J19" i="4"/>
  <c r="K19" i="4" s="1"/>
  <c r="J14" i="4"/>
  <c r="I13" i="4"/>
  <c r="Q10" i="1" s="1"/>
  <c r="J22" i="4"/>
  <c r="I22" i="4"/>
  <c r="Q13" i="1" s="1"/>
  <c r="K14" i="4" l="1"/>
  <c r="K40" i="2"/>
  <c r="K42" i="2" s="1"/>
  <c r="F38" i="1"/>
  <c r="F12" i="1"/>
  <c r="G13" i="1" s="1"/>
  <c r="K22" i="4"/>
  <c r="F37" i="1" l="1"/>
  <c r="G39" i="1" s="1"/>
  <c r="G14" i="1"/>
  <c r="I18" i="4"/>
  <c r="J18" i="4"/>
  <c r="J13" i="4"/>
  <c r="E16" i="2"/>
  <c r="F65" i="1"/>
  <c r="D24" i="4"/>
  <c r="D22" i="4" s="1"/>
  <c r="D15" i="4"/>
  <c r="D14" i="4"/>
  <c r="D13" i="4"/>
  <c r="E11" i="2" s="1"/>
  <c r="C15" i="4"/>
  <c r="F60" i="1" s="1"/>
  <c r="C14" i="4"/>
  <c r="F35" i="1" s="1"/>
  <c r="E254" i="3"/>
  <c r="F252" i="3"/>
  <c r="C13" i="4"/>
  <c r="D17" i="4"/>
  <c r="C19" i="4"/>
  <c r="C18" i="4"/>
  <c r="G38" i="1" l="1"/>
  <c r="F64" i="1"/>
  <c r="D20" i="4"/>
  <c r="E12" i="2"/>
  <c r="K13" i="4"/>
  <c r="K11" i="2"/>
  <c r="I17" i="4"/>
  <c r="Q11" i="1" s="1"/>
  <c r="Q12" i="1" s="1"/>
  <c r="D325" i="3"/>
  <c r="J17" i="4"/>
  <c r="K12" i="2" s="1"/>
  <c r="D324" i="3"/>
  <c r="D25" i="4"/>
  <c r="E18" i="4"/>
  <c r="F36" i="1"/>
  <c r="F10" i="1"/>
  <c r="E19" i="4"/>
  <c r="F61" i="1"/>
  <c r="C17" i="4"/>
  <c r="K18" i="4"/>
  <c r="C24" i="4"/>
  <c r="E24" i="4" s="1"/>
  <c r="D254" i="3"/>
  <c r="F251" i="3"/>
  <c r="F254" i="3" s="1"/>
  <c r="D266" i="3"/>
  <c r="E15" i="4"/>
  <c r="C20" i="4" l="1"/>
  <c r="E20" i="4" s="1"/>
  <c r="K13" i="2"/>
  <c r="K17" i="4"/>
  <c r="D297" i="3"/>
  <c r="C25" i="4" s="1"/>
  <c r="E25" i="4" s="1"/>
  <c r="C23" i="4"/>
  <c r="E23" i="4" s="1"/>
  <c r="F63" i="1"/>
  <c r="F62" i="1" s="1"/>
  <c r="G63" i="1" s="1"/>
  <c r="E17" i="4"/>
  <c r="F11" i="1"/>
  <c r="D285" i="3"/>
  <c r="D288" i="3" s="1"/>
  <c r="D290" i="3" s="1"/>
  <c r="D291" i="3" s="1"/>
  <c r="G64" i="1" l="1"/>
  <c r="D303" i="3"/>
  <c r="C22" i="4"/>
  <c r="E22" i="4" s="1"/>
  <c r="E14" i="4"/>
  <c r="E13" i="4"/>
</calcChain>
</file>

<file path=xl/comments1.xml><?xml version="1.0" encoding="utf-8"?>
<comments xmlns="http://schemas.openxmlformats.org/spreadsheetml/2006/main">
  <authors>
    <author>Michael Sneijers</author>
  </authors>
  <commentList>
    <comment ref="C228" authorId="0" shapeId="0">
      <text>
        <r>
          <rPr>
            <b/>
            <sz val="9"/>
            <color indexed="81"/>
            <rFont val="Tahoma"/>
            <family val="2"/>
          </rPr>
          <t>Michael Sneijers:</t>
        </r>
        <r>
          <rPr>
            <sz val="9"/>
            <color indexed="81"/>
            <rFont val="Tahoma"/>
            <family val="2"/>
          </rPr>
          <t xml:space="preserve">
nog up to date te brengen</t>
        </r>
      </text>
    </comment>
  </commentList>
</comments>
</file>

<file path=xl/sharedStrings.xml><?xml version="1.0" encoding="utf-8"?>
<sst xmlns="http://schemas.openxmlformats.org/spreadsheetml/2006/main" count="308" uniqueCount="209">
  <si>
    <t xml:space="preserve">Aantal bedrijven in portefeuille </t>
  </si>
  <si>
    <t>Geïnvesteerd vermogen</t>
  </si>
  <si>
    <t xml:space="preserve">Aantal fondsen in portefeuille </t>
  </si>
  <si>
    <t xml:space="preserve">Aandelen </t>
  </si>
  <si>
    <t>Leningen</t>
  </si>
  <si>
    <t>Starterslening</t>
  </si>
  <si>
    <t>KMO cofinanciering</t>
  </si>
  <si>
    <t>Aantal waarborgen in portefeuille</t>
  </si>
  <si>
    <t>Aantal geregistreerde WinWinleningen</t>
  </si>
  <si>
    <t>Aantal bedrijven in portefeuille</t>
  </si>
  <si>
    <t>Aantal fondsen in portefeuille</t>
  </si>
  <si>
    <t xml:space="preserve">Waarvan opvolginvesteringen </t>
  </si>
  <si>
    <t>Waarvan nieuwe investeringen in nieuwe bedrijven</t>
  </si>
  <si>
    <t>Waarvan opvolginvesteringen</t>
  </si>
  <si>
    <t>Waarvan nieuwe investeringen</t>
  </si>
  <si>
    <t xml:space="preserve">Bedrijven </t>
  </si>
  <si>
    <t>Fondsen</t>
  </si>
  <si>
    <t>PMV</t>
  </si>
  <si>
    <t>PMV/Z</t>
  </si>
  <si>
    <t>Nieuwe investeringen</t>
  </si>
  <si>
    <t>Opvolginvesteringen</t>
  </si>
  <si>
    <t>TOTAAL</t>
  </si>
  <si>
    <t>In bedrijven</t>
  </si>
  <si>
    <t>A. In bedrijven</t>
  </si>
  <si>
    <t>A. Waarborgregeling</t>
  </si>
  <si>
    <t>B. WinWinlening</t>
  </si>
  <si>
    <t>Aantal projecten in portefeuille</t>
  </si>
  <si>
    <t>Aantal uitstaande waarborgen</t>
  </si>
  <si>
    <t xml:space="preserve">Projecten </t>
  </si>
  <si>
    <t>B. In projecten</t>
  </si>
  <si>
    <t xml:space="preserve">Aantal projecten in portefeuille </t>
  </si>
  <si>
    <t>Waarvan nieuwe investeringen in nieuwe projecten</t>
  </si>
  <si>
    <t>C. In fondsen</t>
  </si>
  <si>
    <t>Gemiddelde bedrag  (in euro)</t>
  </si>
  <si>
    <t>Aantal waarborgen in portefeuille (in euro)</t>
  </si>
  <si>
    <t>Nieuw waarborgbedrag laatste kwartaal (in euro)</t>
  </si>
  <si>
    <t>Q4 2016</t>
  </si>
  <si>
    <t>Geinvesteerde vermogen</t>
  </si>
  <si>
    <t>Nieuwe fondsinvesteringen</t>
  </si>
  <si>
    <t>Opvolg fondsinvesteringen</t>
  </si>
  <si>
    <t>Totaal</t>
  </si>
  <si>
    <t>Check</t>
  </si>
  <si>
    <t>PMVZ</t>
  </si>
  <si>
    <t>Geïnvesteerd vermogen in bedrijven (in mln. euro)</t>
  </si>
  <si>
    <t>Geïnvesteerd vermogen in projecten (in mln. euro)</t>
  </si>
  <si>
    <t>Geïnvesteerd vermogen in fondsen (in mln. euro)</t>
  </si>
  <si>
    <t>TOTAAL geïnvesteerd vermogen (in mln. euro)</t>
  </si>
  <si>
    <t>Nieuwe investeringen laatste kwartaal (in mln. euro)</t>
  </si>
  <si>
    <t>Desinvesteringsinkomsten laatste kwartaal (in mln. euro)</t>
  </si>
  <si>
    <t xml:space="preserve">Desinvesteringskomsten </t>
  </si>
  <si>
    <t>fondsen</t>
  </si>
  <si>
    <t>Desinvesteringsinkomsten</t>
  </si>
  <si>
    <t>Verlenen van waarborgen</t>
  </si>
  <si>
    <t>Uitstaand waarborgbedrag (in mln. euro)</t>
  </si>
  <si>
    <t>Overeenkomstig financieringsbedrag (in mln. euro)</t>
  </si>
  <si>
    <t>Totaal financieringsbedrag WinWinlening (in mln. euro)</t>
  </si>
  <si>
    <t>Volgens type uitstaande waarborg</t>
  </si>
  <si>
    <t>projecten</t>
  </si>
  <si>
    <t>bedrijven</t>
  </si>
  <si>
    <t>Nieuwe investeringen in bedrijven</t>
  </si>
  <si>
    <t xml:space="preserve">Opvolginvesteringe in bedrijven </t>
  </si>
  <si>
    <t>Nieuwe investeringen in projecten</t>
  </si>
  <si>
    <t>Opvolginvesteringe in projecten</t>
  </si>
  <si>
    <t>Geïnvesteerd vermogen (in mln. euro)</t>
  </si>
  <si>
    <t>Bijkomende investeringen laatste kwartaal (in mln. euro)</t>
  </si>
  <si>
    <t>Waarvan nieuwe investeringen in nieuwe fondsen</t>
  </si>
  <si>
    <t>Gemiddelde bedrag  (in mln. euro)</t>
  </si>
  <si>
    <t>VC Seed</t>
  </si>
  <si>
    <t>VC Late stage</t>
  </si>
  <si>
    <t>VC Early stage</t>
  </si>
  <si>
    <t xml:space="preserve">Sectorpreiding bedrijven </t>
  </si>
  <si>
    <t>Typespreiding investering bij instap</t>
  </si>
  <si>
    <t>Business and Industrial Products</t>
  </si>
  <si>
    <t>Business and Industrial Services</t>
  </si>
  <si>
    <t>Chemical and Materials</t>
  </si>
  <si>
    <t>Construction</t>
  </si>
  <si>
    <t>Energy and Environment</t>
  </si>
  <si>
    <t>Other</t>
  </si>
  <si>
    <t xml:space="preserve">Type instrument </t>
  </si>
  <si>
    <t>Type instrument bedrijfsinvesteringen</t>
  </si>
  <si>
    <t>Infrastructure</t>
  </si>
  <si>
    <t>Sector</t>
  </si>
  <si>
    <t>Type</t>
  </si>
  <si>
    <t>Current cost</t>
  </si>
  <si>
    <t>Type investeringen projecten</t>
  </si>
  <si>
    <t>Type investeringsinstrument projecten</t>
  </si>
  <si>
    <t>Aandelen</t>
  </si>
  <si>
    <t>Sector projecten</t>
  </si>
  <si>
    <t>Generalistic</t>
  </si>
  <si>
    <t>Lifesciences</t>
  </si>
  <si>
    <t>Spin-offs</t>
  </si>
  <si>
    <t>Technology &amp; ICT</t>
  </si>
  <si>
    <t>Uitstaande investering</t>
  </si>
  <si>
    <t>Sectorfocus  fondsinvesteringen</t>
  </si>
  <si>
    <t>Type van fondsen</t>
  </si>
  <si>
    <t>Growth &amp; buyout</t>
  </si>
  <si>
    <t>Venture Capital</t>
  </si>
  <si>
    <t>Gemiddelde bedrag (in mln. euro)</t>
  </si>
  <si>
    <t>Totaal financieringsbedrag (in mln. euro)</t>
  </si>
  <si>
    <t>Nieuwe WinWin leningen laatste kwartaal (in mln. euro)</t>
  </si>
  <si>
    <t>Totaal waarborgbedrag (in mln.  euro)</t>
  </si>
  <si>
    <t>Nieuwe waarborgen laatste kwartaal (in mln. euro)</t>
  </si>
  <si>
    <t>Secto investeringen PMV/Z</t>
  </si>
  <si>
    <t>Geïnvesteerd</t>
  </si>
  <si>
    <t>Detailhandel</t>
  </si>
  <si>
    <t>Horeca</t>
  </si>
  <si>
    <t>Groothandel</t>
  </si>
  <si>
    <t>Automobielsector</t>
  </si>
  <si>
    <t>Waarborgen PMV/Z</t>
  </si>
  <si>
    <t>Bank- en verzekeringswezen</t>
  </si>
  <si>
    <t>Vrije beroepen</t>
  </si>
  <si>
    <t>Industrie</t>
  </si>
  <si>
    <t>Informatie en communicatie</t>
  </si>
  <si>
    <t>Bouwnijverheid</t>
  </si>
  <si>
    <t>Administratieve en ondersteunende diensten</t>
  </si>
  <si>
    <t>Kunst, amusement en recreatie</t>
  </si>
  <si>
    <t xml:space="preserve">Andere </t>
  </si>
  <si>
    <t>Nieuw waarborgbedrag laatste kwartaal (in mln. euro)</t>
  </si>
  <si>
    <t>PMV/Z (Waarborgregeling)</t>
  </si>
  <si>
    <t>PMV (Gigarant)</t>
  </si>
  <si>
    <t>Totaal uitstaand waarborgbedrag (in mln. euro)</t>
  </si>
  <si>
    <t>Distributie van water, afval- en afvalwaterbeheer en sanering</t>
  </si>
  <si>
    <t>Exploitatie van en handel in onroerend goed</t>
  </si>
  <si>
    <t>Landbouw, bosbouw en visserij</t>
  </si>
  <si>
    <t>Menselijke gezondheidszorg en maatschappelijke dienstverlening</t>
  </si>
  <si>
    <t>Onderwijs</t>
  </si>
  <si>
    <t>Overige diensten</t>
  </si>
  <si>
    <t>Productie en distributie van elektriciteit, gas, stoom en gekoelde lucht</t>
  </si>
  <si>
    <t>Vervoer en opslag</t>
  </si>
  <si>
    <t>Winning van delfstoffen</t>
  </si>
  <si>
    <t>Uitsplising investeringsinstrument PMV/Z</t>
  </si>
  <si>
    <t>Waarborgen PMV (gigarant</t>
  </si>
  <si>
    <t>Bedrag</t>
  </si>
  <si>
    <t>Investeren</t>
  </si>
  <si>
    <t xml:space="preserve">Investeren </t>
  </si>
  <si>
    <t>Aantal nieuwe dossiers laatste kwartaal</t>
  </si>
  <si>
    <t>Waarborgregeling</t>
  </si>
  <si>
    <t>PF Vlaanderen</t>
  </si>
  <si>
    <t>WinWin lening</t>
  </si>
  <si>
    <t>Q3 2016</t>
  </si>
  <si>
    <t xml:space="preserve">Aantal nieuwe dossiers </t>
  </si>
  <si>
    <t>WinWinlening</t>
  </si>
  <si>
    <t>Gigarant</t>
  </si>
  <si>
    <t>Nieuw bedrag aan WinWinlening (in mln. euro)</t>
  </si>
  <si>
    <t xml:space="preserve">       aantal nieuwe dossiers laatste kwartaal</t>
  </si>
  <si>
    <t xml:space="preserve">      aantal nieuwe dossiers laatste kwartaal</t>
  </si>
  <si>
    <t>Consumer Services : other</t>
  </si>
  <si>
    <t>Creative Industries</t>
  </si>
  <si>
    <t>test</t>
  </si>
  <si>
    <t>Q1 2017</t>
  </si>
  <si>
    <t>(kolom 'current cost' in de rapportering)</t>
  </si>
  <si>
    <t>slechts semestrieel up te daten!!</t>
  </si>
  <si>
    <t>inschatting voor waarborgregeling op basis van totaal waarborgbedrag versus totaal historisch financieringsbedrag</t>
  </si>
  <si>
    <t>Mutatie Q</t>
  </si>
  <si>
    <t>Life Sciences &amp; Care</t>
  </si>
  <si>
    <t>Consumer goods and retail</t>
  </si>
  <si>
    <t>Chemical and materials : other</t>
  </si>
  <si>
    <t>Financial institutions and services</t>
  </si>
  <si>
    <t>Groot- en detailhandel, reparatie van auto's en motorfietsen</t>
  </si>
  <si>
    <t>Verschaffen van accommodatie en maaltijden</t>
  </si>
  <si>
    <t>Vrije beroepen en wetenschappelijke en technische activiteiten</t>
  </si>
  <si>
    <t>Kunst amusement en recreatie</t>
  </si>
  <si>
    <t>Financiële activiteiten en verzekeringen</t>
  </si>
  <si>
    <t>Q2 2017</t>
  </si>
  <si>
    <t>Growth (after VC) - Scale up</t>
  </si>
  <si>
    <t>Mature</t>
  </si>
  <si>
    <t>Communications equipment</t>
  </si>
  <si>
    <t>Consumer products manufacturing</t>
  </si>
  <si>
    <t>Manufacturing : other</t>
  </si>
  <si>
    <t>Business related software</t>
  </si>
  <si>
    <t>Specialty chemicals</t>
  </si>
  <si>
    <t>Agricultural : other</t>
  </si>
  <si>
    <t>Energy : other</t>
  </si>
  <si>
    <t>Consumer products retailing</t>
  </si>
  <si>
    <t>Industrial measurement, sensing and control equipment</t>
  </si>
  <si>
    <t>Consumer goods :  other</t>
  </si>
  <si>
    <t>Audiovisual</t>
  </si>
  <si>
    <t>Transportation services</t>
  </si>
  <si>
    <t>Alternative energy</t>
  </si>
  <si>
    <t>Systems software</t>
  </si>
  <si>
    <t>Means of transport : manufacturing and related services</t>
  </si>
  <si>
    <t>Hospitality, sports and entertainment facilities</t>
  </si>
  <si>
    <t>Crop cultivation</t>
  </si>
  <si>
    <t>Music</t>
  </si>
  <si>
    <t>Internet technologies</t>
  </si>
  <si>
    <t>Organic chemicals</t>
  </si>
  <si>
    <t>Electronic components</t>
  </si>
  <si>
    <t>Restaurants, food services</t>
  </si>
  <si>
    <t>Fashion</t>
  </si>
  <si>
    <t>Performing art</t>
  </si>
  <si>
    <t>New media</t>
  </si>
  <si>
    <t>Gaming</t>
  </si>
  <si>
    <t>Semiconductors :  other</t>
  </si>
  <si>
    <t>Visual arts</t>
  </si>
  <si>
    <t>Printed media</t>
  </si>
  <si>
    <t>Heritage</t>
  </si>
  <si>
    <t>Software :  other</t>
  </si>
  <si>
    <t>Lifesciences&amp; Care</t>
  </si>
  <si>
    <t>Infra - development</t>
  </si>
  <si>
    <t>Infra - exploitation</t>
  </si>
  <si>
    <t xml:space="preserve">Infra -mixed </t>
  </si>
  <si>
    <t>RE - development</t>
  </si>
  <si>
    <t>RE - exploitation</t>
  </si>
  <si>
    <t>RE - mixed</t>
  </si>
  <si>
    <t xml:space="preserve">RE - Public real estate </t>
  </si>
  <si>
    <t>RE - Heritage</t>
  </si>
  <si>
    <t>RE - Area development</t>
  </si>
  <si>
    <t>Distributie van water, afval en afvalwaterbeheer en sanering</t>
  </si>
  <si>
    <t>Huishoudens als werkgever; niet-gedifferentieerde productie van goederen en diensten door huishoudens voor eigen gebruik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</si>
</sst>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(* #,##0.00_);_(* \(#,##0.00\);_(* &quot;-&quot;??_);_(@_)"/>
    <numFmt numFmtId="165" formatCode="_(* #,##0_);_(* \(#,##0\);_(* &quot;-&quot;??_);_(@_)"/>
    <numFmt numFmtId="166" formatCode="_ * #,##0_ ;_ * \-#,##0_ ;_ * &quot;-&quot;??_ ;_ @_ "/>
    <numFmt numFmtId="167" formatCode="0.00\x"/>
    <numFmt numFmtId="168" formatCode="0.0"/>
    <numFmt numFmtId="169" formatCode="_ * #,##0.0_ ;_ * \-#,##0.0_ ;_ * &quot;-&quot;??_ ;_ @_ "/>
    <numFmt numFmtId="170" formatCode="_(* #,##0.0_);_(* \(#,##0.0\);_(* &quot;-&quot;??_);_(@_)"/>
    <numFmt numFmtId="171" formatCode="0.0%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u/>
      <sz val="11"/>
      <color rgb="FF00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i/>
      <sz val="11"/>
      <color rgb="FF000000"/>
      <name val="Calibri"/>
      <family val="2"/>
      <scheme val="minor"/>
    </font>
    <font>
      <sz val="10"/>
      <name val="Arial"/>
      <family val="2"/>
    </font>
    <font>
      <b/>
      <sz val="20"/>
      <color theme="1"/>
      <name val="Calibri"/>
      <family val="2"/>
      <scheme val="minor"/>
    </font>
    <font>
      <b/>
      <sz val="18"/>
      <color rgb="FF7030A0"/>
      <name val="Calibri"/>
      <family val="2"/>
      <scheme val="minor"/>
    </font>
    <font>
      <b/>
      <i/>
      <u/>
      <sz val="20"/>
      <color theme="1"/>
      <name val="Calibri"/>
      <family val="2"/>
      <scheme val="minor"/>
    </font>
    <font>
      <sz val="18"/>
      <name val="Calibri"/>
      <family val="2"/>
      <scheme val="minor"/>
    </font>
    <font>
      <b/>
      <sz val="26"/>
      <color rgb="FF7030A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b/>
      <i/>
      <sz val="20"/>
      <color theme="1"/>
      <name val="Calibri"/>
      <family val="2"/>
      <scheme val="minor"/>
    </font>
    <font>
      <b/>
      <sz val="26"/>
      <name val="Calibri"/>
      <family val="2"/>
      <scheme val="minor"/>
    </font>
    <font>
      <sz val="11"/>
      <name val="Calibri"/>
      <family val="2"/>
      <scheme val="minor"/>
    </font>
    <font>
      <i/>
      <sz val="20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16">
    <fill>
      <patternFill patternType="none"/>
    </fill>
    <fill>
      <patternFill patternType="gray125"/>
    </fill>
    <fill>
      <patternFill patternType="solid">
        <fgColor indexed="65"/>
        <bgColor theme="0"/>
      </patternFill>
    </fill>
    <fill>
      <patternFill patternType="solid">
        <fgColor theme="0"/>
        <bgColor theme="0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theme="0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theme="0"/>
      </patternFill>
    </fill>
    <fill>
      <patternFill patternType="solid">
        <fgColor theme="9" tint="0.59999389629810485"/>
        <bgColor theme="0"/>
      </patternFill>
    </fill>
    <fill>
      <patternFill patternType="solid">
        <fgColor theme="9" tint="0.79998168889431442"/>
        <bgColor theme="0"/>
      </patternFill>
    </fill>
    <fill>
      <patternFill patternType="solid">
        <fgColor theme="7" tint="0.39997558519241921"/>
        <bgColor theme="0"/>
      </patternFill>
    </fill>
    <fill>
      <patternFill patternType="solid">
        <fgColor theme="7" tint="0.79998168889431442"/>
        <bgColor theme="0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CDCDC"/>
        <bgColor indexed="64"/>
      </patternFill>
    </fill>
    <fill>
      <patternFill patternType="solid">
        <fgColor theme="4"/>
        <bgColor indexed="64"/>
      </patternFill>
    </fill>
  </fills>
  <borders count="13">
    <border>
      <left/>
      <right/>
      <top/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5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indexed="65"/>
      </top>
      <bottom/>
      <diagonal/>
    </border>
    <border>
      <left style="thin">
        <color indexed="65"/>
      </left>
      <right style="thin">
        <color rgb="FF999999"/>
      </right>
      <top style="thin">
        <color indexed="65"/>
      </top>
      <bottom/>
      <diagonal/>
    </border>
    <border>
      <left style="thin">
        <color rgb="FF999999"/>
      </left>
      <right/>
      <top style="thin">
        <color indexed="65"/>
      </top>
      <bottom style="thin">
        <color rgb="FF999999"/>
      </bottom>
      <diagonal/>
    </border>
    <border>
      <left style="thin">
        <color indexed="65"/>
      </left>
      <right/>
      <top style="thin">
        <color indexed="65"/>
      </top>
      <bottom style="thin">
        <color rgb="FF999999"/>
      </bottom>
      <diagonal/>
    </border>
    <border>
      <left style="thin">
        <color indexed="65"/>
      </left>
      <right style="thin">
        <color rgb="FF999999"/>
      </right>
      <top style="thin">
        <color indexed="65"/>
      </top>
      <bottom style="thin">
        <color rgb="FF999999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8" fillId="0" borderId="0"/>
    <xf numFmtId="0" fontId="1" fillId="0" borderId="0"/>
    <xf numFmtId="164" fontId="8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6">
    <xf numFmtId="0" fontId="0" fillId="0" borderId="0" xfId="0"/>
    <xf numFmtId="0" fontId="0" fillId="2" borderId="0" xfId="0" applyFill="1"/>
    <xf numFmtId="49" fontId="4" fillId="3" borderId="0" xfId="0" applyNumberFormat="1" applyFont="1" applyFill="1" applyBorder="1" applyAlignment="1">
      <alignment horizontal="left" vertical="center" wrapText="1"/>
    </xf>
    <xf numFmtId="165" fontId="4" fillId="3" borderId="0" xfId="1" applyNumberFormat="1" applyFont="1" applyFill="1" applyBorder="1" applyAlignment="1">
      <alignment horizontal="left" vertical="center" wrapText="1"/>
    </xf>
    <xf numFmtId="166" fontId="4" fillId="3" borderId="0" xfId="2" applyNumberFormat="1" applyFont="1" applyFill="1" applyBorder="1" applyAlignment="1">
      <alignment horizontal="left" vertical="center" wrapText="1"/>
    </xf>
    <xf numFmtId="167" fontId="2" fillId="3" borderId="0" xfId="0" applyNumberFormat="1" applyFont="1" applyFill="1" applyBorder="1" applyAlignment="1">
      <alignment horizontal="right"/>
    </xf>
    <xf numFmtId="0" fontId="0" fillId="3" borderId="0" xfId="0" applyFill="1"/>
    <xf numFmtId="49" fontId="5" fillId="3" borderId="0" xfId="0" applyNumberFormat="1" applyFont="1" applyFill="1" applyBorder="1" applyAlignment="1">
      <alignment horizontal="left" vertical="center"/>
    </xf>
    <xf numFmtId="166" fontId="7" fillId="3" borderId="0" xfId="2" applyNumberFormat="1" applyFont="1" applyFill="1" applyBorder="1" applyAlignment="1">
      <alignment horizontal="left" vertical="center" wrapText="1"/>
    </xf>
    <xf numFmtId="166" fontId="3" fillId="3" borderId="0" xfId="2" applyNumberFormat="1" applyFont="1" applyFill="1" applyBorder="1" applyAlignment="1">
      <alignment horizontal="left" vertical="center" wrapText="1"/>
    </xf>
    <xf numFmtId="0" fontId="9" fillId="2" borderId="0" xfId="0" applyFont="1" applyFill="1"/>
    <xf numFmtId="0" fontId="10" fillId="2" borderId="0" xfId="0" applyFont="1" applyFill="1"/>
    <xf numFmtId="0" fontId="11" fillId="2" borderId="0" xfId="0" applyFont="1" applyFill="1"/>
    <xf numFmtId="0" fontId="12" fillId="2" borderId="0" xfId="0" applyFont="1" applyFill="1"/>
    <xf numFmtId="0" fontId="9" fillId="2" borderId="0" xfId="0" applyFont="1" applyFill="1" applyBorder="1"/>
    <xf numFmtId="0" fontId="0" fillId="2" borderId="0" xfId="0" applyFill="1" applyBorder="1"/>
    <xf numFmtId="0" fontId="13" fillId="2" borderId="0" xfId="0" applyFont="1" applyFill="1"/>
    <xf numFmtId="0" fontId="13" fillId="2" borderId="0" xfId="0" applyFont="1" applyFill="1" applyBorder="1"/>
    <xf numFmtId="0" fontId="0" fillId="2" borderId="0" xfId="0" applyFill="1" applyAlignment="1">
      <alignment horizontal="center" vertical="center"/>
    </xf>
    <xf numFmtId="168" fontId="0" fillId="0" borderId="0" xfId="0" applyNumberFormat="1"/>
    <xf numFmtId="0" fontId="14" fillId="0" borderId="0" xfId="0" applyFont="1"/>
    <xf numFmtId="0" fontId="2" fillId="0" borderId="0" xfId="0" applyFont="1"/>
    <xf numFmtId="0" fontId="15" fillId="0" borderId="0" xfId="0" applyFont="1"/>
    <xf numFmtId="0" fontId="0" fillId="4" borderId="0" xfId="0" applyFill="1"/>
    <xf numFmtId="0" fontId="17" fillId="0" borderId="0" xfId="0" applyFont="1"/>
    <xf numFmtId="168" fontId="16" fillId="4" borderId="0" xfId="0" applyNumberFormat="1" applyFont="1" applyFill="1"/>
    <xf numFmtId="168" fontId="17" fillId="0" borderId="0" xfId="0" applyNumberFormat="1" applyFont="1"/>
    <xf numFmtId="168" fontId="0" fillId="4" borderId="0" xfId="0" applyNumberFormat="1" applyFill="1"/>
    <xf numFmtId="0" fontId="0" fillId="2" borderId="0" xfId="0" applyFont="1" applyFill="1" applyBorder="1"/>
    <xf numFmtId="0" fontId="0" fillId="5" borderId="0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Font="1"/>
    <xf numFmtId="0" fontId="15" fillId="0" borderId="0" xfId="0" applyFont="1" applyAlignment="1">
      <alignment horizontal="right"/>
    </xf>
    <xf numFmtId="0" fontId="15" fillId="4" borderId="0" xfId="0" applyFont="1" applyFill="1"/>
    <xf numFmtId="169" fontId="0" fillId="0" borderId="0" xfId="0" applyNumberFormat="1"/>
    <xf numFmtId="166" fontId="15" fillId="4" borderId="0" xfId="1" applyNumberFormat="1" applyFont="1" applyFill="1"/>
    <xf numFmtId="166" fontId="0" fillId="4" borderId="0" xfId="1" applyNumberFormat="1" applyFont="1" applyFill="1"/>
    <xf numFmtId="168" fontId="15" fillId="4" borderId="0" xfId="0" applyNumberFormat="1" applyFont="1" applyFill="1"/>
    <xf numFmtId="169" fontId="0" fillId="4" borderId="0" xfId="1" applyNumberFormat="1" applyFont="1" applyFill="1"/>
    <xf numFmtId="2" fontId="0" fillId="4" borderId="0" xfId="0" applyNumberFormat="1" applyFont="1" applyFill="1"/>
    <xf numFmtId="0" fontId="2" fillId="0" borderId="0" xfId="0" applyFont="1" applyAlignment="1">
      <alignment horizontal="right"/>
    </xf>
    <xf numFmtId="0" fontId="0" fillId="0" borderId="0" xfId="0"/>
    <xf numFmtId="0" fontId="0" fillId="0" borderId="0" xfId="0" applyAlignment="1">
      <alignment horizontal="left"/>
    </xf>
    <xf numFmtId="2" fontId="0" fillId="0" borderId="0" xfId="0" applyNumberFormat="1"/>
    <xf numFmtId="0" fontId="18" fillId="0" borderId="0" xfId="0" applyFont="1"/>
    <xf numFmtId="0" fontId="18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170" fontId="0" fillId="0" borderId="0" xfId="1" applyNumberFormat="1" applyFont="1"/>
    <xf numFmtId="170" fontId="17" fillId="0" borderId="0" xfId="1" applyNumberFormat="1" applyFont="1"/>
    <xf numFmtId="0" fontId="17" fillId="0" borderId="0" xfId="0" applyFont="1" applyAlignment="1">
      <alignment horizontal="left"/>
    </xf>
    <xf numFmtId="165" fontId="0" fillId="0" borderId="0" xfId="1" applyNumberFormat="1" applyFont="1"/>
    <xf numFmtId="0" fontId="18" fillId="6" borderId="0" xfId="0" applyFont="1" applyFill="1" applyAlignment="1">
      <alignment horizontal="right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19" fillId="2" borderId="0" xfId="0" applyFont="1" applyFill="1"/>
    <xf numFmtId="0" fontId="0" fillId="2" borderId="0" xfId="0" applyFont="1" applyFill="1"/>
    <xf numFmtId="165" fontId="3" fillId="3" borderId="0" xfId="1" applyNumberFormat="1" applyFont="1" applyFill="1" applyBorder="1" applyAlignment="1">
      <alignment horizontal="left" vertical="center" wrapText="1"/>
    </xf>
    <xf numFmtId="165" fontId="21" fillId="3" borderId="0" xfId="1" applyNumberFormat="1" applyFont="1" applyFill="1" applyBorder="1" applyAlignment="1">
      <alignment horizontal="left" vertical="center" wrapText="1"/>
    </xf>
    <xf numFmtId="2" fontId="0" fillId="0" borderId="0" xfId="0" applyNumberFormat="1" applyFont="1"/>
    <xf numFmtId="0" fontId="19" fillId="2" borderId="0" xfId="0" applyFont="1" applyFill="1" applyBorder="1"/>
    <xf numFmtId="49" fontId="3" fillId="3" borderId="0" xfId="0" applyNumberFormat="1" applyFont="1" applyFill="1" applyBorder="1" applyAlignment="1">
      <alignment horizontal="left" vertical="center" wrapText="1"/>
    </xf>
    <xf numFmtId="0" fontId="0" fillId="3" borderId="0" xfId="0" applyFont="1" applyFill="1"/>
    <xf numFmtId="166" fontId="3" fillId="3" borderId="0" xfId="2" applyNumberFormat="1" applyFont="1" applyFill="1" applyBorder="1" applyAlignment="1">
      <alignment horizontal="right" vertical="center" wrapText="1"/>
    </xf>
    <xf numFmtId="0" fontId="20" fillId="2" borderId="0" xfId="0" applyFont="1" applyFill="1" applyBorder="1" applyAlignment="1">
      <alignment horizontal="left"/>
    </xf>
    <xf numFmtId="0" fontId="0" fillId="9" borderId="0" xfId="0" applyFill="1"/>
    <xf numFmtId="0" fontId="0" fillId="2" borderId="10" xfId="0" applyFill="1" applyBorder="1"/>
    <xf numFmtId="0" fontId="6" fillId="2" borderId="10" xfId="0" applyFont="1" applyFill="1" applyBorder="1" applyAlignment="1">
      <alignment horizontal="right"/>
    </xf>
    <xf numFmtId="0" fontId="19" fillId="2" borderId="11" xfId="0" applyFont="1" applyFill="1" applyBorder="1"/>
    <xf numFmtId="0" fontId="9" fillId="2" borderId="11" xfId="0" applyFont="1" applyFill="1" applyBorder="1"/>
    <xf numFmtId="0" fontId="0" fillId="10" borderId="0" xfId="0" applyFill="1" applyBorder="1"/>
    <xf numFmtId="0" fontId="9" fillId="9" borderId="0" xfId="0" applyFont="1" applyFill="1"/>
    <xf numFmtId="0" fontId="0" fillId="11" borderId="0" xfId="0" applyFill="1"/>
    <xf numFmtId="0" fontId="9" fillId="11" borderId="0" xfId="0" applyFont="1" applyFill="1"/>
    <xf numFmtId="0" fontId="22" fillId="11" borderId="0" xfId="0" applyFont="1" applyFill="1"/>
    <xf numFmtId="0" fontId="24" fillId="2" borderId="0" xfId="0" applyFont="1" applyFill="1"/>
    <xf numFmtId="0" fontId="23" fillId="10" borderId="0" xfId="0" applyFont="1" applyFill="1" applyBorder="1"/>
    <xf numFmtId="0" fontId="19" fillId="2" borderId="10" xfId="0" applyFont="1" applyFill="1" applyBorder="1"/>
    <xf numFmtId="0" fontId="0" fillId="2" borderId="10" xfId="0" applyFont="1" applyFill="1" applyBorder="1"/>
    <xf numFmtId="0" fontId="0" fillId="2" borderId="0" xfId="0" applyFill="1" applyBorder="1" applyAlignment="1">
      <alignment horizontal="right"/>
    </xf>
    <xf numFmtId="165" fontId="3" fillId="3" borderId="11" xfId="1" applyNumberFormat="1" applyFont="1" applyFill="1" applyBorder="1" applyAlignment="1">
      <alignment horizontal="left" vertical="center" wrapText="1"/>
    </xf>
    <xf numFmtId="166" fontId="3" fillId="3" borderId="11" xfId="2" applyNumberFormat="1" applyFont="1" applyFill="1" applyBorder="1" applyAlignment="1">
      <alignment horizontal="left" vertical="center" wrapText="1"/>
    </xf>
    <xf numFmtId="0" fontId="0" fillId="2" borderId="11" xfId="0" applyFill="1" applyBorder="1"/>
    <xf numFmtId="0" fontId="0" fillId="2" borderId="11" xfId="0" applyFont="1" applyFill="1" applyBorder="1"/>
    <xf numFmtId="0" fontId="23" fillId="3" borderId="0" xfId="0" applyFont="1" applyFill="1" applyBorder="1" applyAlignment="1">
      <alignment wrapText="1"/>
    </xf>
    <xf numFmtId="0" fontId="24" fillId="3" borderId="0" xfId="0" applyFont="1" applyFill="1" applyBorder="1" applyAlignment="1">
      <alignment wrapText="1"/>
    </xf>
    <xf numFmtId="0" fontId="9" fillId="2" borderId="10" xfId="0" applyFont="1" applyFill="1" applyBorder="1"/>
    <xf numFmtId="0" fontId="25" fillId="2" borderId="0" xfId="0" applyFont="1" applyFill="1" applyBorder="1"/>
    <xf numFmtId="0" fontId="25" fillId="2" borderId="11" xfId="0" applyFont="1" applyFill="1" applyBorder="1"/>
    <xf numFmtId="1" fontId="19" fillId="2" borderId="11" xfId="0" applyNumberFormat="1" applyFont="1" applyFill="1" applyBorder="1"/>
    <xf numFmtId="0" fontId="15" fillId="2" borderId="0" xfId="0" applyFont="1" applyFill="1" applyBorder="1"/>
    <xf numFmtId="2" fontId="0" fillId="12" borderId="0" xfId="0" applyNumberFormat="1" applyFill="1"/>
    <xf numFmtId="168" fontId="0" fillId="12" borderId="0" xfId="0" applyNumberFormat="1" applyFill="1"/>
    <xf numFmtId="0" fontId="2" fillId="0" borderId="0" xfId="0" applyFont="1" applyAlignment="1">
      <alignment horizontal="left"/>
    </xf>
    <xf numFmtId="0" fontId="0" fillId="12" borderId="0" xfId="0" applyFill="1"/>
    <xf numFmtId="164" fontId="0" fillId="0" borderId="0" xfId="1" applyNumberFormat="1" applyFont="1"/>
    <xf numFmtId="0" fontId="14" fillId="6" borderId="0" xfId="0" applyFont="1" applyFill="1"/>
    <xf numFmtId="171" fontId="15" fillId="2" borderId="0" xfId="6" applyNumberFormat="1" applyFont="1" applyFill="1" applyBorder="1"/>
    <xf numFmtId="9" fontId="15" fillId="2" borderId="0" xfId="6" applyFont="1" applyFill="1" applyBorder="1"/>
    <xf numFmtId="164" fontId="0" fillId="0" borderId="0" xfId="1" applyFont="1"/>
    <xf numFmtId="49" fontId="3" fillId="14" borderId="12" xfId="0" applyNumberFormat="1" applyFont="1" applyFill="1" applyBorder="1" applyAlignment="1">
      <alignment horizontal="left" vertical="center"/>
    </xf>
    <xf numFmtId="49" fontId="3" fillId="14" borderId="0" xfId="0" applyNumberFormat="1" applyFont="1" applyFill="1" applyBorder="1" applyAlignment="1">
      <alignment horizontal="left" vertical="center"/>
    </xf>
    <xf numFmtId="164" fontId="3" fillId="0" borderId="0" xfId="1" applyNumberFormat="1" applyFont="1" applyFill="1" applyBorder="1" applyAlignment="1">
      <alignment horizontal="right" vertical="center"/>
    </xf>
    <xf numFmtId="170" fontId="17" fillId="0" borderId="0" xfId="0" applyNumberFormat="1" applyFont="1"/>
    <xf numFmtId="168" fontId="0" fillId="15" borderId="0" xfId="0" applyNumberFormat="1" applyFill="1"/>
    <xf numFmtId="170" fontId="0" fillId="15" borderId="0" xfId="1" applyNumberFormat="1" applyFont="1" applyFill="1"/>
    <xf numFmtId="170" fontId="2" fillId="0" borderId="0" xfId="1" applyNumberFormat="1" applyFont="1"/>
    <xf numFmtId="164" fontId="2" fillId="0" borderId="0" xfId="1" applyFont="1"/>
    <xf numFmtId="165" fontId="0" fillId="13" borderId="0" xfId="1" applyNumberFormat="1" applyFont="1" applyFill="1"/>
    <xf numFmtId="170" fontId="19" fillId="7" borderId="0" xfId="1" applyNumberFormat="1" applyFont="1" applyFill="1" applyBorder="1" applyAlignment="1">
      <alignment horizontal="center"/>
    </xf>
    <xf numFmtId="170" fontId="19" fillId="10" borderId="0" xfId="1" applyNumberFormat="1" applyFont="1" applyFill="1" applyBorder="1" applyAlignment="1">
      <alignment horizontal="center"/>
    </xf>
    <xf numFmtId="170" fontId="25" fillId="7" borderId="0" xfId="1" applyNumberFormat="1" applyFont="1" applyFill="1" applyBorder="1" applyAlignment="1">
      <alignment horizontal="center"/>
    </xf>
    <xf numFmtId="170" fontId="25" fillId="10" borderId="0" xfId="1" applyNumberFormat="1" applyFont="1" applyFill="1" applyBorder="1" applyAlignment="1">
      <alignment horizontal="center"/>
    </xf>
    <xf numFmtId="170" fontId="25" fillId="7" borderId="11" xfId="1" applyNumberFormat="1" applyFont="1" applyFill="1" applyBorder="1" applyAlignment="1">
      <alignment horizontal="center"/>
    </xf>
    <xf numFmtId="170" fontId="25" fillId="10" borderId="11" xfId="1" applyNumberFormat="1" applyFont="1" applyFill="1" applyBorder="1" applyAlignment="1">
      <alignment horizontal="center"/>
    </xf>
    <xf numFmtId="164" fontId="17" fillId="0" borderId="0" xfId="1" applyFont="1"/>
    <xf numFmtId="170" fontId="19" fillId="2" borderId="10" xfId="1" applyNumberFormat="1" applyFont="1" applyFill="1" applyBorder="1"/>
    <xf numFmtId="170" fontId="19" fillId="2" borderId="0" xfId="1" applyNumberFormat="1" applyFont="1" applyFill="1" applyBorder="1"/>
    <xf numFmtId="170" fontId="25" fillId="2" borderId="0" xfId="1" applyNumberFormat="1" applyFont="1" applyFill="1" applyBorder="1"/>
    <xf numFmtId="170" fontId="19" fillId="2" borderId="0" xfId="1" applyNumberFormat="1" applyFont="1" applyFill="1" applyBorder="1" applyAlignment="1">
      <alignment horizontal="right"/>
    </xf>
    <xf numFmtId="170" fontId="19" fillId="2" borderId="11" xfId="1" applyNumberFormat="1" applyFont="1" applyFill="1" applyBorder="1"/>
    <xf numFmtId="170" fontId="20" fillId="2" borderId="0" xfId="1" applyNumberFormat="1" applyFont="1" applyFill="1" applyBorder="1" applyAlignment="1">
      <alignment horizontal="left"/>
    </xf>
    <xf numFmtId="170" fontId="19" fillId="2" borderId="0" xfId="1" applyNumberFormat="1" applyFont="1" applyFill="1" applyBorder="1" applyAlignment="1">
      <alignment horizontal="center"/>
    </xf>
    <xf numFmtId="170" fontId="9" fillId="7" borderId="0" xfId="1" applyNumberFormat="1" applyFont="1" applyFill="1" applyBorder="1" applyAlignment="1">
      <alignment horizontal="center"/>
    </xf>
    <xf numFmtId="170" fontId="9" fillId="10" borderId="0" xfId="1" applyNumberFormat="1" applyFont="1" applyFill="1" applyBorder="1" applyAlignment="1">
      <alignment horizontal="center"/>
    </xf>
    <xf numFmtId="170" fontId="9" fillId="2" borderId="0" xfId="1" applyNumberFormat="1" applyFont="1" applyFill="1" applyBorder="1" applyAlignment="1">
      <alignment horizontal="center"/>
    </xf>
    <xf numFmtId="170" fontId="0" fillId="7" borderId="0" xfId="1" applyNumberFormat="1" applyFont="1" applyFill="1" applyBorder="1" applyAlignment="1">
      <alignment horizontal="center"/>
    </xf>
    <xf numFmtId="170" fontId="0" fillId="10" borderId="0" xfId="1" applyNumberFormat="1" applyFont="1" applyFill="1" applyBorder="1" applyAlignment="1">
      <alignment horizontal="center"/>
    </xf>
    <xf numFmtId="170" fontId="0" fillId="2" borderId="0" xfId="1" applyNumberFormat="1" applyFont="1" applyFill="1" applyBorder="1" applyAlignment="1">
      <alignment horizontal="center"/>
    </xf>
    <xf numFmtId="170" fontId="20" fillId="7" borderId="0" xfId="1" applyNumberFormat="1" applyFont="1" applyFill="1" applyBorder="1" applyAlignment="1">
      <alignment horizontal="center"/>
    </xf>
    <xf numFmtId="170" fontId="20" fillId="10" borderId="0" xfId="1" applyNumberFormat="1" applyFont="1" applyFill="1" applyBorder="1" applyAlignment="1">
      <alignment horizontal="center"/>
    </xf>
    <xf numFmtId="170" fontId="20" fillId="2" borderId="0" xfId="1" applyNumberFormat="1" applyFont="1" applyFill="1" applyBorder="1" applyAlignment="1">
      <alignment horizontal="center"/>
    </xf>
    <xf numFmtId="170" fontId="19" fillId="7" borderId="11" xfId="1" applyNumberFormat="1" applyFont="1" applyFill="1" applyBorder="1" applyAlignment="1">
      <alignment horizontal="center"/>
    </xf>
    <xf numFmtId="170" fontId="19" fillId="10" borderId="11" xfId="1" applyNumberFormat="1" applyFont="1" applyFill="1" applyBorder="1" applyAlignment="1">
      <alignment horizontal="center"/>
    </xf>
    <xf numFmtId="170" fontId="19" fillId="2" borderId="11" xfId="1" applyNumberFormat="1" applyFont="1" applyFill="1" applyBorder="1" applyAlignment="1">
      <alignment horizontal="center"/>
    </xf>
    <xf numFmtId="170" fontId="25" fillId="2" borderId="0" xfId="1" applyNumberFormat="1" applyFont="1" applyFill="1" applyBorder="1" applyAlignment="1">
      <alignment horizontal="center"/>
    </xf>
    <xf numFmtId="170" fontId="25" fillId="2" borderId="11" xfId="1" applyNumberFormat="1" applyFont="1" applyFill="1" applyBorder="1" applyAlignment="1">
      <alignment horizontal="center"/>
    </xf>
    <xf numFmtId="0" fontId="23" fillId="8" borderId="0" xfId="0" applyFont="1" applyFill="1" applyBorder="1" applyAlignment="1">
      <alignment horizontal="left" vertical="center" wrapText="1"/>
    </xf>
    <xf numFmtId="0" fontId="23" fillId="7" borderId="0" xfId="0" applyFont="1" applyFill="1" applyBorder="1" applyAlignment="1">
      <alignment wrapText="1"/>
    </xf>
    <xf numFmtId="0" fontId="24" fillId="7" borderId="0" xfId="0" applyFont="1" applyFill="1" applyBorder="1" applyAlignment="1">
      <alignment wrapText="1"/>
    </xf>
  </cellXfs>
  <cellStyles count="7">
    <cellStyle name="Comma 2" xfId="2"/>
    <cellStyle name="Comma 25" xfId="5"/>
    <cellStyle name="Komma" xfId="1" builtinId="3"/>
    <cellStyle name="Normal 2" xfId="4"/>
    <cellStyle name="Normal 39" xfId="3"/>
    <cellStyle name="Procent" xfId="6" builtinId="5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000"/>
              <a:t>Geïnvesteerd vermogen volgens type </a:t>
            </a:r>
          </a:p>
        </c:rich>
      </c:tx>
      <c:layout>
        <c:manualLayout>
          <c:xMode val="edge"/>
          <c:yMode val="edge"/>
          <c:x val="0.10293595895230251"/>
          <c:y val="1.767304696132135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title>
    <c:autoTitleDeleted val="0"/>
    <c:plotArea>
      <c:layout>
        <c:manualLayout>
          <c:layoutTarget val="inner"/>
          <c:xMode val="edge"/>
          <c:yMode val="edge"/>
          <c:x val="0.20646338043169821"/>
          <c:y val="0.2029397374147032"/>
          <c:w val="0.37940502932441439"/>
          <c:h val="0.72458708812411443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>
                  <a:shade val="6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59C-4F9E-A4C4-15A53ECB9CCE}"/>
              </c:ext>
            </c:extLst>
          </c:dPt>
          <c:dPt>
            <c:idx val="1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59C-4F9E-A4C4-15A53ECB9CCE}"/>
              </c:ext>
            </c:extLst>
          </c:dPt>
          <c:dPt>
            <c:idx val="2"/>
            <c:bubble3D val="0"/>
            <c:spPr>
              <a:solidFill>
                <a:schemeClr val="accent6">
                  <a:tint val="6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7C01-434B-9FAC-1A77E5411E8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l-BE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Invulsheet!$C$262:$C$264</c:f>
              <c:strCache>
                <c:ptCount val="3"/>
                <c:pt idx="0">
                  <c:v>Bedrijven </c:v>
                </c:pt>
                <c:pt idx="1">
                  <c:v>Projecten </c:v>
                </c:pt>
                <c:pt idx="2">
                  <c:v>Fondsen</c:v>
                </c:pt>
              </c:strCache>
            </c:strRef>
          </c:cat>
          <c:val>
            <c:numRef>
              <c:f>Invulsheet!$D$262:$D$264</c:f>
              <c:numCache>
                <c:formatCode>0.0</c:formatCode>
                <c:ptCount val="3"/>
                <c:pt idx="0">
                  <c:v>311.86384999999996</c:v>
                </c:pt>
                <c:pt idx="1">
                  <c:v>160.97900000000001</c:v>
                </c:pt>
                <c:pt idx="2">
                  <c:v>155.70599999999999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59C-4F9E-A4C4-15A53ECB9C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800"/>
      </a:pPr>
      <a:endParaRPr lang="nl-BE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40"/>
              <a:t>Geïnvesteerd</a:t>
            </a:r>
            <a:r>
              <a:rPr lang="en-US" sz="1440" baseline="0"/>
              <a:t> vermogen volgens</a:t>
            </a:r>
            <a:r>
              <a:rPr lang="en-US" sz="1440"/>
              <a:t> investeringsinstrument</a:t>
            </a:r>
          </a:p>
        </c:rich>
      </c:tx>
      <c:layout>
        <c:manualLayout>
          <c:xMode val="edge"/>
          <c:yMode val="edge"/>
          <c:x val="0.10386880897553859"/>
          <c:y val="2.742868050584585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title>
    <c:autoTitleDeleted val="0"/>
    <c:plotArea>
      <c:layout>
        <c:manualLayout>
          <c:layoutTarget val="inner"/>
          <c:xMode val="edge"/>
          <c:yMode val="edge"/>
          <c:x val="0.17670705289111183"/>
          <c:y val="0.23529286839145108"/>
          <c:w val="0.47696248445597267"/>
          <c:h val="0.59960980877390324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>
                  <a:tint val="77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BB64-4C46-8602-1457804CA3E2}"/>
              </c:ext>
            </c:extLst>
          </c:dPt>
          <c:dPt>
            <c:idx val="1"/>
            <c:bubble3D val="0"/>
            <c:spPr>
              <a:solidFill>
                <a:schemeClr val="accent6">
                  <a:shade val="76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BB64-4C46-8602-1457804CA3E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l-BE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Invulsheet!$C$111:$C$112</c:f>
              <c:strCache>
                <c:ptCount val="2"/>
                <c:pt idx="0">
                  <c:v>Aandelen </c:v>
                </c:pt>
                <c:pt idx="1">
                  <c:v>Leningen</c:v>
                </c:pt>
              </c:strCache>
            </c:strRef>
          </c:cat>
          <c:val>
            <c:numRef>
              <c:f>Invulsheet!$D$111:$D$112</c:f>
              <c:numCache>
                <c:formatCode>0.0</c:formatCode>
                <c:ptCount val="2"/>
                <c:pt idx="0">
                  <c:v>85.11</c:v>
                </c:pt>
                <c:pt idx="1">
                  <c:v>75.867999999999995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B64-4C46-8602-1457804CA3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BE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Geïnvesteerd</a:t>
            </a:r>
            <a:r>
              <a:rPr lang="en-US" baseline="0"/>
              <a:t> vermogen volgens </a:t>
            </a:r>
            <a:r>
              <a:rPr lang="en-US"/>
              <a:t>investeringsinstrument </a:t>
            </a:r>
          </a:p>
        </c:rich>
      </c:tx>
      <c:layout>
        <c:manualLayout>
          <c:xMode val="edge"/>
          <c:yMode val="edge"/>
          <c:x val="0.16064135132316185"/>
          <c:y val="3.88349514563106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title>
    <c:autoTitleDeleted val="0"/>
    <c:plotArea>
      <c:layout>
        <c:manualLayout>
          <c:layoutTarget val="inner"/>
          <c:xMode val="edge"/>
          <c:yMode val="edge"/>
          <c:x val="0.11987145072774993"/>
          <c:y val="0.24991287547389907"/>
          <c:w val="0.53112741589119539"/>
          <c:h val="0.64915573053368325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>
                  <a:tint val="77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AE0-4910-9B55-EAF23DC322A7}"/>
              </c:ext>
            </c:extLst>
          </c:dPt>
          <c:dPt>
            <c:idx val="1"/>
            <c:bubble3D val="0"/>
            <c:spPr>
              <a:solidFill>
                <a:schemeClr val="accent6">
                  <a:shade val="76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AE0-4910-9B55-EAF23DC322A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l-BE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Invulsheet!$C$75:$C$76</c:f>
              <c:strCache>
                <c:ptCount val="2"/>
                <c:pt idx="0">
                  <c:v>Leningen</c:v>
                </c:pt>
                <c:pt idx="1">
                  <c:v>Aandelen</c:v>
                </c:pt>
              </c:strCache>
            </c:strRef>
          </c:cat>
          <c:val>
            <c:numRef>
              <c:f>Invulsheet!$D$75:$D$76</c:f>
              <c:numCache>
                <c:formatCode>0.0</c:formatCode>
                <c:ptCount val="2"/>
                <c:pt idx="0">
                  <c:v>108.664</c:v>
                </c:pt>
                <c:pt idx="1">
                  <c:v>155.07900000000001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AE0-4910-9B55-EAF23DC322A7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BE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BE" sz="1440"/>
              <a:t>Geïnvesteerd</a:t>
            </a:r>
            <a:r>
              <a:rPr lang="nl-BE" sz="1440" baseline="0"/>
              <a:t> vermogen volgens s</a:t>
            </a:r>
            <a:r>
              <a:rPr lang="nl-BE" sz="1440"/>
              <a:t>ector</a:t>
            </a:r>
          </a:p>
        </c:rich>
      </c:tx>
      <c:layout>
        <c:manualLayout>
          <c:xMode val="edge"/>
          <c:yMode val="edge"/>
          <c:x val="8.9515144807707378E-2"/>
          <c:y val="6.714975845410628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>
                  <a:tint val="58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D34-40CA-8FFD-88F9F918D06C}"/>
              </c:ext>
            </c:extLst>
          </c:dPt>
          <c:dPt>
            <c:idx val="1"/>
            <c:bubble3D val="0"/>
            <c:spPr>
              <a:solidFill>
                <a:schemeClr val="accent6">
                  <a:shade val="86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D34-40CA-8FFD-88F9F918D06C}"/>
              </c:ext>
            </c:extLst>
          </c:dPt>
          <c:dPt>
            <c:idx val="2"/>
            <c:bubble3D val="0"/>
            <c:spPr>
              <a:solidFill>
                <a:schemeClr val="accent6">
                  <a:tint val="86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3D34-40CA-8FFD-88F9F918D06C}"/>
              </c:ext>
            </c:extLst>
          </c:dPt>
          <c:dPt>
            <c:idx val="3"/>
            <c:bubble3D val="0"/>
            <c:spPr>
              <a:solidFill>
                <a:schemeClr val="accent6">
                  <a:shade val="76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3D34-40CA-8FFD-88F9F918D06C}"/>
              </c:ext>
            </c:extLst>
          </c:dPt>
          <c:dPt>
            <c:idx val="4"/>
            <c:bubble3D val="0"/>
            <c:spPr>
              <a:solidFill>
                <a:schemeClr val="accent6">
                  <a:shade val="53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1C10-43DE-9B3A-B3BC138CC1D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l-BE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Invulsheet!$C$126:$C$130</c:f>
              <c:strCache>
                <c:ptCount val="5"/>
                <c:pt idx="0">
                  <c:v>Energy and Environment</c:v>
                </c:pt>
                <c:pt idx="1">
                  <c:v>Construction</c:v>
                </c:pt>
                <c:pt idx="2">
                  <c:v>RE - Public real estate </c:v>
                </c:pt>
                <c:pt idx="3">
                  <c:v>RE - Heritage</c:v>
                </c:pt>
                <c:pt idx="4">
                  <c:v>RE - Area development</c:v>
                </c:pt>
              </c:strCache>
            </c:strRef>
          </c:cat>
          <c:val>
            <c:numRef>
              <c:f>Invulsheet!$D$126:$D$130</c:f>
              <c:numCache>
                <c:formatCode>0.0</c:formatCode>
                <c:ptCount val="5"/>
                <c:pt idx="0">
                  <c:v>75.801999999999992</c:v>
                </c:pt>
                <c:pt idx="1">
                  <c:v>45.268999999999998</c:v>
                </c:pt>
                <c:pt idx="2">
                  <c:v>23.808</c:v>
                </c:pt>
                <c:pt idx="3">
                  <c:v>8.9589999999999996</c:v>
                </c:pt>
                <c:pt idx="4">
                  <c:v>7.1340000000000003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D34-40CA-8FFD-88F9F918D06C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BE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40"/>
              <a:t>Geïnvesteerd</a:t>
            </a:r>
            <a:r>
              <a:rPr lang="en-US" sz="1440" baseline="0"/>
              <a:t> vermogen volgens type</a:t>
            </a:r>
            <a:r>
              <a:rPr lang="en-US" sz="1440"/>
              <a:t> fonds </a:t>
            </a:r>
          </a:p>
        </c:rich>
      </c:tx>
      <c:layout>
        <c:manualLayout>
          <c:xMode val="edge"/>
          <c:yMode val="edge"/>
          <c:x val="2.4706051305188617E-2"/>
          <c:y val="5.066504010942294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>
                  <a:tint val="6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10D1-4503-93DD-470AD6D3F5D3}"/>
              </c:ext>
            </c:extLst>
          </c:dPt>
          <c:dPt>
            <c:idx val="1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10D1-4503-93DD-470AD6D3F5D3}"/>
              </c:ext>
            </c:extLst>
          </c:dPt>
          <c:dPt>
            <c:idx val="2"/>
            <c:bubble3D val="0"/>
            <c:spPr>
              <a:solidFill>
                <a:schemeClr val="accent6">
                  <a:shade val="6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10D1-4503-93DD-470AD6D3F5D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l-BE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Invulsheet!$C$153:$C$155</c:f>
              <c:strCache>
                <c:ptCount val="3"/>
                <c:pt idx="0">
                  <c:v>Venture Capital</c:v>
                </c:pt>
                <c:pt idx="1">
                  <c:v>Infrastructure</c:v>
                </c:pt>
                <c:pt idx="2">
                  <c:v>Growth &amp; buyout</c:v>
                </c:pt>
              </c:strCache>
            </c:strRef>
          </c:cat>
          <c:val>
            <c:numRef>
              <c:f>Invulsheet!$D$153:$D$155</c:f>
              <c:numCache>
                <c:formatCode>0.0</c:formatCode>
                <c:ptCount val="3"/>
                <c:pt idx="0">
                  <c:v>126.669</c:v>
                </c:pt>
                <c:pt idx="1">
                  <c:v>14.739000000000001</c:v>
                </c:pt>
                <c:pt idx="2">
                  <c:v>14.295999999999999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0D1-4503-93DD-470AD6D3F5D3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BE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40"/>
              <a:t>Uitstaande</a:t>
            </a:r>
            <a:r>
              <a:rPr lang="en-US" sz="1440" baseline="0"/>
              <a:t> waarborgbedrag</a:t>
            </a:r>
            <a:r>
              <a:rPr lang="en-US" sz="1440"/>
              <a:t> volgens sector </a:t>
            </a:r>
          </a:p>
        </c:rich>
      </c:tx>
      <c:layout>
        <c:manualLayout>
          <c:xMode val="edge"/>
          <c:yMode val="edge"/>
          <c:x val="6.5194444444444444E-2"/>
          <c:y val="3.240740740740740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>
                  <a:tint val="46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558-496A-B481-1B5E26FC75AA}"/>
              </c:ext>
            </c:extLst>
          </c:dPt>
          <c:dPt>
            <c:idx val="1"/>
            <c:bubble3D val="0"/>
            <c:spPr>
              <a:solidFill>
                <a:schemeClr val="accent6">
                  <a:tint val="62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558-496A-B481-1B5E26FC75AA}"/>
              </c:ext>
            </c:extLst>
          </c:dPt>
          <c:dPt>
            <c:idx val="2"/>
            <c:bubble3D val="0"/>
            <c:spPr>
              <a:solidFill>
                <a:schemeClr val="accent6">
                  <a:tint val="77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2558-496A-B481-1B5E26FC75AA}"/>
              </c:ext>
            </c:extLst>
          </c:dPt>
          <c:dPt>
            <c:idx val="3"/>
            <c:bubble3D val="0"/>
            <c:spPr>
              <a:solidFill>
                <a:schemeClr val="accent6">
                  <a:tint val="93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2558-496A-B481-1B5E26FC75AA}"/>
              </c:ext>
            </c:extLst>
          </c:dPt>
          <c:dPt>
            <c:idx val="4"/>
            <c:bubble3D val="0"/>
            <c:spPr>
              <a:solidFill>
                <a:schemeClr val="accent6">
                  <a:shade val="92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2558-496A-B481-1B5E26FC75AA}"/>
              </c:ext>
            </c:extLst>
          </c:dPt>
          <c:dPt>
            <c:idx val="5"/>
            <c:bubble3D val="0"/>
            <c:spPr>
              <a:solidFill>
                <a:schemeClr val="accent6">
                  <a:shade val="76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2558-496A-B481-1B5E26FC75AA}"/>
              </c:ext>
            </c:extLst>
          </c:dPt>
          <c:dPt>
            <c:idx val="6"/>
            <c:bubble3D val="0"/>
            <c:spPr>
              <a:solidFill>
                <a:schemeClr val="accent6">
                  <a:shade val="61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2558-496A-B481-1B5E26FC75AA}"/>
              </c:ext>
            </c:extLst>
          </c:dPt>
          <c:dPt>
            <c:idx val="7"/>
            <c:bubble3D val="0"/>
            <c:spPr>
              <a:solidFill>
                <a:schemeClr val="accent6">
                  <a:shade val="4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2558-496A-B481-1B5E26FC75AA}"/>
              </c:ext>
            </c:extLst>
          </c:dPt>
          <c:dLbls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558-496A-B481-1B5E26FC75AA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558-496A-B481-1B5E26FC75AA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558-496A-B481-1B5E26FC75AA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2558-496A-B481-1B5E26FC75AA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2558-496A-B481-1B5E26FC75A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l-BE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Invulsheet!$C$228:$C$235</c:f>
              <c:strCache>
                <c:ptCount val="8"/>
                <c:pt idx="0">
                  <c:v>Business and Industrial Services</c:v>
                </c:pt>
                <c:pt idx="1">
                  <c:v>Business and Industrial Products</c:v>
                </c:pt>
                <c:pt idx="2">
                  <c:v>Life Sciences &amp; Care</c:v>
                </c:pt>
                <c:pt idx="3">
                  <c:v>Consumer goods and retail</c:v>
                </c:pt>
                <c:pt idx="4">
                  <c:v>Chemical and materials : other</c:v>
                </c:pt>
                <c:pt idx="5">
                  <c:v>Creative Industries</c:v>
                </c:pt>
                <c:pt idx="6">
                  <c:v>Construction</c:v>
                </c:pt>
                <c:pt idx="7">
                  <c:v>Financial institutions and services</c:v>
                </c:pt>
              </c:strCache>
            </c:strRef>
          </c:cat>
          <c:val>
            <c:numRef>
              <c:f>Invulsheet!$D$228:$D$235</c:f>
              <c:numCache>
                <c:formatCode>_(* #\ ##0_);_(* \(#\ ##0\);_(* "-"??_);_(@_)</c:formatCode>
                <c:ptCount val="8"/>
                <c:pt idx="0">
                  <c:v>135691093.75</c:v>
                </c:pt>
                <c:pt idx="1">
                  <c:v>16300415.3684</c:v>
                </c:pt>
                <c:pt idx="2">
                  <c:v>12500000</c:v>
                </c:pt>
                <c:pt idx="3">
                  <c:v>11278070.963986287</c:v>
                </c:pt>
                <c:pt idx="4">
                  <c:v>7996148.9999999991</c:v>
                </c:pt>
                <c:pt idx="5">
                  <c:v>6686416.625</c:v>
                </c:pt>
                <c:pt idx="6">
                  <c:v>5814639.7744853338</c:v>
                </c:pt>
                <c:pt idx="7">
                  <c:v>1500000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2558-496A-B481-1B5E26FC75AA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BE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40"/>
              <a:t>Geïnvesteerd</a:t>
            </a:r>
            <a:r>
              <a:rPr lang="en-US" sz="1440" baseline="0"/>
              <a:t> v</a:t>
            </a:r>
            <a:r>
              <a:rPr lang="en-US" sz="1440"/>
              <a:t>olgens</a:t>
            </a:r>
            <a:r>
              <a:rPr lang="en-US" sz="1440" baseline="0"/>
              <a:t> type instrument</a:t>
            </a:r>
            <a:endParaRPr lang="en-US" sz="1440"/>
          </a:p>
        </c:rich>
      </c:tx>
      <c:layout>
        <c:manualLayout>
          <c:xMode val="edge"/>
          <c:yMode val="edge"/>
          <c:x val="7.1429575479570351E-2"/>
          <c:y val="2.87425149700598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4">
                  <a:shade val="76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B088-41CB-B7C6-0DDF39293913}"/>
              </c:ext>
            </c:extLst>
          </c:dPt>
          <c:dPt>
            <c:idx val="1"/>
            <c:bubble3D val="0"/>
            <c:spPr>
              <a:solidFill>
                <a:schemeClr val="accent4">
                  <a:tint val="77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B088-41CB-B7C6-0DDF3929391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l-BE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Invulsheet!$C$192:$C$193</c:f>
              <c:strCache>
                <c:ptCount val="2"/>
                <c:pt idx="0">
                  <c:v>Starterslening</c:v>
                </c:pt>
                <c:pt idx="1">
                  <c:v>KMO cofinanciering</c:v>
                </c:pt>
              </c:strCache>
            </c:strRef>
          </c:cat>
          <c:val>
            <c:numRef>
              <c:f>Invulsheet!$D$192:$D$193</c:f>
              <c:numCache>
                <c:formatCode>General</c:formatCode>
                <c:ptCount val="2"/>
                <c:pt idx="0">
                  <c:v>19.363</c:v>
                </c:pt>
                <c:pt idx="1">
                  <c:v>35.32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088-41CB-B7C6-0DDF39293913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BE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Geïnvesteerd</a:t>
            </a:r>
            <a:r>
              <a:rPr lang="en-US" baseline="0"/>
              <a:t> volgens s</a:t>
            </a:r>
            <a:r>
              <a:rPr lang="en-US"/>
              <a:t>ector</a:t>
            </a:r>
          </a:p>
        </c:rich>
      </c:tx>
      <c:layout>
        <c:manualLayout>
          <c:xMode val="edge"/>
          <c:yMode val="edge"/>
          <c:x val="0.11665727273454347"/>
          <c:y val="3.703703703703703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4">
                  <a:shade val="44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BE3D-4EB6-9F0F-EE1A866C0643}"/>
              </c:ext>
            </c:extLst>
          </c:dPt>
          <c:dPt>
            <c:idx val="1"/>
            <c:bubble3D val="0"/>
            <c:spPr>
              <a:solidFill>
                <a:schemeClr val="accent4">
                  <a:shade val="58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BE3D-4EB6-9F0F-EE1A866C0643}"/>
              </c:ext>
            </c:extLst>
          </c:dPt>
          <c:dPt>
            <c:idx val="2"/>
            <c:bubble3D val="0"/>
            <c:spPr>
              <a:solidFill>
                <a:schemeClr val="accent4">
                  <a:shade val="72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BE3D-4EB6-9F0F-EE1A866C0643}"/>
              </c:ext>
            </c:extLst>
          </c:dPt>
          <c:dPt>
            <c:idx val="3"/>
            <c:bubble3D val="0"/>
            <c:spPr>
              <a:solidFill>
                <a:schemeClr val="accent4">
                  <a:shade val="86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BE3D-4EB6-9F0F-EE1A866C0643}"/>
              </c:ext>
            </c:extLst>
          </c:dPt>
          <c:dPt>
            <c:idx val="4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BE3D-4EB6-9F0F-EE1A866C0643}"/>
              </c:ext>
            </c:extLst>
          </c:dPt>
          <c:dPt>
            <c:idx val="5"/>
            <c:bubble3D val="0"/>
            <c:spPr>
              <a:solidFill>
                <a:schemeClr val="accent4">
                  <a:tint val="86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BE3D-4EB6-9F0F-EE1A866C0643}"/>
              </c:ext>
            </c:extLst>
          </c:dPt>
          <c:dPt>
            <c:idx val="6"/>
            <c:bubble3D val="0"/>
            <c:spPr>
              <a:solidFill>
                <a:schemeClr val="accent4">
                  <a:tint val="72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BE3D-4EB6-9F0F-EE1A866C0643}"/>
              </c:ext>
            </c:extLst>
          </c:dPt>
          <c:dPt>
            <c:idx val="7"/>
            <c:bubble3D val="0"/>
            <c:spPr>
              <a:solidFill>
                <a:schemeClr val="accent4">
                  <a:tint val="58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BE3D-4EB6-9F0F-EE1A866C0643}"/>
              </c:ext>
            </c:extLst>
          </c:dPt>
          <c:dPt>
            <c:idx val="8"/>
            <c:bubble3D val="0"/>
            <c:spPr>
              <a:solidFill>
                <a:schemeClr val="accent4">
                  <a:tint val="44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BE3D-4EB6-9F0F-EE1A866C0643}"/>
              </c:ext>
            </c:extLst>
          </c:dPt>
          <c:dLbls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BE3D-4EB6-9F0F-EE1A866C064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l-BE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Invulsheet!$C$168:$C$176</c:f>
              <c:strCache>
                <c:ptCount val="9"/>
                <c:pt idx="0">
                  <c:v>Groot- en detailhandel, reparatie van auto's en motorfietsen</c:v>
                </c:pt>
                <c:pt idx="1">
                  <c:v>Informatie en communicatie</c:v>
                </c:pt>
                <c:pt idx="2">
                  <c:v>Verschaffen van accommodatie en maaltijden</c:v>
                </c:pt>
                <c:pt idx="3">
                  <c:v>Menselijke gezondheidszorg en maatschappelijke dienstverlening</c:v>
                </c:pt>
                <c:pt idx="4">
                  <c:v>Industrie</c:v>
                </c:pt>
                <c:pt idx="5">
                  <c:v>Vrije beroepen en wetenschappelijke en technische activiteiten</c:v>
                </c:pt>
                <c:pt idx="6">
                  <c:v>Bouwnijverheid</c:v>
                </c:pt>
                <c:pt idx="7">
                  <c:v>Administratieve en ondersteunende diensten</c:v>
                </c:pt>
                <c:pt idx="8">
                  <c:v>Kunst amusement en recreatie</c:v>
                </c:pt>
              </c:strCache>
            </c:strRef>
          </c:cat>
          <c:val>
            <c:numRef>
              <c:f>Invulsheet!$D$168:$D$176</c:f>
              <c:numCache>
                <c:formatCode>_(* #\ ##0.0_);_(* \(#\ ##0.0\);_(* "-"??_);_(@_)</c:formatCode>
                <c:ptCount val="9"/>
                <c:pt idx="0">
                  <c:v>13.14380573</c:v>
                </c:pt>
                <c:pt idx="1">
                  <c:v>9.3350904900000007</c:v>
                </c:pt>
                <c:pt idx="2">
                  <c:v>6.9183662000000004</c:v>
                </c:pt>
                <c:pt idx="3">
                  <c:v>6.22517459</c:v>
                </c:pt>
                <c:pt idx="4">
                  <c:v>5.6937941399999996</c:v>
                </c:pt>
                <c:pt idx="5">
                  <c:v>3.1516715</c:v>
                </c:pt>
                <c:pt idx="6">
                  <c:v>2.8839861200000003</c:v>
                </c:pt>
                <c:pt idx="7">
                  <c:v>1.7069883199999998</c:v>
                </c:pt>
                <c:pt idx="8">
                  <c:v>1.6259732199999999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BE3D-4EB6-9F0F-EE1A866C0643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2217460007860881"/>
          <c:y val="4.6438830562846319E-2"/>
          <c:w val="0.36178768116155718"/>
          <c:h val="0.8936497521143190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BE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Totaal</a:t>
            </a:r>
            <a:r>
              <a:rPr lang="en-US" baseline="0"/>
              <a:t> waarborgbedrag </a:t>
            </a:r>
            <a:r>
              <a:rPr lang="en-US"/>
              <a:t>volgens sector</a:t>
            </a:r>
          </a:p>
        </c:rich>
      </c:tx>
      <c:layout>
        <c:manualLayout>
          <c:xMode val="edge"/>
          <c:yMode val="edge"/>
          <c:x val="4.917874690861318E-2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Invulsheet!$D$198</c:f>
              <c:strCache>
                <c:ptCount val="1"/>
                <c:pt idx="0">
                  <c:v>Q2 2017</c:v>
                </c:pt>
              </c:strCache>
            </c:strRef>
          </c:tx>
          <c:dPt>
            <c:idx val="0"/>
            <c:bubble3D val="0"/>
            <c:spPr>
              <a:solidFill>
                <a:schemeClr val="accent4">
                  <a:shade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725C-4224-B1F6-82967304558F}"/>
              </c:ext>
            </c:extLst>
          </c:dPt>
          <c:dPt>
            <c:idx val="1"/>
            <c:bubble3D val="0"/>
            <c:spPr>
              <a:solidFill>
                <a:schemeClr val="accent4">
                  <a:shade val="51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725C-4224-B1F6-82967304558F}"/>
              </c:ext>
            </c:extLst>
          </c:dPt>
          <c:dPt>
            <c:idx val="2"/>
            <c:bubble3D val="0"/>
            <c:spPr>
              <a:solidFill>
                <a:schemeClr val="accent4">
                  <a:shade val="62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725C-4224-B1F6-82967304558F}"/>
              </c:ext>
            </c:extLst>
          </c:dPt>
          <c:dPt>
            <c:idx val="3"/>
            <c:bubble3D val="0"/>
            <c:spPr>
              <a:solidFill>
                <a:schemeClr val="accent4">
                  <a:shade val="73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725C-4224-B1F6-82967304558F}"/>
              </c:ext>
            </c:extLst>
          </c:dPt>
          <c:dPt>
            <c:idx val="4"/>
            <c:bubble3D val="0"/>
            <c:spPr>
              <a:solidFill>
                <a:schemeClr val="accent4">
                  <a:shade val="83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725C-4224-B1F6-82967304558F}"/>
              </c:ext>
            </c:extLst>
          </c:dPt>
          <c:dPt>
            <c:idx val="5"/>
            <c:bubble3D val="0"/>
            <c:spPr>
              <a:solidFill>
                <a:schemeClr val="accent4">
                  <a:shade val="94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725C-4224-B1F6-82967304558F}"/>
              </c:ext>
            </c:extLst>
          </c:dPt>
          <c:dPt>
            <c:idx val="6"/>
            <c:bubble3D val="0"/>
            <c:spPr>
              <a:solidFill>
                <a:schemeClr val="accent4">
                  <a:tint val="9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725C-4224-B1F6-82967304558F}"/>
              </c:ext>
            </c:extLst>
          </c:dPt>
          <c:dPt>
            <c:idx val="7"/>
            <c:bubble3D val="0"/>
            <c:spPr>
              <a:solidFill>
                <a:schemeClr val="accent4">
                  <a:tint val="84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725C-4224-B1F6-82967304558F}"/>
              </c:ext>
            </c:extLst>
          </c:dPt>
          <c:dPt>
            <c:idx val="8"/>
            <c:bubble3D val="0"/>
            <c:spPr>
              <a:solidFill>
                <a:schemeClr val="accent4">
                  <a:tint val="74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725C-4224-B1F6-82967304558F}"/>
              </c:ext>
            </c:extLst>
          </c:dPt>
          <c:dPt>
            <c:idx val="9"/>
            <c:bubble3D val="0"/>
            <c:spPr>
              <a:solidFill>
                <a:schemeClr val="accent4">
                  <a:tint val="63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725C-4224-B1F6-82967304558F}"/>
              </c:ext>
            </c:extLst>
          </c:dPt>
          <c:dPt>
            <c:idx val="10"/>
            <c:bubble3D val="0"/>
            <c:spPr>
              <a:solidFill>
                <a:schemeClr val="accent4">
                  <a:tint val="52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725C-4224-B1F6-82967304558F}"/>
              </c:ext>
            </c:extLst>
          </c:dPt>
          <c:dPt>
            <c:idx val="11"/>
            <c:bubble3D val="0"/>
            <c:spPr>
              <a:solidFill>
                <a:schemeClr val="accent4">
                  <a:tint val="41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725C-4224-B1F6-82967304558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l-BE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Invulsheet!$C$199:$C$210</c:f>
              <c:strCache>
                <c:ptCount val="12"/>
                <c:pt idx="0">
                  <c:v>Bank- en verzekeringswezen</c:v>
                </c:pt>
                <c:pt idx="1">
                  <c:v>Vrije beroepen</c:v>
                </c:pt>
                <c:pt idx="2">
                  <c:v>Detailhandel</c:v>
                </c:pt>
                <c:pt idx="3">
                  <c:v>Groothandel</c:v>
                </c:pt>
                <c:pt idx="4">
                  <c:v>Industrie</c:v>
                </c:pt>
                <c:pt idx="5">
                  <c:v>Horeca</c:v>
                </c:pt>
                <c:pt idx="6">
                  <c:v>Informatie en communicatie</c:v>
                </c:pt>
                <c:pt idx="7">
                  <c:v>Bouwnijverheid</c:v>
                </c:pt>
                <c:pt idx="8">
                  <c:v>Administratieve en ondersteunende diensten</c:v>
                </c:pt>
                <c:pt idx="9">
                  <c:v>Vervoer en opslag</c:v>
                </c:pt>
                <c:pt idx="10">
                  <c:v>Kunst, amusement en recreatie</c:v>
                </c:pt>
                <c:pt idx="11">
                  <c:v>Automobielsector</c:v>
                </c:pt>
              </c:strCache>
            </c:strRef>
          </c:cat>
          <c:val>
            <c:numRef>
              <c:f>Invulsheet!$D$199:$D$210</c:f>
              <c:numCache>
                <c:formatCode>_(* #\ ##0.00_);_(* \(#\ ##0.00\);_(* "-"??_);_(@_)</c:formatCode>
                <c:ptCount val="12"/>
                <c:pt idx="0">
                  <c:v>94.597185490000001</c:v>
                </c:pt>
                <c:pt idx="1">
                  <c:v>83.970926309999996</c:v>
                </c:pt>
                <c:pt idx="2">
                  <c:v>82.352293860000003</c:v>
                </c:pt>
                <c:pt idx="3">
                  <c:v>67.082874700000005</c:v>
                </c:pt>
                <c:pt idx="4">
                  <c:v>59.484418099999999</c:v>
                </c:pt>
                <c:pt idx="5">
                  <c:v>50.319875920000001</c:v>
                </c:pt>
                <c:pt idx="6">
                  <c:v>39.058596659999999</c:v>
                </c:pt>
                <c:pt idx="7">
                  <c:v>38.976053719999996</c:v>
                </c:pt>
                <c:pt idx="8">
                  <c:v>28.036376739999998</c:v>
                </c:pt>
                <c:pt idx="9">
                  <c:v>22.40265265</c:v>
                </c:pt>
                <c:pt idx="10">
                  <c:v>20.041410299999999</c:v>
                </c:pt>
                <c:pt idx="11">
                  <c:v>18.447281789999998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725C-4224-B1F6-82967304558F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1226368264994735"/>
          <c:y val="1.8661052785068535E-2"/>
          <c:w val="0.37445506789472333"/>
          <c:h val="0.96309419655876327"/>
        </c:manualLayout>
      </c:layout>
      <c:overlay val="0"/>
      <c:spPr>
        <a:noFill/>
        <a:ln w="22225">
          <a:solidFill>
            <a:schemeClr val="lt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BE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Sectorspreiding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EB6-4A8F-ABA5-0679828F954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EB6-4A8F-ABA5-0679828F954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DEB6-4A8F-ABA5-0679828F954F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B5A1-4A0F-829F-EA6B7E0A3097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B5A1-4A0F-829F-EA6B7E0A3097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B5A1-4A0F-829F-EA6B7E0A3097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B5A1-4A0F-829F-EA6B7E0A3097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B5A1-4A0F-829F-EA6B7E0A3097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B5A1-4A0F-829F-EA6B7E0A3097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132D-4475-B617-47AF52E48C07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132D-4475-B617-47AF52E48C07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132D-4475-B617-47AF52E48C07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132D-4475-B617-47AF52E48C0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l-B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Invulsheet!$C$4:$C$16</c:f>
              <c:strCache>
                <c:ptCount val="13"/>
                <c:pt idx="0">
                  <c:v>Lifesciences&amp; Care</c:v>
                </c:pt>
                <c:pt idx="1">
                  <c:v>Business and Industrial Services</c:v>
                </c:pt>
                <c:pt idx="2">
                  <c:v>Business and Industrial Products</c:v>
                </c:pt>
                <c:pt idx="3">
                  <c:v>Communications equipment</c:v>
                </c:pt>
                <c:pt idx="4">
                  <c:v>Consumer products manufacturing</c:v>
                </c:pt>
                <c:pt idx="5">
                  <c:v>Manufacturing : other</c:v>
                </c:pt>
                <c:pt idx="6">
                  <c:v>Business related software</c:v>
                </c:pt>
                <c:pt idx="7">
                  <c:v>Specialty chemicals</c:v>
                </c:pt>
                <c:pt idx="8">
                  <c:v>Agricultural : other</c:v>
                </c:pt>
                <c:pt idx="9">
                  <c:v>Energy : other</c:v>
                </c:pt>
                <c:pt idx="10">
                  <c:v>Consumer products retailing</c:v>
                </c:pt>
                <c:pt idx="11">
                  <c:v>Financial institutions and services</c:v>
                </c:pt>
                <c:pt idx="12">
                  <c:v>Other</c:v>
                </c:pt>
              </c:strCache>
            </c:strRef>
          </c:cat>
          <c:val>
            <c:numRef>
              <c:f>Invulsheet!$D$4:$D$16</c:f>
              <c:numCache>
                <c:formatCode>0.00</c:formatCode>
                <c:ptCount val="13"/>
                <c:pt idx="0">
                  <c:v>74.851644074700005</c:v>
                </c:pt>
                <c:pt idx="1">
                  <c:v>38.609230369999999</c:v>
                </c:pt>
                <c:pt idx="2">
                  <c:v>23.190992949999998</c:v>
                </c:pt>
                <c:pt idx="3">
                  <c:v>19.336173250000002</c:v>
                </c:pt>
                <c:pt idx="4">
                  <c:v>17.171790590000001</c:v>
                </c:pt>
                <c:pt idx="5">
                  <c:v>10.922854490000001</c:v>
                </c:pt>
                <c:pt idx="6">
                  <c:v>10.914489609999999</c:v>
                </c:pt>
                <c:pt idx="7">
                  <c:v>10.27017319</c:v>
                </c:pt>
                <c:pt idx="8">
                  <c:v>7.7</c:v>
                </c:pt>
                <c:pt idx="9">
                  <c:v>6.52</c:v>
                </c:pt>
                <c:pt idx="10">
                  <c:v>6.0042662300000007</c:v>
                </c:pt>
                <c:pt idx="11">
                  <c:v>5.9642820800000003</c:v>
                </c:pt>
                <c:pt idx="12">
                  <c:v>32.307484434400003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21-40C9-8014-AC21DFA16D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BE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BE" baseline="0"/>
              <a:t>Portefeuille volgens levensfase bij instap</a:t>
            </a:r>
            <a:endParaRPr lang="nl-BE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C01-4512-827A-A21EFC9BF12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C01-4512-827A-A21EFC9BF12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AC01-4512-827A-A21EFC9BF12A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AC01-4512-827A-A21EFC9BF12A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74C1-4238-8B53-27E91CE286A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l-B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Invulsheet!$C$62:$C$66</c:f>
              <c:strCache>
                <c:ptCount val="5"/>
                <c:pt idx="0">
                  <c:v>VC Seed</c:v>
                </c:pt>
                <c:pt idx="1">
                  <c:v>VC Early stage</c:v>
                </c:pt>
                <c:pt idx="2">
                  <c:v>VC Late stage</c:v>
                </c:pt>
                <c:pt idx="3">
                  <c:v>Growth (after VC) - Scale up</c:v>
                </c:pt>
                <c:pt idx="4">
                  <c:v>Mature</c:v>
                </c:pt>
              </c:strCache>
            </c:strRef>
          </c:cat>
          <c:val>
            <c:numRef>
              <c:f>Invulsheet!$D$62:$D$66</c:f>
              <c:numCache>
                <c:formatCode>0.0</c:formatCode>
                <c:ptCount val="5"/>
                <c:pt idx="0">
                  <c:v>32.804000000000002</c:v>
                </c:pt>
                <c:pt idx="1">
                  <c:v>67.712999999999994</c:v>
                </c:pt>
                <c:pt idx="2">
                  <c:v>57.984000000000002</c:v>
                </c:pt>
                <c:pt idx="3">
                  <c:v>37.765000000000001</c:v>
                </c:pt>
                <c:pt idx="4">
                  <c:v>66.828000000000003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71-47E7-844D-04046517EA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B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000"/>
              <a:t>Geïnvesteerd vermogen volgens doelgroep</a:t>
            </a:r>
          </a:p>
        </c:rich>
      </c:tx>
      <c:layout>
        <c:manualLayout>
          <c:xMode val="edge"/>
          <c:yMode val="edge"/>
          <c:x val="0.10160696350853697"/>
          <c:y val="1.352349256739167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title>
    <c:autoTitleDeleted val="0"/>
    <c:plotArea>
      <c:layout>
        <c:manualLayout>
          <c:layoutTarget val="inner"/>
          <c:xMode val="edge"/>
          <c:yMode val="edge"/>
          <c:x val="0.23629913574995703"/>
          <c:y val="0.21607837604753938"/>
          <c:w val="0.38100056662731169"/>
          <c:h val="0.74499981996223341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>
                  <a:tint val="77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770-40CA-9E3F-E0A75EC36077}"/>
              </c:ext>
            </c:extLst>
          </c:dPt>
          <c:dPt>
            <c:idx val="1"/>
            <c:bubble3D val="0"/>
            <c:spPr>
              <a:solidFill>
                <a:schemeClr val="accent6">
                  <a:shade val="76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770-40CA-9E3F-E0A75EC36077}"/>
              </c:ext>
            </c:extLst>
          </c:dPt>
          <c:dLbls>
            <c:dLbl>
              <c:idx val="1"/>
              <c:layout>
                <c:manualLayout>
                  <c:x val="-6.8521151017197149E-2"/>
                  <c:y val="6.537141791251817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770-40CA-9E3F-E0A75EC3607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l-BE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Invulsheet!$C$266:$C$267</c:f>
              <c:strCache>
                <c:ptCount val="2"/>
                <c:pt idx="0">
                  <c:v>PMV</c:v>
                </c:pt>
                <c:pt idx="1">
                  <c:v>PMV/Z</c:v>
                </c:pt>
              </c:strCache>
            </c:strRef>
          </c:cat>
          <c:val>
            <c:numRef>
              <c:f>Invulsheet!$D$266:$D$267</c:f>
              <c:numCache>
                <c:formatCode>0.0</c:formatCode>
                <c:ptCount val="2"/>
                <c:pt idx="0">
                  <c:v>579.78184999999996</c:v>
                </c:pt>
                <c:pt idx="1">
                  <c:v>48.767000000000003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770-40CA-9E3F-E0A75EC360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2735617492452262"/>
          <c:y val="0.5043471742039527"/>
          <c:w val="0.14580676167208487"/>
          <c:h val="0.2080711225915521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800"/>
      </a:pPr>
      <a:endParaRPr lang="nl-BE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aseline="0"/>
              <a:t>Sectorfocus fondsinvesteringen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66D-41CD-86EA-CB5ED8DA238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66D-41CD-86EA-CB5ED8DA238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D759-4518-9E0F-2651CD5D9246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D759-4518-9E0F-2651CD5D9246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D759-4518-9E0F-2651CD5D9246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D759-4518-9E0F-2651CD5D924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l-B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Invulsheet!$C$143:$C$148</c:f>
              <c:strCache>
                <c:ptCount val="6"/>
                <c:pt idx="0">
                  <c:v>Generalistic</c:v>
                </c:pt>
                <c:pt idx="1">
                  <c:v>Technology &amp; ICT</c:v>
                </c:pt>
                <c:pt idx="2">
                  <c:v>Lifesciences</c:v>
                </c:pt>
                <c:pt idx="3">
                  <c:v>Spin-offs</c:v>
                </c:pt>
                <c:pt idx="4">
                  <c:v>Infrastructure</c:v>
                </c:pt>
                <c:pt idx="5">
                  <c:v>Chemical and Materials</c:v>
                </c:pt>
              </c:strCache>
            </c:strRef>
          </c:cat>
          <c:val>
            <c:numRef>
              <c:f>Invulsheet!$D$143:$D$148</c:f>
              <c:numCache>
                <c:formatCode>_(* #\ ##0.0_);_(* \(#\ ##0.0\);_(* "-"??_);_(@_)</c:formatCode>
                <c:ptCount val="6"/>
                <c:pt idx="0">
                  <c:v>51.2</c:v>
                </c:pt>
                <c:pt idx="1">
                  <c:v>35.4</c:v>
                </c:pt>
                <c:pt idx="2">
                  <c:v>39.99</c:v>
                </c:pt>
                <c:pt idx="3">
                  <c:v>11.859</c:v>
                </c:pt>
                <c:pt idx="4">
                  <c:v>14.739000000000001</c:v>
                </c:pt>
                <c:pt idx="5">
                  <c:v>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90-4E8C-8498-E2EBFB493AAF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BE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Type investeringsinstrument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716C-46D8-8594-61712260742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716C-46D8-8594-61712260742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l-B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Invulsheet!$C$111:$C$112</c:f>
              <c:strCache>
                <c:ptCount val="2"/>
                <c:pt idx="0">
                  <c:v>Aandelen </c:v>
                </c:pt>
                <c:pt idx="1">
                  <c:v>Leningen</c:v>
                </c:pt>
              </c:strCache>
            </c:strRef>
          </c:cat>
          <c:val>
            <c:numRef>
              <c:f>Invulsheet!$D$111:$D$112</c:f>
              <c:numCache>
                <c:formatCode>0.0</c:formatCode>
                <c:ptCount val="2"/>
                <c:pt idx="0">
                  <c:v>85.11</c:v>
                </c:pt>
                <c:pt idx="1">
                  <c:v>75.867999999999995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21-4D9E-AB3B-C0EC3A8846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BE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Leninginstrument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EBE-47DF-BBDC-81943D0A273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EBE-47DF-BBDC-81943D0A273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l-BE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Invulsheet!$C$192:$C$193</c:f>
              <c:strCache>
                <c:ptCount val="2"/>
                <c:pt idx="0">
                  <c:v>Starterslening</c:v>
                </c:pt>
                <c:pt idx="1">
                  <c:v>KMO cofinanciering</c:v>
                </c:pt>
              </c:strCache>
            </c:strRef>
          </c:cat>
          <c:val>
            <c:numRef>
              <c:f>Invulsheet!$D$192:$D$193</c:f>
              <c:numCache>
                <c:formatCode>General</c:formatCode>
                <c:ptCount val="2"/>
                <c:pt idx="0">
                  <c:v>19.363</c:v>
                </c:pt>
                <c:pt idx="1">
                  <c:v>35.32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41-4E15-8D29-A055F07941DA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BE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Geïnvesteerd vermogen in euro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4C3-437F-B15F-F0959954BD9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4C3-437F-B15F-F0959954BD9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415C-4975-A932-5A424A83F15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l-B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Invulsheet!$C$262:$C$264</c:f>
              <c:strCache>
                <c:ptCount val="3"/>
                <c:pt idx="0">
                  <c:v>Bedrijven </c:v>
                </c:pt>
                <c:pt idx="1">
                  <c:v>Projecten </c:v>
                </c:pt>
                <c:pt idx="2">
                  <c:v>Fondsen</c:v>
                </c:pt>
              </c:strCache>
            </c:strRef>
          </c:cat>
          <c:val>
            <c:numRef>
              <c:f>Invulsheet!$D$262:$D$264</c:f>
              <c:numCache>
                <c:formatCode>0.0</c:formatCode>
                <c:ptCount val="3"/>
                <c:pt idx="0">
                  <c:v>311.86384999999996</c:v>
                </c:pt>
                <c:pt idx="1">
                  <c:v>160.97900000000001</c:v>
                </c:pt>
                <c:pt idx="2">
                  <c:v>155.70599999999999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D8-452E-BB2A-A3274DFEEB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BE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Volgens</a:t>
            </a:r>
            <a:r>
              <a:rPr lang="en-US" baseline="0"/>
              <a:t> doelgroep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2A1-45A5-A400-F85C5D5D99B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2A1-45A5-A400-F85C5D5D99B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l-B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Invulsheet!$C$266:$C$267</c:f>
              <c:strCache>
                <c:ptCount val="2"/>
                <c:pt idx="0">
                  <c:v>PMV</c:v>
                </c:pt>
                <c:pt idx="1">
                  <c:v>PMV/Z</c:v>
                </c:pt>
              </c:strCache>
            </c:strRef>
          </c:cat>
          <c:val>
            <c:numRef>
              <c:f>Invulsheet!$D$266:$D$267</c:f>
              <c:numCache>
                <c:formatCode>0.0</c:formatCode>
                <c:ptCount val="2"/>
                <c:pt idx="0">
                  <c:v>579.78184999999996</c:v>
                </c:pt>
                <c:pt idx="1">
                  <c:v>48.767000000000003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2A-421D-9727-0CE0463858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BE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Bijkomende investeringen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41F8-492C-A825-7B17336000E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41F8-492C-A825-7B17336000E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l-B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Invulsheet!$C$276:$C$277</c:f>
              <c:strCache>
                <c:ptCount val="2"/>
                <c:pt idx="0">
                  <c:v>Opvolginvesteringen</c:v>
                </c:pt>
                <c:pt idx="1">
                  <c:v>Nieuwe investeringen</c:v>
                </c:pt>
              </c:strCache>
            </c:strRef>
          </c:cat>
          <c:val>
            <c:numRef>
              <c:f>Invulsheet!$D$276:$D$277</c:f>
              <c:numCache>
                <c:formatCode>0.0</c:formatCode>
                <c:ptCount val="2"/>
                <c:pt idx="0">
                  <c:v>11.748999999999999</c:v>
                </c:pt>
                <c:pt idx="1">
                  <c:v>8.39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75-44C5-87F1-44B44F0751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BE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Volgens doelgroep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52DA-456C-993C-81AEC966203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52DA-456C-993C-81AEC966203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l-B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Invulsheet!$C$288:$C$289</c:f>
              <c:strCache>
                <c:ptCount val="2"/>
                <c:pt idx="0">
                  <c:v>PMV</c:v>
                </c:pt>
                <c:pt idx="1">
                  <c:v>PMV/Z</c:v>
                </c:pt>
              </c:strCache>
            </c:strRef>
          </c:cat>
          <c:val>
            <c:numRef>
              <c:f>Invulsheet!$D$288:$D$289</c:f>
              <c:numCache>
                <c:formatCode>0.0</c:formatCode>
                <c:ptCount val="2"/>
                <c:pt idx="0">
                  <c:v>14.773999999999999</c:v>
                </c:pt>
                <c:pt idx="1">
                  <c:v>5.3650000000000002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138-495D-98B4-119A93F191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BE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Type uitstaande waarborg (in mln. euro)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844-4374-BDD7-12EE9A0F1E9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844-4374-BDD7-12EE9A0F1E9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l-B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Invulsheet!$C$324:$C$325</c:f>
              <c:strCache>
                <c:ptCount val="2"/>
                <c:pt idx="0">
                  <c:v>PMV/Z (Waarborgregeling)</c:v>
                </c:pt>
                <c:pt idx="1">
                  <c:v>PMV (Gigarant)</c:v>
                </c:pt>
              </c:strCache>
            </c:strRef>
          </c:cat>
          <c:val>
            <c:numRef>
              <c:f>Invulsheet!$D$324:$D$325</c:f>
              <c:numCache>
                <c:formatCode>0.0</c:formatCode>
                <c:ptCount val="2"/>
                <c:pt idx="0" formatCode="_ * #\ ##0.0_ ;_ * \-#\ ##0.0_ ;_ * &quot;-&quot;??_ ;_ @_ ">
                  <c:v>640.72586592999994</c:v>
                </c:pt>
                <c:pt idx="1">
                  <c:v>208.69229048559961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7F-45FB-AC78-F1BD1A91A4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BE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Type</a:t>
            </a:r>
            <a:r>
              <a:rPr lang="en-US" baseline="0"/>
              <a:t> van investering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41C-42ED-9747-733C64F718C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41C-42ED-9747-733C64F718C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C41C-42ED-9747-733C64F718C6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41C-42ED-9747-733C64F718C6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976C-4943-BFE6-C3ABF9D60043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976C-4943-BFE6-C3ABF9D6004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l-B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Invulsheet!$C$99:$C$104</c:f>
              <c:strCache>
                <c:ptCount val="6"/>
                <c:pt idx="0">
                  <c:v>Infra -mixed </c:v>
                </c:pt>
                <c:pt idx="1">
                  <c:v>Infra - exploitation</c:v>
                </c:pt>
                <c:pt idx="2">
                  <c:v>RE - exploitation</c:v>
                </c:pt>
                <c:pt idx="3">
                  <c:v>RE - development</c:v>
                </c:pt>
                <c:pt idx="4">
                  <c:v>RE - mixed</c:v>
                </c:pt>
                <c:pt idx="5">
                  <c:v>Infra - development</c:v>
                </c:pt>
              </c:strCache>
            </c:strRef>
          </c:cat>
          <c:val>
            <c:numRef>
              <c:f>Invulsheet!$D$99:$D$104</c:f>
              <c:numCache>
                <c:formatCode>0.00</c:formatCode>
                <c:ptCount val="6"/>
                <c:pt idx="0">
                  <c:v>64.725999999999999</c:v>
                </c:pt>
                <c:pt idx="1">
                  <c:v>54.606999999999999</c:v>
                </c:pt>
                <c:pt idx="2">
                  <c:v>19.463999999999999</c:v>
                </c:pt>
                <c:pt idx="3">
                  <c:v>14.573</c:v>
                </c:pt>
                <c:pt idx="4">
                  <c:v>5.8630000000000004</c:v>
                </c:pt>
                <c:pt idx="5">
                  <c:v>1.7430000000000001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4B-4D7C-B34E-D20E90E371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BE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Type investeringsinstrument (in mln. euro)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02A9-4593-9A1D-0372B50CC92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02A9-4593-9A1D-0372B50CC92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l-B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Invulsheet!$C$75:$C$76</c:f>
              <c:strCache>
                <c:ptCount val="2"/>
                <c:pt idx="0">
                  <c:v>Leningen</c:v>
                </c:pt>
                <c:pt idx="1">
                  <c:v>Aandelen</c:v>
                </c:pt>
              </c:strCache>
            </c:strRef>
          </c:cat>
          <c:val>
            <c:numRef>
              <c:f>Invulsheet!$D$75:$D$76</c:f>
              <c:numCache>
                <c:formatCode>0.0</c:formatCode>
                <c:ptCount val="2"/>
                <c:pt idx="0">
                  <c:v>108.664</c:v>
                </c:pt>
                <c:pt idx="1">
                  <c:v>155.07900000000001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85-4902-8A6C-C5DDD3051224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B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000"/>
              <a:t>Bijkomende investeringen (opvolg</a:t>
            </a:r>
            <a:r>
              <a:rPr lang="en-US" sz="2000" baseline="0"/>
              <a:t> versus </a:t>
            </a:r>
            <a:r>
              <a:rPr lang="en-US" sz="2000"/>
              <a:t>nieuwe) </a:t>
            </a:r>
          </a:p>
        </c:rich>
      </c:tx>
      <c:layout>
        <c:manualLayout>
          <c:xMode val="edge"/>
          <c:yMode val="edge"/>
          <c:x val="0.11372298726976308"/>
          <c:y val="2.151816180938761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title>
    <c:autoTitleDeleted val="0"/>
    <c:plotArea>
      <c:layout>
        <c:manualLayout>
          <c:layoutTarget val="inner"/>
          <c:xMode val="edge"/>
          <c:yMode val="edge"/>
          <c:x val="0.1867028956182239"/>
          <c:y val="0.25258708297707638"/>
          <c:w val="0.37722971853187953"/>
          <c:h val="0.707045956210082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>
                  <a:tint val="77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BC7-4585-BEEA-0B60F2EE764A}"/>
              </c:ext>
            </c:extLst>
          </c:dPt>
          <c:dPt>
            <c:idx val="1"/>
            <c:bubble3D val="0"/>
            <c:spPr>
              <a:solidFill>
                <a:schemeClr val="accent6">
                  <a:shade val="76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BC7-4585-BEEA-0B60F2EE764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l-BE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Invulsheet!$C$276:$C$277</c:f>
              <c:strCache>
                <c:ptCount val="2"/>
                <c:pt idx="0">
                  <c:v>Opvolginvesteringen</c:v>
                </c:pt>
                <c:pt idx="1">
                  <c:v>Nieuwe investeringen</c:v>
                </c:pt>
              </c:strCache>
            </c:strRef>
          </c:cat>
          <c:val>
            <c:numRef>
              <c:f>Invulsheet!$D$276:$D$277</c:f>
              <c:numCache>
                <c:formatCode>0.0</c:formatCode>
                <c:ptCount val="2"/>
                <c:pt idx="0">
                  <c:v>11.748999999999999</c:v>
                </c:pt>
                <c:pt idx="1">
                  <c:v>8.39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BC7-4585-BEEA-0B60F2EE76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2728764631293332"/>
          <c:y val="0.42442059541411675"/>
          <c:w val="0.36096492343743375"/>
          <c:h val="0.3633789313360019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800"/>
      </a:pPr>
      <a:endParaRPr lang="nl-BE"/>
    </a:p>
  </c:txPr>
  <c:printSettings>
    <c:headerFooter/>
    <c:pageMargins b="0.75" l="0.7" r="0.7" t="0.75" header="0.3" footer="0.3"/>
    <c:pageSetup orientation="portrait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BE"/>
              <a:t>Sectorspreiding</a:t>
            </a:r>
            <a:r>
              <a:rPr lang="nl-BE" baseline="0"/>
              <a:t> (in mln. euro)</a:t>
            </a:r>
            <a:endParaRPr lang="nl-BE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8BB-4949-8DAC-DD856A0E77B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8BB-4949-8DAC-DD856A0E77B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68BB-4949-8DAC-DD856A0E77B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68BB-4949-8DAC-DD856A0E77B3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2297-4900-A6CB-AA16A671908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l-B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Invulsheet!$C$126:$C$130</c:f>
              <c:strCache>
                <c:ptCount val="5"/>
                <c:pt idx="0">
                  <c:v>Energy and Environment</c:v>
                </c:pt>
                <c:pt idx="1">
                  <c:v>Construction</c:v>
                </c:pt>
                <c:pt idx="2">
                  <c:v>RE - Public real estate </c:v>
                </c:pt>
                <c:pt idx="3">
                  <c:v>RE - Heritage</c:v>
                </c:pt>
                <c:pt idx="4">
                  <c:v>RE - Area development</c:v>
                </c:pt>
              </c:strCache>
            </c:strRef>
          </c:cat>
          <c:val>
            <c:numRef>
              <c:f>Invulsheet!$D$126:$D$130</c:f>
              <c:numCache>
                <c:formatCode>0.0</c:formatCode>
                <c:ptCount val="5"/>
                <c:pt idx="0">
                  <c:v>75.801999999999992</c:v>
                </c:pt>
                <c:pt idx="1">
                  <c:v>45.268999999999998</c:v>
                </c:pt>
                <c:pt idx="2">
                  <c:v>23.808</c:v>
                </c:pt>
                <c:pt idx="3">
                  <c:v>8.9589999999999996</c:v>
                </c:pt>
                <c:pt idx="4">
                  <c:v>7.1340000000000003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7B-4DA6-918C-511A5AF0A9F8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BE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Type van fonds</a:t>
            </a:r>
          </a:p>
        </c:rich>
      </c:tx>
      <c:layout>
        <c:manualLayout>
          <c:xMode val="edge"/>
          <c:yMode val="edge"/>
          <c:x val="0.22653455818022741"/>
          <c:y val="6.48148148148148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43A-4AF9-B616-9C76CD9CFB0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43A-4AF9-B616-9C76CD9CFB0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F43A-4AF9-B616-9C76CD9CFB0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l-B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Invulsheet!$C$153:$C$155</c:f>
              <c:strCache>
                <c:ptCount val="3"/>
                <c:pt idx="0">
                  <c:v>Venture Capital</c:v>
                </c:pt>
                <c:pt idx="1">
                  <c:v>Infrastructure</c:v>
                </c:pt>
                <c:pt idx="2">
                  <c:v>Growth &amp; buyout</c:v>
                </c:pt>
              </c:strCache>
            </c:strRef>
          </c:cat>
          <c:val>
            <c:numRef>
              <c:f>Invulsheet!$D$153:$D$155</c:f>
              <c:numCache>
                <c:formatCode>0.0</c:formatCode>
                <c:ptCount val="3"/>
                <c:pt idx="0">
                  <c:v>126.669</c:v>
                </c:pt>
                <c:pt idx="1">
                  <c:v>14.739000000000001</c:v>
                </c:pt>
                <c:pt idx="2">
                  <c:v>14.295999999999999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7F-4A02-91DF-872DB487F2E4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BE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Sectorspreiding</a:t>
            </a:r>
          </a:p>
        </c:rich>
      </c:tx>
      <c:layout>
        <c:manualLayout>
          <c:xMode val="edge"/>
          <c:yMode val="edge"/>
          <c:x val="0.1915"/>
          <c:y val="3.703703703703703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7BB-4464-B64C-15AA0C49E8A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7BB-4464-B64C-15AA0C49E8A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F7BB-4464-B64C-15AA0C49E8AA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F7BB-4464-B64C-15AA0C49E8AA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F7BB-4464-B64C-15AA0C49E8AA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F7BB-4464-B64C-15AA0C49E8AA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F7BB-4464-B64C-15AA0C49E8AA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F7BB-4464-B64C-15AA0C49E8AA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2A7-46DA-9D19-F62814BF614A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6D76-42E8-BDD3-D151BAAE19D9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2-92E8-40FF-9167-284C7F87C396}"/>
              </c:ext>
            </c:extLst>
          </c:dPt>
          <c:dLbls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2A7-46DA-9D19-F62814BF614A}"/>
                </c:ext>
              </c:extLst>
            </c:dLbl>
            <c:dLbl>
              <c:idx val="10"/>
              <c:layout>
                <c:manualLayout>
                  <c:x val="1.3267722502329564E-2"/>
                  <c:y val="1.041233751106557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92E8-40FF-9167-284C7F87C39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l-BE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Invulsheet!$C$168:$C$178</c:f>
              <c:strCache>
                <c:ptCount val="11"/>
                <c:pt idx="0">
                  <c:v>Groot- en detailhandel, reparatie van auto's en motorfietsen</c:v>
                </c:pt>
                <c:pt idx="1">
                  <c:v>Informatie en communicatie</c:v>
                </c:pt>
                <c:pt idx="2">
                  <c:v>Verschaffen van accommodatie en maaltijden</c:v>
                </c:pt>
                <c:pt idx="3">
                  <c:v>Menselijke gezondheidszorg en maatschappelijke dienstverlening</c:v>
                </c:pt>
                <c:pt idx="4">
                  <c:v>Industrie</c:v>
                </c:pt>
                <c:pt idx="5">
                  <c:v>Vrije beroepen en wetenschappelijke en technische activiteiten</c:v>
                </c:pt>
                <c:pt idx="6">
                  <c:v>Bouwnijverheid</c:v>
                </c:pt>
                <c:pt idx="7">
                  <c:v>Administratieve en ondersteunende diensten</c:v>
                </c:pt>
                <c:pt idx="8">
                  <c:v>Kunst amusement en recreatie</c:v>
                </c:pt>
                <c:pt idx="9">
                  <c:v>Overige diensten</c:v>
                </c:pt>
                <c:pt idx="10">
                  <c:v>Andere </c:v>
                </c:pt>
              </c:strCache>
            </c:strRef>
          </c:cat>
          <c:val>
            <c:numRef>
              <c:f>Invulsheet!$D$168:$D$178</c:f>
              <c:numCache>
                <c:formatCode>_(* #\ ##0.0_);_(* \(#\ ##0.0\);_(* "-"??_);_(@_)</c:formatCode>
                <c:ptCount val="11"/>
                <c:pt idx="0">
                  <c:v>13.14380573</c:v>
                </c:pt>
                <c:pt idx="1">
                  <c:v>9.3350904900000007</c:v>
                </c:pt>
                <c:pt idx="2">
                  <c:v>6.9183662000000004</c:v>
                </c:pt>
                <c:pt idx="3">
                  <c:v>6.22517459</c:v>
                </c:pt>
                <c:pt idx="4">
                  <c:v>5.6937941399999996</c:v>
                </c:pt>
                <c:pt idx="5">
                  <c:v>3.1516715</c:v>
                </c:pt>
                <c:pt idx="6">
                  <c:v>2.8839861200000003</c:v>
                </c:pt>
                <c:pt idx="7">
                  <c:v>1.7069883199999998</c:v>
                </c:pt>
                <c:pt idx="8">
                  <c:v>1.6259732199999999</c:v>
                </c:pt>
                <c:pt idx="9">
                  <c:v>1.36742933</c:v>
                </c:pt>
                <c:pt idx="10">
                  <c:v>2.67394986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A7-46DA-9D19-F62814BF614A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BE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Spreiding volgens sector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Invulsheet!$D$198</c:f>
              <c:strCache>
                <c:ptCount val="1"/>
                <c:pt idx="0">
                  <c:v>Q2 2017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20A-415D-B2DC-FFB87B71613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20A-415D-B2DC-FFB87B71613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220A-415D-B2DC-FFB87B716130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220A-415D-B2DC-FFB87B716130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220A-415D-B2DC-FFB87B716130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220A-415D-B2DC-FFB87B716130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220A-415D-B2DC-FFB87B716130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220A-415D-B2DC-FFB87B716130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220A-415D-B2DC-FFB87B716130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220A-415D-B2DC-FFB87B716130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220A-415D-B2DC-FFB87B716130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220A-415D-B2DC-FFB87B716130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2838-46B1-9173-3F8DC512B74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l-BE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Invulsheet!$C$199:$C$211</c:f>
              <c:strCache>
                <c:ptCount val="13"/>
                <c:pt idx="0">
                  <c:v>Bank- en verzekeringswezen</c:v>
                </c:pt>
                <c:pt idx="1">
                  <c:v>Vrije beroepen</c:v>
                </c:pt>
                <c:pt idx="2">
                  <c:v>Detailhandel</c:v>
                </c:pt>
                <c:pt idx="3">
                  <c:v>Groothandel</c:v>
                </c:pt>
                <c:pt idx="4">
                  <c:v>Industrie</c:v>
                </c:pt>
                <c:pt idx="5">
                  <c:v>Horeca</c:v>
                </c:pt>
                <c:pt idx="6">
                  <c:v>Informatie en communicatie</c:v>
                </c:pt>
                <c:pt idx="7">
                  <c:v>Bouwnijverheid</c:v>
                </c:pt>
                <c:pt idx="8">
                  <c:v>Administratieve en ondersteunende diensten</c:v>
                </c:pt>
                <c:pt idx="9">
                  <c:v>Vervoer en opslag</c:v>
                </c:pt>
                <c:pt idx="10">
                  <c:v>Kunst, amusement en recreatie</c:v>
                </c:pt>
                <c:pt idx="11">
                  <c:v>Automobielsector</c:v>
                </c:pt>
                <c:pt idx="12">
                  <c:v>Exploitatie van en handel in onroerend goed</c:v>
                </c:pt>
              </c:strCache>
            </c:strRef>
          </c:cat>
          <c:val>
            <c:numRef>
              <c:f>Invulsheet!$D$199:$D$211</c:f>
              <c:numCache>
                <c:formatCode>_(* #\ ##0.00_);_(* \(#\ ##0.00\);_(* "-"??_);_(@_)</c:formatCode>
                <c:ptCount val="13"/>
                <c:pt idx="0">
                  <c:v>94.597185490000001</c:v>
                </c:pt>
                <c:pt idx="1">
                  <c:v>83.970926309999996</c:v>
                </c:pt>
                <c:pt idx="2">
                  <c:v>82.352293860000003</c:v>
                </c:pt>
                <c:pt idx="3">
                  <c:v>67.082874700000005</c:v>
                </c:pt>
                <c:pt idx="4">
                  <c:v>59.484418099999999</c:v>
                </c:pt>
                <c:pt idx="5">
                  <c:v>50.319875920000001</c:v>
                </c:pt>
                <c:pt idx="6">
                  <c:v>39.058596659999999</c:v>
                </c:pt>
                <c:pt idx="7">
                  <c:v>38.976053719999996</c:v>
                </c:pt>
                <c:pt idx="8">
                  <c:v>28.036376739999998</c:v>
                </c:pt>
                <c:pt idx="9">
                  <c:v>22.40265265</c:v>
                </c:pt>
                <c:pt idx="10">
                  <c:v>20.041410299999999</c:v>
                </c:pt>
                <c:pt idx="11">
                  <c:v>18.447281789999998</c:v>
                </c:pt>
                <c:pt idx="12">
                  <c:v>10.882421039999999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71-4183-AD2F-A9EED7AA911A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BE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Waarborgen volgens sector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B1F-4EAF-8485-9C6BE753042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B1F-4EAF-8485-9C6BE753042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2B1F-4EAF-8485-9C6BE753042B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2B1F-4EAF-8485-9C6BE753042B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2B1F-4EAF-8485-9C6BE753042B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2B1F-4EAF-8485-9C6BE753042B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218-4C02-9C5A-E2F82782D87A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2B1F-4EAF-8485-9C6BE753042B}"/>
              </c:ext>
            </c:extLst>
          </c:dPt>
          <c:dLbls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218-4C02-9C5A-E2F82782D87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l-BE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Invulsheet!$C$228:$C$235</c:f>
              <c:strCache>
                <c:ptCount val="8"/>
                <c:pt idx="0">
                  <c:v>Business and Industrial Services</c:v>
                </c:pt>
                <c:pt idx="1">
                  <c:v>Business and Industrial Products</c:v>
                </c:pt>
                <c:pt idx="2">
                  <c:v>Life Sciences &amp; Care</c:v>
                </c:pt>
                <c:pt idx="3">
                  <c:v>Consumer goods and retail</c:v>
                </c:pt>
                <c:pt idx="4">
                  <c:v>Chemical and materials : other</c:v>
                </c:pt>
                <c:pt idx="5">
                  <c:v>Creative Industries</c:v>
                </c:pt>
                <c:pt idx="6">
                  <c:v>Construction</c:v>
                </c:pt>
                <c:pt idx="7">
                  <c:v>Financial institutions and services</c:v>
                </c:pt>
              </c:strCache>
            </c:strRef>
          </c:cat>
          <c:val>
            <c:numRef>
              <c:f>Invulsheet!$D$228:$D$235</c:f>
              <c:numCache>
                <c:formatCode>_(* #\ ##0_);_(* \(#\ ##0\);_(* "-"??_);_(@_)</c:formatCode>
                <c:ptCount val="8"/>
                <c:pt idx="0">
                  <c:v>135691093.75</c:v>
                </c:pt>
                <c:pt idx="1">
                  <c:v>16300415.3684</c:v>
                </c:pt>
                <c:pt idx="2">
                  <c:v>12500000</c:v>
                </c:pt>
                <c:pt idx="3">
                  <c:v>11278070.963986287</c:v>
                </c:pt>
                <c:pt idx="4">
                  <c:v>7996148.9999999991</c:v>
                </c:pt>
                <c:pt idx="5">
                  <c:v>6686416.625</c:v>
                </c:pt>
                <c:pt idx="6">
                  <c:v>5814639.7744853338</c:v>
                </c:pt>
                <c:pt idx="7">
                  <c:v>1500000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18-4C02-9C5A-E2F82782D87A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BE"/>
    </a:p>
  </c:txPr>
  <c:printSettings>
    <c:headerFooter/>
    <c:pageMargins b="0.75" l="0.7" r="0.7" t="0.75" header="0.3" footer="0.3"/>
    <c:pageSetup paperSize="9" orientation="landscape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000"/>
              <a:t>Investeringen laatste kwartaal volgens doelgroep</a:t>
            </a:r>
          </a:p>
        </c:rich>
      </c:tx>
      <c:layout>
        <c:manualLayout>
          <c:xMode val="edge"/>
          <c:yMode val="edge"/>
          <c:x val="7.5977536252903072E-2"/>
          <c:y val="2.19512152964825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title>
    <c:autoTitleDeleted val="0"/>
    <c:plotArea>
      <c:layout>
        <c:manualLayout>
          <c:layoutTarget val="inner"/>
          <c:xMode val="edge"/>
          <c:yMode val="edge"/>
          <c:x val="0.27417394991059918"/>
          <c:y val="0.24255689599445054"/>
          <c:w val="0.35991516354028102"/>
          <c:h val="0.6898739792828924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>
                  <a:tint val="77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16AD-47E8-BD92-E659F960F5CF}"/>
              </c:ext>
            </c:extLst>
          </c:dPt>
          <c:dPt>
            <c:idx val="1"/>
            <c:bubble3D val="0"/>
            <c:spPr>
              <a:solidFill>
                <a:schemeClr val="accent6">
                  <a:shade val="76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16AD-47E8-BD92-E659F960F5C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l-BE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Invulsheet!$C$288:$C$289</c:f>
              <c:strCache>
                <c:ptCount val="2"/>
                <c:pt idx="0">
                  <c:v>PMV</c:v>
                </c:pt>
                <c:pt idx="1">
                  <c:v>PMV/Z</c:v>
                </c:pt>
              </c:strCache>
            </c:strRef>
          </c:cat>
          <c:val>
            <c:numRef>
              <c:f>Invulsheet!$D$288:$D$289</c:f>
              <c:numCache>
                <c:formatCode>0.0</c:formatCode>
                <c:ptCount val="2"/>
                <c:pt idx="0">
                  <c:v>14.773999999999999</c:v>
                </c:pt>
                <c:pt idx="1">
                  <c:v>5.3650000000000002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6AD-47E8-BD92-E659F960F5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800"/>
      </a:pPr>
      <a:endParaRPr lang="nl-BE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16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Volgens type uitstaande waarborg </a:t>
            </a:r>
          </a:p>
        </c:rich>
      </c:tx>
      <c:layout>
        <c:manualLayout>
          <c:xMode val="edge"/>
          <c:yMode val="edge"/>
          <c:x val="8.0046714748891704E-2"/>
          <c:y val="2.114545807439074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16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>
                  <a:tint val="77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472-4CBB-BBE0-3FEA1DA65FCA}"/>
              </c:ext>
            </c:extLst>
          </c:dPt>
          <c:dPt>
            <c:idx val="1"/>
            <c:bubble3D val="0"/>
            <c:spPr>
              <a:solidFill>
                <a:schemeClr val="accent6">
                  <a:shade val="76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472-4CBB-BBE0-3FEA1DA65FC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l-BE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Invulsheet!$C$324:$C$325</c:f>
              <c:strCache>
                <c:ptCount val="2"/>
                <c:pt idx="0">
                  <c:v>PMV/Z (Waarborgregeling)</c:v>
                </c:pt>
                <c:pt idx="1">
                  <c:v>PMV (Gigarant)</c:v>
                </c:pt>
              </c:strCache>
            </c:strRef>
          </c:cat>
          <c:val>
            <c:numRef>
              <c:f>Invulsheet!$D$324:$D$325</c:f>
              <c:numCache>
                <c:formatCode>0.0</c:formatCode>
                <c:ptCount val="2"/>
                <c:pt idx="0" formatCode="_ * #\ ##0.0_ ;_ * \-#\ ##0.0_ ;_ * &quot;-&quot;??_ ;_ @_ ">
                  <c:v>640.72586592999994</c:v>
                </c:pt>
                <c:pt idx="1">
                  <c:v>208.69229048559961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472-4CBB-BBE0-3FEA1DA65F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6883317786634957"/>
          <c:y val="0.3179299125822817"/>
          <c:w val="0.42109176827111677"/>
          <c:h val="0.3302925366462610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800"/>
      </a:pPr>
      <a:endParaRPr lang="nl-BE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Geïnvesteerd</a:t>
            </a:r>
            <a:r>
              <a:rPr lang="en-US" baseline="0"/>
              <a:t> vermogen volgens sector</a:t>
            </a:r>
          </a:p>
        </c:rich>
      </c:tx>
      <c:layout>
        <c:manualLayout>
          <c:xMode val="edge"/>
          <c:yMode val="edge"/>
          <c:x val="8.9934831881556945E-2"/>
          <c:y val="5.412468465713630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>
                  <a:tint val="43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E24-46AD-9407-DFE82498D184}"/>
              </c:ext>
            </c:extLst>
          </c:dPt>
          <c:dPt>
            <c:idx val="1"/>
            <c:bubble3D val="0"/>
            <c:spPr>
              <a:solidFill>
                <a:schemeClr val="accent6">
                  <a:tint val="56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E24-46AD-9407-DFE82498D184}"/>
              </c:ext>
            </c:extLst>
          </c:dPt>
          <c:dPt>
            <c:idx val="2"/>
            <c:bubble3D val="0"/>
            <c:spPr>
              <a:solidFill>
                <a:schemeClr val="accent6">
                  <a:tint val="69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AE24-46AD-9407-DFE82498D184}"/>
              </c:ext>
            </c:extLst>
          </c:dPt>
          <c:dPt>
            <c:idx val="3"/>
            <c:bubble3D val="0"/>
            <c:spPr>
              <a:solidFill>
                <a:schemeClr val="accent6">
                  <a:tint val="81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0D7D-4181-8444-C8AFF6E11B8E}"/>
              </c:ext>
            </c:extLst>
          </c:dPt>
          <c:dPt>
            <c:idx val="4"/>
            <c:bubble3D val="0"/>
            <c:spPr>
              <a:solidFill>
                <a:schemeClr val="accent6">
                  <a:tint val="94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0D7D-4181-8444-C8AFF6E11B8E}"/>
              </c:ext>
            </c:extLst>
          </c:dPt>
          <c:dPt>
            <c:idx val="5"/>
            <c:bubble3D val="0"/>
            <c:spPr>
              <a:solidFill>
                <a:schemeClr val="accent6">
                  <a:shade val="93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0D7D-4181-8444-C8AFF6E11B8E}"/>
              </c:ext>
            </c:extLst>
          </c:dPt>
          <c:dPt>
            <c:idx val="6"/>
            <c:bubble3D val="0"/>
            <c:spPr>
              <a:solidFill>
                <a:schemeClr val="accent6">
                  <a:shade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0D7D-4181-8444-C8AFF6E11B8E}"/>
              </c:ext>
            </c:extLst>
          </c:dPt>
          <c:dPt>
            <c:idx val="7"/>
            <c:bubble3D val="0"/>
            <c:spPr>
              <a:solidFill>
                <a:schemeClr val="accent6">
                  <a:shade val="68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0D7D-4181-8444-C8AFF6E11B8E}"/>
              </c:ext>
            </c:extLst>
          </c:dPt>
          <c:dPt>
            <c:idx val="8"/>
            <c:bubble3D val="0"/>
            <c:spPr>
              <a:solidFill>
                <a:schemeClr val="accent6">
                  <a:shade val="5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0D7D-4181-8444-C8AFF6E11B8E}"/>
              </c:ext>
            </c:extLst>
          </c:dPt>
          <c:dPt>
            <c:idx val="9"/>
            <c:bubble3D val="0"/>
            <c:spPr>
              <a:solidFill>
                <a:schemeClr val="accent6">
                  <a:shade val="42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0D7D-4181-8444-C8AFF6E11B8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l-BE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Invulsheet!$C$4:$C$13</c:f>
              <c:strCache>
                <c:ptCount val="10"/>
                <c:pt idx="0">
                  <c:v>Lifesciences&amp; Care</c:v>
                </c:pt>
                <c:pt idx="1">
                  <c:v>Business and Industrial Services</c:v>
                </c:pt>
                <c:pt idx="2">
                  <c:v>Business and Industrial Products</c:v>
                </c:pt>
                <c:pt idx="3">
                  <c:v>Communications equipment</c:v>
                </c:pt>
                <c:pt idx="4">
                  <c:v>Consumer products manufacturing</c:v>
                </c:pt>
                <c:pt idx="5">
                  <c:v>Manufacturing : other</c:v>
                </c:pt>
                <c:pt idx="6">
                  <c:v>Business related software</c:v>
                </c:pt>
                <c:pt idx="7">
                  <c:v>Specialty chemicals</c:v>
                </c:pt>
                <c:pt idx="8">
                  <c:v>Agricultural : other</c:v>
                </c:pt>
                <c:pt idx="9">
                  <c:v>Energy : other</c:v>
                </c:pt>
              </c:strCache>
            </c:strRef>
          </c:cat>
          <c:val>
            <c:numRef>
              <c:f>Invulsheet!$D$4:$D$13</c:f>
              <c:numCache>
                <c:formatCode>0.00</c:formatCode>
                <c:ptCount val="10"/>
                <c:pt idx="0">
                  <c:v>74.851644074700005</c:v>
                </c:pt>
                <c:pt idx="1">
                  <c:v>38.609230369999999</c:v>
                </c:pt>
                <c:pt idx="2">
                  <c:v>23.190992949999998</c:v>
                </c:pt>
                <c:pt idx="3">
                  <c:v>19.336173250000002</c:v>
                </c:pt>
                <c:pt idx="4">
                  <c:v>17.171790590000001</c:v>
                </c:pt>
                <c:pt idx="5">
                  <c:v>10.922854490000001</c:v>
                </c:pt>
                <c:pt idx="6">
                  <c:v>10.914489609999999</c:v>
                </c:pt>
                <c:pt idx="7">
                  <c:v>10.27017319</c:v>
                </c:pt>
                <c:pt idx="8">
                  <c:v>7.7</c:v>
                </c:pt>
                <c:pt idx="9">
                  <c:v>6.52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AE24-46AD-9407-DFE82498D1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6310767960486106"/>
          <c:y val="2.8199678923629675E-2"/>
          <c:w val="0.32307652698512734"/>
          <c:h val="0.9512460821038146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nl-BE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Geïnvesteerd vermigen volgens sector</a:t>
            </a:r>
          </a:p>
        </c:rich>
      </c:tx>
      <c:layout>
        <c:manualLayout>
          <c:xMode val="edge"/>
          <c:yMode val="edge"/>
          <c:x val="7.2379853055858784E-2"/>
          <c:y val="4.865302271626512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>
                  <a:tint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001-49F0-A580-9A48A1BADD5C}"/>
              </c:ext>
            </c:extLst>
          </c:dPt>
          <c:dPt>
            <c:idx val="1"/>
            <c:bubble3D val="0"/>
            <c:spPr>
              <a:solidFill>
                <a:schemeClr val="accent6">
                  <a:tint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001-49F0-A580-9A48A1BADD5C}"/>
              </c:ext>
            </c:extLst>
          </c:dPt>
          <c:dPt>
            <c:idx val="2"/>
            <c:bubble3D val="0"/>
            <c:spPr>
              <a:solidFill>
                <a:schemeClr val="accent6">
                  <a:tint val="9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B932-49AA-B875-7DC448FCCFFA}"/>
              </c:ext>
            </c:extLst>
          </c:dPt>
          <c:dPt>
            <c:idx val="3"/>
            <c:bubble3D val="0"/>
            <c:spPr>
              <a:solidFill>
                <a:schemeClr val="accent6">
                  <a:shade val="9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B932-49AA-B875-7DC448FCCFFA}"/>
              </c:ext>
            </c:extLst>
          </c:dPt>
          <c:dPt>
            <c:idx val="4"/>
            <c:bubble3D val="0"/>
            <c:spPr>
              <a:solidFill>
                <a:schemeClr val="accent6">
                  <a:shade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B932-49AA-B875-7DC448FCCFFA}"/>
              </c:ext>
            </c:extLst>
          </c:dPt>
          <c:dPt>
            <c:idx val="5"/>
            <c:bubble3D val="0"/>
            <c:spPr>
              <a:solidFill>
                <a:schemeClr val="accent6">
                  <a:shade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B932-49AA-B875-7DC448FCCFFA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nl-BE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E001-49F0-A580-9A48A1BADD5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l-BE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Invulsheet!$C$143:$C$148</c:f>
              <c:strCache>
                <c:ptCount val="6"/>
                <c:pt idx="0">
                  <c:v>Generalistic</c:v>
                </c:pt>
                <c:pt idx="1">
                  <c:v>Technology &amp; ICT</c:v>
                </c:pt>
                <c:pt idx="2">
                  <c:v>Lifesciences</c:v>
                </c:pt>
                <c:pt idx="3">
                  <c:v>Spin-offs</c:v>
                </c:pt>
                <c:pt idx="4">
                  <c:v>Infrastructure</c:v>
                </c:pt>
                <c:pt idx="5">
                  <c:v>Chemical and Materials</c:v>
                </c:pt>
              </c:strCache>
            </c:strRef>
          </c:cat>
          <c:val>
            <c:numRef>
              <c:f>Invulsheet!$D$143:$D$148</c:f>
              <c:numCache>
                <c:formatCode>_(* #\ ##0.0_);_(* \(#\ ##0.0\);_(* "-"??_);_(@_)</c:formatCode>
                <c:ptCount val="6"/>
                <c:pt idx="0">
                  <c:v>51.2</c:v>
                </c:pt>
                <c:pt idx="1">
                  <c:v>35.4</c:v>
                </c:pt>
                <c:pt idx="2">
                  <c:v>39.99</c:v>
                </c:pt>
                <c:pt idx="3">
                  <c:v>11.859</c:v>
                </c:pt>
                <c:pt idx="4">
                  <c:v>14.739000000000001</c:v>
                </c:pt>
                <c:pt idx="5">
                  <c:v>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001-49F0-A580-9A48A1BADD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0409850986368638"/>
          <c:y val="0.15223440706275351"/>
          <c:w val="0.27977245787824911"/>
          <c:h val="0.7855919828203291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nl-BE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Geïnvesteerd vermogen volgens type</a:t>
            </a:r>
            <a:r>
              <a:rPr lang="en-US" baseline="0"/>
              <a:t> van investering </a:t>
            </a:r>
            <a:endParaRPr lang="en-US"/>
          </a:p>
        </c:rich>
      </c:tx>
      <c:layout>
        <c:manualLayout>
          <c:xMode val="edge"/>
          <c:yMode val="edge"/>
          <c:x val="6.9610574045961188E-2"/>
          <c:y val="3.926445169963509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title>
    <c:autoTitleDeleted val="0"/>
    <c:plotArea>
      <c:layout>
        <c:manualLayout>
          <c:layoutTarget val="inner"/>
          <c:xMode val="edge"/>
          <c:yMode val="edge"/>
          <c:x val="0.18260356165156774"/>
          <c:y val="0.23175865226149056"/>
          <c:w val="0.41145169757006184"/>
          <c:h val="0.6674129280351585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>
                  <a:tint val="58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DD9-4FE7-8197-B25D99523193}"/>
              </c:ext>
            </c:extLst>
          </c:dPt>
          <c:dPt>
            <c:idx val="1"/>
            <c:bubble3D val="0"/>
            <c:spPr>
              <a:solidFill>
                <a:schemeClr val="accent6">
                  <a:tint val="86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DD9-4FE7-8197-B25D99523193}"/>
              </c:ext>
            </c:extLst>
          </c:dPt>
          <c:dPt>
            <c:idx val="2"/>
            <c:bubble3D val="0"/>
            <c:spPr>
              <a:solidFill>
                <a:schemeClr val="accent6">
                  <a:shade val="86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ADD9-4FE7-8197-B25D99523193}"/>
              </c:ext>
            </c:extLst>
          </c:dPt>
          <c:dPt>
            <c:idx val="3"/>
            <c:bubble3D val="0"/>
            <c:spPr>
              <a:solidFill>
                <a:schemeClr val="accent6">
                  <a:shade val="58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ADD9-4FE7-8197-B25D9952319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l-BE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Invulsheet!$C$62:$C$65</c:f>
              <c:strCache>
                <c:ptCount val="4"/>
                <c:pt idx="0">
                  <c:v>VC Seed</c:v>
                </c:pt>
                <c:pt idx="1">
                  <c:v>VC Early stage</c:v>
                </c:pt>
                <c:pt idx="2">
                  <c:v>VC Late stage</c:v>
                </c:pt>
                <c:pt idx="3">
                  <c:v>Growth (after VC) - Scale up</c:v>
                </c:pt>
              </c:strCache>
            </c:strRef>
          </c:cat>
          <c:val>
            <c:numRef>
              <c:f>Invulsheet!$D$62:$D$65</c:f>
              <c:numCache>
                <c:formatCode>0.0</c:formatCode>
                <c:ptCount val="4"/>
                <c:pt idx="0">
                  <c:v>32.804000000000002</c:v>
                </c:pt>
                <c:pt idx="1">
                  <c:v>67.712999999999994</c:v>
                </c:pt>
                <c:pt idx="2">
                  <c:v>57.984000000000002</c:v>
                </c:pt>
                <c:pt idx="3">
                  <c:v>37.765000000000001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ADD9-4FE7-8197-B25D995231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nl-BE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40" b="0" i="0" baseline="0">
                <a:effectLst/>
              </a:rPr>
              <a:t>Geïnvesteerd vermogen volgens type van </a:t>
            </a:r>
          </a:p>
          <a:p>
            <a:pPr>
              <a:defRPr sz="1440"/>
            </a:pPr>
            <a:r>
              <a:rPr lang="en-US" sz="1440" b="0" i="0" baseline="0">
                <a:effectLst/>
              </a:rPr>
              <a:t>investering</a:t>
            </a:r>
            <a:endParaRPr lang="nl-BE" sz="1440">
              <a:effectLst/>
            </a:endParaRPr>
          </a:p>
        </c:rich>
      </c:tx>
      <c:layout>
        <c:manualLayout>
          <c:xMode val="edge"/>
          <c:yMode val="edge"/>
          <c:x val="2.6862791087284305E-2"/>
          <c:y val="2.389772246211159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title>
    <c:autoTitleDeleted val="0"/>
    <c:plotArea>
      <c:layout>
        <c:manualLayout>
          <c:layoutTarget val="inner"/>
          <c:xMode val="edge"/>
          <c:yMode val="edge"/>
          <c:x val="0.17778188309478948"/>
          <c:y val="0.23037777174404925"/>
          <c:w val="0.41447612665438099"/>
          <c:h val="0.67173717078468653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>
                  <a:tint val="83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16BD-4D04-A330-953B8C2E252A}"/>
              </c:ext>
            </c:extLst>
          </c:dPt>
          <c:dPt>
            <c:idx val="1"/>
            <c:bubble3D val="0"/>
            <c:spPr>
              <a:solidFill>
                <a:schemeClr val="accent6">
                  <a:tint val="6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16BD-4D04-A330-953B8C2E252A}"/>
              </c:ext>
            </c:extLst>
          </c:dPt>
          <c:dPt>
            <c:idx val="2"/>
            <c:bubble3D val="0"/>
            <c:spPr>
              <a:solidFill>
                <a:schemeClr val="accent6">
                  <a:shade val="82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16BD-4D04-A330-953B8C2E252A}"/>
              </c:ext>
            </c:extLst>
          </c:dPt>
          <c:dPt>
            <c:idx val="3"/>
            <c:bubble3D val="0"/>
            <c:spPr>
              <a:solidFill>
                <a:schemeClr val="accent6">
                  <a:shade val="9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16BD-4D04-A330-953B8C2E252A}"/>
              </c:ext>
            </c:extLst>
          </c:dPt>
          <c:dPt>
            <c:idx val="4"/>
            <c:bubble3D val="0"/>
            <c:spPr>
              <a:solidFill>
                <a:schemeClr val="accent6">
                  <a:shade val="6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AC27-4B45-9F8D-F43A614D9556}"/>
              </c:ext>
            </c:extLst>
          </c:dPt>
          <c:dPt>
            <c:idx val="5"/>
            <c:bubble3D val="0"/>
            <c:spPr>
              <a:solidFill>
                <a:schemeClr val="accent6">
                  <a:tint val="48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8D97-47E2-B944-6B17EF310B5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l-BE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Invulsheet!$C$99:$C$104</c:f>
              <c:strCache>
                <c:ptCount val="6"/>
                <c:pt idx="0">
                  <c:v>Infra -mixed </c:v>
                </c:pt>
                <c:pt idx="1">
                  <c:v>Infra - exploitation</c:v>
                </c:pt>
                <c:pt idx="2">
                  <c:v>RE - exploitation</c:v>
                </c:pt>
                <c:pt idx="3">
                  <c:v>RE - development</c:v>
                </c:pt>
                <c:pt idx="4">
                  <c:v>RE - mixed</c:v>
                </c:pt>
                <c:pt idx="5">
                  <c:v>Infra - development</c:v>
                </c:pt>
              </c:strCache>
            </c:strRef>
          </c:cat>
          <c:val>
            <c:numRef>
              <c:f>Invulsheet!$D$99:$D$104</c:f>
              <c:numCache>
                <c:formatCode>0.00</c:formatCode>
                <c:ptCount val="6"/>
                <c:pt idx="0">
                  <c:v>64.725999999999999</c:v>
                </c:pt>
                <c:pt idx="1">
                  <c:v>54.606999999999999</c:v>
                </c:pt>
                <c:pt idx="2">
                  <c:v>19.463999999999999</c:v>
                </c:pt>
                <c:pt idx="3">
                  <c:v>14.573</c:v>
                </c:pt>
                <c:pt idx="4">
                  <c:v>5.8630000000000004</c:v>
                </c:pt>
                <c:pt idx="5">
                  <c:v>1.7430000000000001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16BD-4D04-A330-953B8C2E25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B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10.xml><?xml version="1.0" encoding="utf-8"?>
<cs:colorStyle xmlns:cs="http://schemas.microsoft.com/office/drawing/2012/chartStyle" xmlns:a="http://schemas.openxmlformats.org/drawingml/2006/main" meth="withinLinearReversed" id="26">
  <a:schemeClr val="accent6"/>
</cs:colorStyle>
</file>

<file path=xl/charts/colors11.xml><?xml version="1.0" encoding="utf-8"?>
<cs:colorStyle xmlns:cs="http://schemas.microsoft.com/office/drawing/2012/chartStyle" xmlns:a="http://schemas.openxmlformats.org/drawingml/2006/main" meth="withinLinearReversed" id="26">
  <a:schemeClr val="accent6"/>
</cs:colorStyle>
</file>

<file path=xl/charts/colors12.xml><?xml version="1.0" encoding="utf-8"?>
<cs:colorStyle xmlns:cs="http://schemas.microsoft.com/office/drawing/2012/chartStyle" xmlns:a="http://schemas.openxmlformats.org/drawingml/2006/main" meth="withinLinearReversed" id="26">
  <a:schemeClr val="accent6"/>
</cs:colorStyle>
</file>

<file path=xl/charts/colors13.xml><?xml version="1.0" encoding="utf-8"?>
<cs:colorStyle xmlns:cs="http://schemas.microsoft.com/office/drawing/2012/chartStyle" xmlns:a="http://schemas.openxmlformats.org/drawingml/2006/main" meth="withinLinearReversed" id="26">
  <a:schemeClr val="accent6"/>
</cs:colorStyle>
</file>

<file path=xl/charts/colors14.xml><?xml version="1.0" encoding="utf-8"?>
<cs:colorStyle xmlns:cs="http://schemas.microsoft.com/office/drawing/2012/chartStyle" xmlns:a="http://schemas.openxmlformats.org/drawingml/2006/main" meth="withinLinearReversed" id="26">
  <a:schemeClr val="accent6"/>
</cs:colorStyle>
</file>

<file path=xl/charts/colors15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colors16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colors17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withinLinearReversed" id="26">
  <a:schemeClr val="accent6"/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withinLinearReversed" id="26">
  <a:schemeClr val="accent6"/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withinLinearReversed" id="26">
  <a:schemeClr val="accent6"/>
</cs:colorStyle>
</file>

<file path=xl/charts/colors5.xml><?xml version="1.0" encoding="utf-8"?>
<cs:colorStyle xmlns:cs="http://schemas.microsoft.com/office/drawing/2012/chartStyle" xmlns:a="http://schemas.openxmlformats.org/drawingml/2006/main" meth="withinLinearReversed" id="26">
  <a:schemeClr val="accent6"/>
</cs:colorStyle>
</file>

<file path=xl/charts/colors6.xml><?xml version="1.0" encoding="utf-8"?>
<cs:colorStyle xmlns:cs="http://schemas.microsoft.com/office/drawing/2012/chartStyle" xmlns:a="http://schemas.openxmlformats.org/drawingml/2006/main" meth="withinLinearReversed" id="26">
  <a:schemeClr val="accent6"/>
</cs:colorStyle>
</file>

<file path=xl/charts/colors7.xml><?xml version="1.0" encoding="utf-8"?>
<cs:colorStyle xmlns:cs="http://schemas.microsoft.com/office/drawing/2012/chartStyle" xmlns:a="http://schemas.openxmlformats.org/drawingml/2006/main" meth="withinLinearReversed" id="26">
  <a:schemeClr val="accent6"/>
</cs:colorStyle>
</file>

<file path=xl/charts/colors8.xml><?xml version="1.0" encoding="utf-8"?>
<cs:colorStyle xmlns:cs="http://schemas.microsoft.com/office/drawing/2012/chartStyle" xmlns:a="http://schemas.openxmlformats.org/drawingml/2006/main" meth="withinLinearReversed" id="26">
  <a:schemeClr val="accent6"/>
</cs:colorStyle>
</file>

<file path=xl/charts/colors9.xml><?xml version="1.0" encoding="utf-8"?>
<cs:colorStyle xmlns:cs="http://schemas.microsoft.com/office/drawing/2012/chartStyle" xmlns:a="http://schemas.openxmlformats.org/drawingml/2006/main" meth="withinLinearReversed" id="26">
  <a:schemeClr val="accent6"/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3.png"/><Relationship Id="rId3" Type="http://schemas.openxmlformats.org/officeDocument/2006/relationships/chart" Target="../charts/chart2.xml"/><Relationship Id="rId7" Type="http://schemas.openxmlformats.org/officeDocument/2006/relationships/image" Target="../media/image2.png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6" Type="http://schemas.openxmlformats.org/officeDocument/2006/relationships/chart" Target="../charts/chart5.xml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2.xml"/><Relationship Id="rId3" Type="http://schemas.openxmlformats.org/officeDocument/2006/relationships/chart" Target="../charts/chart8.xml"/><Relationship Id="rId7" Type="http://schemas.openxmlformats.org/officeDocument/2006/relationships/chart" Target="../charts/chart11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6" Type="http://schemas.openxmlformats.org/officeDocument/2006/relationships/image" Target="../media/image1.png"/><Relationship Id="rId5" Type="http://schemas.openxmlformats.org/officeDocument/2006/relationships/chart" Target="../charts/chart10.xml"/><Relationship Id="rId10" Type="http://schemas.openxmlformats.org/officeDocument/2006/relationships/chart" Target="../charts/chart14.xml"/><Relationship Id="rId4" Type="http://schemas.openxmlformats.org/officeDocument/2006/relationships/chart" Target="../charts/chart9.xml"/><Relationship Id="rId9" Type="http://schemas.openxmlformats.org/officeDocument/2006/relationships/chart" Target="../charts/chart13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chart" Target="../charts/chart16.xml"/><Relationship Id="rId1" Type="http://schemas.openxmlformats.org/officeDocument/2006/relationships/chart" Target="../charts/chart15.xml"/><Relationship Id="rId4" Type="http://schemas.openxmlformats.org/officeDocument/2006/relationships/chart" Target="../charts/chart17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5.xml"/><Relationship Id="rId13" Type="http://schemas.openxmlformats.org/officeDocument/2006/relationships/chart" Target="../charts/chart30.xml"/><Relationship Id="rId3" Type="http://schemas.openxmlformats.org/officeDocument/2006/relationships/chart" Target="../charts/chart20.xml"/><Relationship Id="rId7" Type="http://schemas.openxmlformats.org/officeDocument/2006/relationships/chart" Target="../charts/chart24.xml"/><Relationship Id="rId12" Type="http://schemas.openxmlformats.org/officeDocument/2006/relationships/chart" Target="../charts/chart29.xml"/><Relationship Id="rId17" Type="http://schemas.openxmlformats.org/officeDocument/2006/relationships/chart" Target="../charts/chart34.xml"/><Relationship Id="rId2" Type="http://schemas.openxmlformats.org/officeDocument/2006/relationships/chart" Target="../charts/chart19.xml"/><Relationship Id="rId16" Type="http://schemas.openxmlformats.org/officeDocument/2006/relationships/chart" Target="../charts/chart33.xml"/><Relationship Id="rId1" Type="http://schemas.openxmlformats.org/officeDocument/2006/relationships/chart" Target="../charts/chart18.xml"/><Relationship Id="rId6" Type="http://schemas.openxmlformats.org/officeDocument/2006/relationships/chart" Target="../charts/chart23.xml"/><Relationship Id="rId11" Type="http://schemas.openxmlformats.org/officeDocument/2006/relationships/chart" Target="../charts/chart28.xml"/><Relationship Id="rId5" Type="http://schemas.openxmlformats.org/officeDocument/2006/relationships/chart" Target="../charts/chart22.xml"/><Relationship Id="rId15" Type="http://schemas.openxmlformats.org/officeDocument/2006/relationships/chart" Target="../charts/chart32.xml"/><Relationship Id="rId10" Type="http://schemas.openxmlformats.org/officeDocument/2006/relationships/chart" Target="../charts/chart27.xml"/><Relationship Id="rId4" Type="http://schemas.openxmlformats.org/officeDocument/2006/relationships/chart" Target="../charts/chart21.xml"/><Relationship Id="rId9" Type="http://schemas.openxmlformats.org/officeDocument/2006/relationships/chart" Target="../charts/chart26.xml"/><Relationship Id="rId14" Type="http://schemas.openxmlformats.org/officeDocument/2006/relationships/chart" Target="../charts/chart3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6504213</xdr:colOff>
      <xdr:row>6</xdr:row>
      <xdr:rowOff>112067</xdr:rowOff>
    </xdr:from>
    <xdr:to>
      <xdr:col>2</xdr:col>
      <xdr:colOff>1856619</xdr:colOff>
      <xdr:row>11</xdr:row>
      <xdr:rowOff>37077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130142" y="1499996"/>
          <a:ext cx="1992691" cy="87751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>
    <xdr:from>
      <xdr:col>0</xdr:col>
      <xdr:colOff>550331</xdr:colOff>
      <xdr:row>31</xdr:row>
      <xdr:rowOff>15875</xdr:rowOff>
    </xdr:from>
    <xdr:to>
      <xdr:col>2</xdr:col>
      <xdr:colOff>285750</xdr:colOff>
      <xdr:row>49</xdr:row>
      <xdr:rowOff>179917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587376</xdr:colOff>
      <xdr:row>31</xdr:row>
      <xdr:rowOff>0</xdr:rowOff>
    </xdr:from>
    <xdr:to>
      <xdr:col>5</xdr:col>
      <xdr:colOff>174625</xdr:colOff>
      <xdr:row>50</xdr:row>
      <xdr:rowOff>52917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583142</xdr:colOff>
      <xdr:row>52</xdr:row>
      <xdr:rowOff>6349</xdr:rowOff>
    </xdr:from>
    <xdr:to>
      <xdr:col>2</xdr:col>
      <xdr:colOff>306917</xdr:colOff>
      <xdr:row>71</xdr:row>
      <xdr:rowOff>48683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523875</xdr:colOff>
      <xdr:row>52</xdr:row>
      <xdr:rowOff>12699</xdr:rowOff>
    </xdr:from>
    <xdr:to>
      <xdr:col>5</xdr:col>
      <xdr:colOff>139701</xdr:colOff>
      <xdr:row>71</xdr:row>
      <xdr:rowOff>65616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3082924</xdr:colOff>
      <xdr:row>40</xdr:row>
      <xdr:rowOff>117474</xdr:rowOff>
    </xdr:from>
    <xdr:to>
      <xdr:col>10</xdr:col>
      <xdr:colOff>786340</xdr:colOff>
      <xdr:row>60</xdr:row>
      <xdr:rowOff>38099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oneCell">
    <xdr:from>
      <xdr:col>7</xdr:col>
      <xdr:colOff>5910944</xdr:colOff>
      <xdr:row>6</xdr:row>
      <xdr:rowOff>139645</xdr:rowOff>
    </xdr:from>
    <xdr:to>
      <xdr:col>9</xdr:col>
      <xdr:colOff>40822</xdr:colOff>
      <xdr:row>11</xdr:row>
      <xdr:rowOff>64655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273408" y="1527574"/>
          <a:ext cx="2076450" cy="87751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3</xdr:col>
      <xdr:colOff>349971</xdr:colOff>
      <xdr:row>6</xdr:row>
      <xdr:rowOff>92363</xdr:rowOff>
    </xdr:from>
    <xdr:to>
      <xdr:col>3</xdr:col>
      <xdr:colOff>2093335</xdr:colOff>
      <xdr:row>11</xdr:row>
      <xdr:rowOff>90503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9517784" y="1473488"/>
          <a:ext cx="1743364" cy="95064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9</xdr:col>
      <xdr:colOff>51954</xdr:colOff>
      <xdr:row>5</xdr:row>
      <xdr:rowOff>92362</xdr:rowOff>
    </xdr:from>
    <xdr:to>
      <xdr:col>10</xdr:col>
      <xdr:colOff>274106</xdr:colOff>
      <xdr:row>12</xdr:row>
      <xdr:rowOff>212750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21803590" y="1304635"/>
          <a:ext cx="2248379" cy="155779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16</xdr:row>
      <xdr:rowOff>21167</xdr:rowOff>
    </xdr:from>
    <xdr:to>
      <xdr:col>4</xdr:col>
      <xdr:colOff>698499</xdr:colOff>
      <xdr:row>31</xdr:row>
      <xdr:rowOff>174625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784225</xdr:colOff>
      <xdr:row>66</xdr:row>
      <xdr:rowOff>3175</xdr:rowOff>
    </xdr:from>
    <xdr:to>
      <xdr:col>8</xdr:col>
      <xdr:colOff>165100</xdr:colOff>
      <xdr:row>82</xdr:row>
      <xdr:rowOff>63500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920750</xdr:colOff>
      <xdr:row>16</xdr:row>
      <xdr:rowOff>15875</xdr:rowOff>
    </xdr:from>
    <xdr:to>
      <xdr:col>8</xdr:col>
      <xdr:colOff>142875</xdr:colOff>
      <xdr:row>31</xdr:row>
      <xdr:rowOff>174624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730250</xdr:colOff>
      <xdr:row>41</xdr:row>
      <xdr:rowOff>31750</xdr:rowOff>
    </xdr:from>
    <xdr:to>
      <xdr:col>8</xdr:col>
      <xdr:colOff>0</xdr:colOff>
      <xdr:row>56</xdr:row>
      <xdr:rowOff>127000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142875</xdr:colOff>
      <xdr:row>41</xdr:row>
      <xdr:rowOff>47624</xdr:rowOff>
    </xdr:from>
    <xdr:to>
      <xdr:col>11</xdr:col>
      <xdr:colOff>111124</xdr:colOff>
      <xdr:row>56</xdr:row>
      <xdr:rowOff>111125</xdr:rowOff>
    </xdr:to>
    <xdr:graphicFrame macro="">
      <xdr:nvGraphicFramePr>
        <xdr:cNvPr id="20" name="Chart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1</xdr:col>
      <xdr:colOff>0</xdr:colOff>
      <xdr:row>0</xdr:row>
      <xdr:rowOff>79375</xdr:rowOff>
    </xdr:from>
    <xdr:to>
      <xdr:col>1</xdr:col>
      <xdr:colOff>1796899</xdr:colOff>
      <xdr:row>4</xdr:row>
      <xdr:rowOff>147260</xdr:rowOff>
    </xdr:to>
    <xdr:pic>
      <xdr:nvPicPr>
        <xdr:cNvPr id="24" name="Picture 2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412750" y="79375"/>
          <a:ext cx="1796899" cy="87751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>
    <xdr:from>
      <xdr:col>8</xdr:col>
      <xdr:colOff>304800</xdr:colOff>
      <xdr:row>16</xdr:row>
      <xdr:rowOff>31749</xdr:rowOff>
    </xdr:from>
    <xdr:to>
      <xdr:col>12</xdr:col>
      <xdr:colOff>6350</xdr:colOff>
      <xdr:row>31</xdr:row>
      <xdr:rowOff>142874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76200</xdr:colOff>
      <xdr:row>41</xdr:row>
      <xdr:rowOff>19049</xdr:rowOff>
    </xdr:from>
    <xdr:to>
      <xdr:col>4</xdr:col>
      <xdr:colOff>527050</xdr:colOff>
      <xdr:row>56</xdr:row>
      <xdr:rowOff>142874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63500</xdr:colOff>
      <xdr:row>65</xdr:row>
      <xdr:rowOff>222249</xdr:rowOff>
    </xdr:from>
    <xdr:to>
      <xdr:col>4</xdr:col>
      <xdr:colOff>406400</xdr:colOff>
      <xdr:row>82</xdr:row>
      <xdr:rowOff>47624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</xdr:col>
      <xdr:colOff>95250</xdr:colOff>
      <xdr:row>16</xdr:row>
      <xdr:rowOff>174624</xdr:rowOff>
    </xdr:from>
    <xdr:to>
      <xdr:col>15</xdr:col>
      <xdr:colOff>91168</xdr:colOff>
      <xdr:row>32</xdr:row>
      <xdr:rowOff>95249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2032000</xdr:colOff>
      <xdr:row>16</xdr:row>
      <xdr:rowOff>317500</xdr:rowOff>
    </xdr:from>
    <xdr:to>
      <xdr:col>6</xdr:col>
      <xdr:colOff>809625</xdr:colOff>
      <xdr:row>31</xdr:row>
      <xdr:rowOff>95250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22412</xdr:colOff>
      <xdr:row>16</xdr:row>
      <xdr:rowOff>298822</xdr:rowOff>
    </xdr:from>
    <xdr:to>
      <xdr:col>3</xdr:col>
      <xdr:colOff>1464235</xdr:colOff>
      <xdr:row>31</xdr:row>
      <xdr:rowOff>98611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66301</xdr:colOff>
      <xdr:row>0</xdr:row>
      <xdr:rowOff>0</xdr:rowOff>
    </xdr:from>
    <xdr:to>
      <xdr:col>1</xdr:col>
      <xdr:colOff>2053601</xdr:colOff>
      <xdr:row>7</xdr:row>
      <xdr:rowOff>198490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301" y="0"/>
          <a:ext cx="2257175" cy="1531990"/>
        </a:xfrm>
        <a:prstGeom prst="rect">
          <a:avLst/>
        </a:prstGeom>
      </xdr:spPr>
    </xdr:pic>
    <xdr:clientData/>
  </xdr:twoCellAnchor>
  <xdr:twoCellAnchor>
    <xdr:from>
      <xdr:col>7</xdr:col>
      <xdr:colOff>978647</xdr:colOff>
      <xdr:row>17</xdr:row>
      <xdr:rowOff>0</xdr:rowOff>
    </xdr:from>
    <xdr:to>
      <xdr:col>9</xdr:col>
      <xdr:colOff>4153647</xdr:colOff>
      <xdr:row>31</xdr:row>
      <xdr:rowOff>76200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552449</xdr:colOff>
      <xdr:row>2</xdr:row>
      <xdr:rowOff>19051</xdr:rowOff>
    </xdr:from>
    <xdr:to>
      <xdr:col>12</xdr:col>
      <xdr:colOff>3174</xdr:colOff>
      <xdr:row>50</xdr:row>
      <xdr:rowOff>120651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365124</xdr:colOff>
      <xdr:row>55</xdr:row>
      <xdr:rowOff>155574</xdr:rowOff>
    </xdr:from>
    <xdr:to>
      <xdr:col>13</xdr:col>
      <xdr:colOff>476250</xdr:colOff>
      <xdr:row>72</xdr:row>
      <xdr:rowOff>82550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463550</xdr:colOff>
      <xdr:row>140</xdr:row>
      <xdr:rowOff>66675</xdr:rowOff>
    </xdr:from>
    <xdr:to>
      <xdr:col>13</xdr:col>
      <xdr:colOff>355599</xdr:colOff>
      <xdr:row>152</xdr:row>
      <xdr:rowOff>63500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565150</xdr:colOff>
      <xdr:row>107</xdr:row>
      <xdr:rowOff>104775</xdr:rowOff>
    </xdr:from>
    <xdr:to>
      <xdr:col>14</xdr:col>
      <xdr:colOff>260350</xdr:colOff>
      <xdr:row>122</xdr:row>
      <xdr:rowOff>85725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6349</xdr:colOff>
      <xdr:row>183</xdr:row>
      <xdr:rowOff>152401</xdr:rowOff>
    </xdr:from>
    <xdr:to>
      <xdr:col>11</xdr:col>
      <xdr:colOff>533400</xdr:colOff>
      <xdr:row>196</xdr:row>
      <xdr:rowOff>104775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488950</xdr:colOff>
      <xdr:row>256</xdr:row>
      <xdr:rowOff>104775</xdr:rowOff>
    </xdr:from>
    <xdr:to>
      <xdr:col>10</xdr:col>
      <xdr:colOff>438150</xdr:colOff>
      <xdr:row>268</xdr:row>
      <xdr:rowOff>139700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10</xdr:col>
      <xdr:colOff>558800</xdr:colOff>
      <xdr:row>256</xdr:row>
      <xdr:rowOff>101600</xdr:rowOff>
    </xdr:from>
    <xdr:to>
      <xdr:col>16</xdr:col>
      <xdr:colOff>222250</xdr:colOff>
      <xdr:row>268</xdr:row>
      <xdr:rowOff>139699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</xdr:col>
      <xdr:colOff>438150</xdr:colOff>
      <xdr:row>272</xdr:row>
      <xdr:rowOff>98425</xdr:rowOff>
    </xdr:from>
    <xdr:to>
      <xdr:col>10</xdr:col>
      <xdr:colOff>463550</xdr:colOff>
      <xdr:row>287</xdr:row>
      <xdr:rowOff>0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11</xdr:col>
      <xdr:colOff>6350</xdr:colOff>
      <xdr:row>272</xdr:row>
      <xdr:rowOff>117475</xdr:rowOff>
    </xdr:from>
    <xdr:to>
      <xdr:col>16</xdr:col>
      <xdr:colOff>228600</xdr:colOff>
      <xdr:row>286</xdr:row>
      <xdr:rowOff>133350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</xdr:col>
      <xdr:colOff>234950</xdr:colOff>
      <xdr:row>307</xdr:row>
      <xdr:rowOff>41275</xdr:rowOff>
    </xdr:from>
    <xdr:to>
      <xdr:col>13</xdr:col>
      <xdr:colOff>539750</xdr:colOff>
      <xdr:row>322</xdr:row>
      <xdr:rowOff>22225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6</xdr:col>
      <xdr:colOff>444500</xdr:colOff>
      <xdr:row>91</xdr:row>
      <xdr:rowOff>146050</xdr:rowOff>
    </xdr:from>
    <xdr:to>
      <xdr:col>14</xdr:col>
      <xdr:colOff>139700</xdr:colOff>
      <xdr:row>106</xdr:row>
      <xdr:rowOff>38100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5</xdr:col>
      <xdr:colOff>454025</xdr:colOff>
      <xdr:row>73</xdr:row>
      <xdr:rowOff>76200</xdr:rowOff>
    </xdr:from>
    <xdr:to>
      <xdr:col>13</xdr:col>
      <xdr:colOff>149225</xdr:colOff>
      <xdr:row>88</xdr:row>
      <xdr:rowOff>57150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6</xdr:col>
      <xdr:colOff>387350</xdr:colOff>
      <xdr:row>124</xdr:row>
      <xdr:rowOff>0</xdr:rowOff>
    </xdr:from>
    <xdr:to>
      <xdr:col>14</xdr:col>
      <xdr:colOff>82550</xdr:colOff>
      <xdr:row>139</xdr:row>
      <xdr:rowOff>165100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6</xdr:col>
      <xdr:colOff>488950</xdr:colOff>
      <xdr:row>152</xdr:row>
      <xdr:rowOff>171450</xdr:rowOff>
    </xdr:from>
    <xdr:to>
      <xdr:col>13</xdr:col>
      <xdr:colOff>171450</xdr:colOff>
      <xdr:row>162</xdr:row>
      <xdr:rowOff>57150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6</xdr:col>
      <xdr:colOff>501650</xdr:colOff>
      <xdr:row>164</xdr:row>
      <xdr:rowOff>165100</xdr:rowOff>
    </xdr:from>
    <xdr:to>
      <xdr:col>14</xdr:col>
      <xdr:colOff>196850</xdr:colOff>
      <xdr:row>182</xdr:row>
      <xdr:rowOff>146050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5</xdr:col>
      <xdr:colOff>361950</xdr:colOff>
      <xdr:row>197</xdr:row>
      <xdr:rowOff>33337</xdr:rowOff>
    </xdr:from>
    <xdr:to>
      <xdr:col>13</xdr:col>
      <xdr:colOff>57150</xdr:colOff>
      <xdr:row>214</xdr:row>
      <xdr:rowOff>109537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6</xdr:col>
      <xdr:colOff>466725</xdr:colOff>
      <xdr:row>227</xdr:row>
      <xdr:rowOff>180975</xdr:rowOff>
    </xdr:from>
    <xdr:to>
      <xdr:col>11</xdr:col>
      <xdr:colOff>276225</xdr:colOff>
      <xdr:row>242</xdr:row>
      <xdr:rowOff>66675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RPortbl/Live/MSN/1357634_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efeuille overzicht"/>
      <sheetName val="Investeringen-desinvesteringen"/>
      <sheetName val="Detail PMV Kapitaal"/>
      <sheetName val="Detail PMV leningen"/>
      <sheetName val="Detail Infra &amp; vastgoed"/>
      <sheetName val="Detail fondsinvesteringen"/>
      <sheetName val="Detail waarborgen"/>
      <sheetName val="Dealflow overview"/>
      <sheetName val="Directe investeringen grafieken"/>
      <sheetName val="Fondsinvesteringen grafieken"/>
      <sheetName val="Investeringen en desinv"/>
      <sheetName val="Evolutie portefeuille "/>
    </sheetNames>
    <sheetDataSet>
      <sheetData sheetId="0">
        <row r="102">
          <cell r="C102">
            <v>32</v>
          </cell>
        </row>
        <row r="103">
          <cell r="C103">
            <v>208692290.48559961</v>
          </cell>
        </row>
        <row r="104">
          <cell r="C104">
            <v>383631557.19619048</v>
          </cell>
        </row>
        <row r="120">
          <cell r="C120">
            <v>6431</v>
          </cell>
        </row>
        <row r="121">
          <cell r="C121">
            <v>640725865.92999995</v>
          </cell>
        </row>
        <row r="134">
          <cell r="C134">
            <v>12453</v>
          </cell>
        </row>
      </sheetData>
      <sheetData sheetId="1">
        <row r="117">
          <cell r="D117">
            <v>2688009.6700000004</v>
          </cell>
        </row>
        <row r="123">
          <cell r="D123">
            <v>2736567.9400000004</v>
          </cell>
        </row>
        <row r="125">
          <cell r="D125">
            <v>160254</v>
          </cell>
        </row>
        <row r="164">
          <cell r="D164">
            <v>25481165.299999997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ichael Sneijers" refreshedDate="42769.601206018517" createdVersion="6" refreshedVersion="6" minRefreshableVersion="3" recordCount="12">
  <cacheSource type="worksheet">
    <worksheetSource ref="C227:D239" sheet="Invulsheet"/>
  </cacheSource>
  <cacheFields count="2">
    <cacheField name="Sector" numFmtId="0">
      <sharedItems count="9">
        <s v="Creative Industries"/>
        <s v="Business and Industrial Products"/>
        <s v="Business and Industrial Services"/>
        <s v="Chemicals and materials"/>
        <s v="Construction"/>
        <s v="Consumer Goods &amp; Retail"/>
        <s v="Financial Services "/>
        <s v="Life sciences"/>
        <s v="Consumer Services"/>
      </sharedItems>
    </cacheField>
    <cacheField name="Bedrag" numFmtId="0">
      <sharedItems containsSemiMixedTypes="0" containsString="0" containsNumber="1" minValue="1200000" maxValue="13419125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2">
  <r>
    <x v="0"/>
    <n v="1200000"/>
  </r>
  <r>
    <x v="1"/>
    <n v="15258263.2676"/>
  </r>
  <r>
    <x v="2"/>
    <n v="134191250"/>
  </r>
  <r>
    <x v="3"/>
    <n v="8157687.9999999991"/>
  </r>
  <r>
    <x v="4"/>
    <n v="6081814.9033657787"/>
  </r>
  <r>
    <x v="5"/>
    <n v="1504000"/>
  </r>
  <r>
    <x v="5"/>
    <n v="3643079.2783596101"/>
  </r>
  <r>
    <x v="0"/>
    <n v="4997533.75"/>
  </r>
  <r>
    <x v="6"/>
    <n v="1500000"/>
  </r>
  <r>
    <x v="7"/>
    <n v="12500000"/>
  </r>
  <r>
    <x v="8"/>
    <n v="1795716.3428571427"/>
  </r>
  <r>
    <x v="5"/>
    <n v="15000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5" cacheId="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I229:K246" firstHeaderRow="1" firstDataRow="1" firstDataCol="0"/>
  <pivotFields count="2">
    <pivotField showAll="0"/>
    <pivotField showAll="0"/>
  </pivot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1.xm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K26"/>
  <sheetViews>
    <sheetView topLeftCell="C19" zoomScale="70" zoomScaleNormal="70" zoomScaleSheetLayoutView="55" zoomScalePageLayoutView="70" workbookViewId="0">
      <selection activeCell="H34" sqref="H34"/>
    </sheetView>
  </sheetViews>
  <sheetFormatPr defaultColWidth="8.7109375" defaultRowHeight="15" x14ac:dyDescent="0.25"/>
  <cols>
    <col min="1" max="1" width="8.7109375" style="1"/>
    <col min="2" max="2" width="92.7109375" style="1" customWidth="1"/>
    <col min="3" max="3" width="26.42578125" style="1" customWidth="1"/>
    <col min="4" max="4" width="32.140625" style="1" customWidth="1"/>
    <col min="5" max="5" width="37.140625" style="1" customWidth="1"/>
    <col min="6" max="7" width="8.7109375" style="1"/>
    <col min="8" max="8" width="84.5703125" style="1" customWidth="1"/>
    <col min="9" max="9" width="26.28515625" style="1" customWidth="1"/>
    <col min="10" max="10" width="30.28515625" style="1" customWidth="1"/>
    <col min="11" max="11" width="36.140625" style="1" customWidth="1"/>
    <col min="12" max="12" width="2" style="1" customWidth="1"/>
    <col min="13" max="16384" width="8.7109375" style="1"/>
  </cols>
  <sheetData>
    <row r="3" spans="2:11" s="18" customFormat="1" ht="34.5" customHeight="1" x14ac:dyDescent="0.25">
      <c r="B3" s="143" t="s">
        <v>133</v>
      </c>
      <c r="C3" s="143"/>
      <c r="D3" s="143"/>
      <c r="E3" s="143"/>
      <c r="H3" s="143" t="s">
        <v>52</v>
      </c>
      <c r="I3" s="143"/>
      <c r="J3" s="143"/>
      <c r="K3" s="143"/>
    </row>
    <row r="12" spans="2:11" ht="23.25" x14ac:dyDescent="0.35">
      <c r="B12" s="72"/>
      <c r="C12" s="72"/>
      <c r="D12" s="72"/>
      <c r="E12" s="73" t="s">
        <v>21</v>
      </c>
      <c r="H12" s="72"/>
      <c r="I12" s="72"/>
      <c r="J12" s="72"/>
      <c r="K12" s="73" t="s">
        <v>21</v>
      </c>
    </row>
    <row r="13" spans="2:11" ht="26.25" x14ac:dyDescent="0.4">
      <c r="B13" s="66" t="s">
        <v>9</v>
      </c>
      <c r="C13" s="115">
        <f>Invulsheet!D251</f>
        <v>143</v>
      </c>
      <c r="D13" s="116">
        <f>Invulsheet!E251</f>
        <v>678</v>
      </c>
      <c r="E13" s="128">
        <f>SUM(C13:D13)</f>
        <v>821</v>
      </c>
      <c r="H13" s="66" t="s">
        <v>27</v>
      </c>
      <c r="I13" s="115">
        <f>Invulsheet!D310</f>
        <v>32</v>
      </c>
      <c r="J13" s="116">
        <f>Invulsheet!E310</f>
        <v>6431</v>
      </c>
      <c r="K13" s="128">
        <f>SUM(I13:J13)</f>
        <v>6463</v>
      </c>
    </row>
    <row r="14" spans="2:11" ht="26.25" x14ac:dyDescent="0.4">
      <c r="B14" s="66" t="s">
        <v>26</v>
      </c>
      <c r="C14" s="115">
        <f>Invulsheet!D252</f>
        <v>42</v>
      </c>
      <c r="D14" s="116">
        <f>Invulsheet!E252</f>
        <v>0</v>
      </c>
      <c r="E14" s="128">
        <f>SUM(C14:D14)</f>
        <v>42</v>
      </c>
      <c r="H14" s="66" t="s">
        <v>8</v>
      </c>
      <c r="I14" s="115">
        <v>0</v>
      </c>
      <c r="J14" s="116">
        <f>Invulsheet!E311</f>
        <v>12453</v>
      </c>
      <c r="K14" s="128">
        <f>SUM(I14:J14)</f>
        <v>12453</v>
      </c>
    </row>
    <row r="15" spans="2:11" ht="26.25" x14ac:dyDescent="0.4">
      <c r="B15" s="66" t="s">
        <v>10</v>
      </c>
      <c r="C15" s="115">
        <f>Invulsheet!D253</f>
        <v>34</v>
      </c>
      <c r="D15" s="116">
        <f>Invulsheet!E253</f>
        <v>0</v>
      </c>
      <c r="E15" s="128">
        <f>SUM(C15:D15)</f>
        <v>34</v>
      </c>
      <c r="H15" s="66"/>
      <c r="I15" s="115"/>
      <c r="J15" s="116"/>
      <c r="K15" s="128"/>
    </row>
    <row r="16" spans="2:11" ht="26.25" x14ac:dyDescent="0.4">
      <c r="B16" s="14"/>
      <c r="C16" s="129"/>
      <c r="D16" s="130"/>
      <c r="E16" s="131"/>
      <c r="H16" s="66"/>
      <c r="I16" s="115"/>
      <c r="J16" s="116"/>
      <c r="K16" s="128"/>
    </row>
    <row r="17" spans="2:11" ht="26.25" x14ac:dyDescent="0.4">
      <c r="B17" s="66" t="s">
        <v>43</v>
      </c>
      <c r="C17" s="115">
        <f>Invulsheet!D262-Invulsheet!D267</f>
        <v>263.09684999999996</v>
      </c>
      <c r="D17" s="116">
        <f>Invulsheet!D267</f>
        <v>48.767000000000003</v>
      </c>
      <c r="E17" s="128">
        <f>C17+D17</f>
        <v>311.86384999999996</v>
      </c>
      <c r="H17" s="66" t="s">
        <v>53</v>
      </c>
      <c r="I17" s="115">
        <f>Invulsheet!D314</f>
        <v>208.69229048559961</v>
      </c>
      <c r="J17" s="116">
        <f>Invulsheet!E314</f>
        <v>640.72586592999994</v>
      </c>
      <c r="K17" s="128">
        <f>I17+J17</f>
        <v>849.41815641559958</v>
      </c>
    </row>
    <row r="18" spans="2:11" ht="26.25" x14ac:dyDescent="0.4">
      <c r="B18" s="66" t="s">
        <v>44</v>
      </c>
      <c r="C18" s="115">
        <f>Invulsheet!D263</f>
        <v>160.97900000000001</v>
      </c>
      <c r="D18" s="116">
        <v>0</v>
      </c>
      <c r="E18" s="128">
        <f>C18+D18</f>
        <v>160.97900000000001</v>
      </c>
      <c r="H18" s="66" t="s">
        <v>54</v>
      </c>
      <c r="I18" s="115">
        <f>Invulsheet!D315</f>
        <v>383.6315571961905</v>
      </c>
      <c r="J18" s="116">
        <f>Invulsheet!E315</f>
        <v>1036.1818703819959</v>
      </c>
      <c r="K18" s="128">
        <f>I18+J18</f>
        <v>1419.8134275781863</v>
      </c>
    </row>
    <row r="19" spans="2:11" ht="26.25" x14ac:dyDescent="0.4">
      <c r="B19" s="66" t="s">
        <v>45</v>
      </c>
      <c r="C19" s="115">
        <f>Invulsheet!D264</f>
        <v>155.70599999999999</v>
      </c>
      <c r="D19" s="116">
        <v>0</v>
      </c>
      <c r="E19" s="128">
        <f>C19+D19</f>
        <v>155.70599999999999</v>
      </c>
      <c r="H19" s="66" t="s">
        <v>55</v>
      </c>
      <c r="I19" s="115">
        <v>0</v>
      </c>
      <c r="J19" s="116">
        <f>Invulsheet!E316</f>
        <v>325.63600000000002</v>
      </c>
      <c r="K19" s="128">
        <f>I19+J19</f>
        <v>325.63600000000002</v>
      </c>
    </row>
    <row r="20" spans="2:11" ht="26.25" x14ac:dyDescent="0.4">
      <c r="B20" s="14" t="s">
        <v>46</v>
      </c>
      <c r="C20" s="129">
        <f>SUM(C17:C19)</f>
        <v>579.78184999999996</v>
      </c>
      <c r="D20" s="130">
        <f>SUM(D17:D19)</f>
        <v>48.767000000000003</v>
      </c>
      <c r="E20" s="131">
        <f>C20+D20</f>
        <v>628.54885000000002</v>
      </c>
      <c r="H20" s="66"/>
      <c r="I20" s="115"/>
      <c r="J20" s="116"/>
      <c r="K20" s="128"/>
    </row>
    <row r="21" spans="2:11" ht="26.25" x14ac:dyDescent="0.4">
      <c r="B21" s="14"/>
      <c r="C21" s="132"/>
      <c r="D21" s="133"/>
      <c r="E21" s="134"/>
      <c r="H21" s="66"/>
      <c r="I21" s="115"/>
      <c r="J21" s="116"/>
      <c r="K21" s="128"/>
    </row>
    <row r="22" spans="2:11" ht="26.25" x14ac:dyDescent="0.4">
      <c r="B22" s="66" t="s">
        <v>47</v>
      </c>
      <c r="C22" s="115">
        <f>C23+C24</f>
        <v>14.773999999999999</v>
      </c>
      <c r="D22" s="116">
        <f>D23+D24</f>
        <v>5.3650000000000002</v>
      </c>
      <c r="E22" s="128">
        <f>C22+D22</f>
        <v>20.138999999999999</v>
      </c>
      <c r="H22" s="66" t="s">
        <v>117</v>
      </c>
      <c r="I22" s="115">
        <f>Invulsheet!D319</f>
        <v>11</v>
      </c>
      <c r="J22" s="116">
        <f>Invulsheet!E319</f>
        <v>59.23144400000001</v>
      </c>
      <c r="K22" s="128">
        <f>I22+J22</f>
        <v>70.23144400000001</v>
      </c>
    </row>
    <row r="23" spans="2:11" ht="26.25" x14ac:dyDescent="0.4">
      <c r="B23" s="70" t="s">
        <v>13</v>
      </c>
      <c r="C23" s="135">
        <f>Invulsheet!D276</f>
        <v>11.748999999999999</v>
      </c>
      <c r="D23" s="136">
        <v>0</v>
      </c>
      <c r="E23" s="137">
        <f>C23+D23</f>
        <v>11.748999999999999</v>
      </c>
      <c r="H23" s="93" t="s">
        <v>144</v>
      </c>
      <c r="I23" s="117">
        <f>Invulsheet!D335</f>
        <v>4</v>
      </c>
      <c r="J23" s="118">
        <f>Invulsheet!D332</f>
        <v>470</v>
      </c>
      <c r="K23" s="141">
        <f>I23+J23</f>
        <v>474</v>
      </c>
    </row>
    <row r="24" spans="2:11" ht="26.25" x14ac:dyDescent="0.4">
      <c r="B24" s="70" t="s">
        <v>14</v>
      </c>
      <c r="C24" s="135">
        <f>Invulsheet!D277-Invulsheet!D289</f>
        <v>3.0250000000000004</v>
      </c>
      <c r="D24" s="136">
        <f>Invulsheet!D289</f>
        <v>5.3650000000000002</v>
      </c>
      <c r="E24" s="137">
        <f>C24+D24</f>
        <v>8.39</v>
      </c>
      <c r="H24" s="66" t="s">
        <v>143</v>
      </c>
      <c r="I24" s="115">
        <v>0</v>
      </c>
      <c r="J24" s="116">
        <f>Invulsheet!D339</f>
        <v>12.968000000000018</v>
      </c>
      <c r="K24" s="128">
        <f>I24+J24</f>
        <v>12.968000000000018</v>
      </c>
    </row>
    <row r="25" spans="2:11" ht="27" thickBot="1" x14ac:dyDescent="0.45">
      <c r="B25" s="74" t="s">
        <v>48</v>
      </c>
      <c r="C25" s="138">
        <f>Invulsheet!D297</f>
        <v>31.065996023643997</v>
      </c>
      <c r="D25" s="139">
        <f>Invulsheet!D301</f>
        <v>0.88635600000000003</v>
      </c>
      <c r="E25" s="140">
        <f>C25+D25</f>
        <v>31.952352023643996</v>
      </c>
      <c r="H25" s="94" t="s">
        <v>145</v>
      </c>
      <c r="I25" s="119">
        <v>0</v>
      </c>
      <c r="J25" s="120">
        <f>Invulsheet!D333</f>
        <v>572</v>
      </c>
      <c r="K25" s="142">
        <f>I25+J25</f>
        <v>572</v>
      </c>
    </row>
    <row r="26" spans="2:11" ht="15.75" thickTop="1" x14ac:dyDescent="0.25"/>
  </sheetData>
  <mergeCells count="2">
    <mergeCell ref="B3:E3"/>
    <mergeCell ref="H3:K3"/>
  </mergeCells>
  <pageMargins left="0.25" right="0.25" top="0.75" bottom="0.75" header="0.3" footer="0.3"/>
  <pageSetup paperSize="9" scale="36" orientation="landscape" r:id="rId1"/>
  <headerFooter>
    <oddHeader xml:space="preserve">&amp;C&amp;"-,Bold"&amp;24
Samenvatting
</oddHeader>
    <oddFooter xml:space="preserve">&amp;C&amp;16&amp;F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U92"/>
  <sheetViews>
    <sheetView topLeftCell="A7" zoomScale="70" zoomScaleNormal="70" zoomScalePageLayoutView="70" workbookViewId="0">
      <selection activeCell="D13" sqref="D13"/>
    </sheetView>
  </sheetViews>
  <sheetFormatPr defaultColWidth="17.5703125" defaultRowHeight="15" x14ac:dyDescent="0.25"/>
  <cols>
    <col min="1" max="1" width="6.140625" style="1" customWidth="1"/>
    <col min="2" max="2" width="27.28515625" style="1" customWidth="1"/>
    <col min="3" max="3" width="21.140625" style="1" customWidth="1"/>
    <col min="4" max="4" width="18.7109375" style="1" customWidth="1"/>
    <col min="5" max="5" width="25.28515625" style="1" customWidth="1"/>
    <col min="6" max="11" width="17.5703125" style="1"/>
    <col min="12" max="12" width="2" style="1" customWidth="1"/>
    <col min="13" max="14" width="17.5703125" style="1"/>
    <col min="15" max="15" width="48.5703125" style="1" customWidth="1"/>
    <col min="16" max="16" width="17.5703125" style="1"/>
    <col min="17" max="17" width="19.140625" style="1" bestFit="1" customWidth="1"/>
    <col min="18" max="16384" width="17.5703125" style="1"/>
  </cols>
  <sheetData>
    <row r="3" spans="2:21" ht="18.75" customHeight="1" x14ac:dyDescent="0.25">
      <c r="B3" s="81"/>
      <c r="C3" s="81"/>
      <c r="D3" s="81"/>
      <c r="E3" s="81"/>
      <c r="H3" s="81"/>
      <c r="I3" s="81"/>
      <c r="J3" s="81"/>
      <c r="K3" s="81"/>
    </row>
    <row r="7" spans="2:21" ht="28.5" customHeight="1" x14ac:dyDescent="0.5">
      <c r="B7" s="144" t="s">
        <v>134</v>
      </c>
      <c r="C7" s="145"/>
      <c r="D7" s="145"/>
      <c r="E7" s="145"/>
      <c r="F7" s="145"/>
      <c r="G7" s="145"/>
      <c r="H7" s="145"/>
      <c r="I7" s="145"/>
      <c r="J7" s="145"/>
      <c r="K7" s="145"/>
      <c r="L7" s="145"/>
      <c r="N7" s="144" t="s">
        <v>52</v>
      </c>
      <c r="O7" s="145"/>
      <c r="P7" s="145"/>
      <c r="Q7" s="145"/>
      <c r="R7" s="145"/>
      <c r="S7" s="145"/>
      <c r="T7" s="145"/>
      <c r="U7" s="145"/>
    </row>
    <row r="8" spans="2:21" ht="24.75" customHeight="1" x14ac:dyDescent="0.5">
      <c r="B8" s="16"/>
      <c r="N8" s="90"/>
      <c r="O8" s="91"/>
      <c r="P8" s="91"/>
      <c r="Q8" s="91"/>
      <c r="R8" s="91"/>
      <c r="S8" s="91"/>
      <c r="T8" s="91"/>
      <c r="U8" s="91"/>
    </row>
    <row r="9" spans="2:21" ht="26.25" x14ac:dyDescent="0.4">
      <c r="B9" s="77" t="s">
        <v>23</v>
      </c>
      <c r="C9" s="71"/>
      <c r="D9" s="71"/>
      <c r="E9" s="71"/>
      <c r="F9" s="71"/>
      <c r="G9" s="71"/>
      <c r="H9" s="71"/>
      <c r="I9" s="71"/>
      <c r="J9" s="71"/>
      <c r="K9" s="71"/>
      <c r="L9" s="71"/>
    </row>
    <row r="10" spans="2:21" ht="26.25" x14ac:dyDescent="0.4">
      <c r="B10" s="83" t="s">
        <v>0</v>
      </c>
      <c r="C10" s="84"/>
      <c r="D10" s="84"/>
      <c r="E10" s="84"/>
      <c r="F10" s="122">
        <f>Overzicht!$C$13</f>
        <v>143</v>
      </c>
      <c r="G10" s="72"/>
      <c r="H10" s="72"/>
      <c r="I10" s="72"/>
      <c r="J10" s="72"/>
      <c r="K10" s="72"/>
      <c r="L10" s="72"/>
      <c r="N10" s="83" t="s">
        <v>7</v>
      </c>
      <c r="O10" s="84"/>
      <c r="P10" s="84"/>
      <c r="Q10" s="122">
        <f>Overzicht!$I$13</f>
        <v>32</v>
      </c>
      <c r="R10" s="72"/>
      <c r="S10" s="72"/>
      <c r="T10" s="72"/>
      <c r="U10" s="72"/>
    </row>
    <row r="11" spans="2:21" ht="26.25" x14ac:dyDescent="0.4">
      <c r="B11" s="66" t="s">
        <v>63</v>
      </c>
      <c r="C11" s="28"/>
      <c r="D11" s="28"/>
      <c r="E11" s="28"/>
      <c r="F11" s="123">
        <f>Overzicht!$C$17</f>
        <v>263.09684999999996</v>
      </c>
      <c r="G11" s="15"/>
      <c r="H11" s="15"/>
      <c r="I11" s="15"/>
      <c r="J11" s="15"/>
      <c r="K11" s="15"/>
      <c r="L11" s="15"/>
      <c r="N11" s="66" t="s">
        <v>120</v>
      </c>
      <c r="O11" s="28"/>
      <c r="P11" s="28"/>
      <c r="Q11" s="123">
        <f>Overzicht!$I$17</f>
        <v>208.69229048559961</v>
      </c>
      <c r="R11" s="15"/>
      <c r="S11" s="15"/>
      <c r="T11" s="15"/>
      <c r="U11" s="15"/>
    </row>
    <row r="12" spans="2:21" ht="26.25" x14ac:dyDescent="0.4">
      <c r="B12" s="66" t="s">
        <v>64</v>
      </c>
      <c r="C12" s="63"/>
      <c r="D12" s="63"/>
      <c r="E12" s="69"/>
      <c r="F12" s="123">
        <f>F13+F14</f>
        <v>9.831999999999999</v>
      </c>
      <c r="G12" s="15"/>
      <c r="H12" s="15"/>
      <c r="I12" s="15"/>
      <c r="J12" s="15"/>
      <c r="K12" s="85"/>
      <c r="L12" s="15"/>
      <c r="N12" s="66" t="s">
        <v>66</v>
      </c>
      <c r="O12" s="28"/>
      <c r="P12" s="28"/>
      <c r="Q12" s="123">
        <f>Q11/Q10</f>
        <v>6.5216340776749879</v>
      </c>
      <c r="R12" s="15"/>
      <c r="S12" s="15"/>
      <c r="T12" s="15"/>
      <c r="U12" s="15"/>
    </row>
    <row r="13" spans="2:21" ht="26.25" x14ac:dyDescent="0.4">
      <c r="B13" s="70" t="s">
        <v>11</v>
      </c>
      <c r="C13" s="64"/>
      <c r="D13" s="64"/>
      <c r="E13" s="9"/>
      <c r="F13" s="127">
        <f>Invulsheet!D280</f>
        <v>8.206999999999999</v>
      </c>
      <c r="G13" s="103">
        <f>F13/F12</f>
        <v>0.83472335231895844</v>
      </c>
      <c r="H13" s="28"/>
      <c r="I13" s="28"/>
      <c r="J13" s="28"/>
      <c r="K13" s="28"/>
      <c r="L13" s="15"/>
      <c r="N13" s="66" t="s">
        <v>101</v>
      </c>
      <c r="O13" s="28"/>
      <c r="P13" s="28"/>
      <c r="Q13" s="123">
        <f>Overzicht!$I$22</f>
        <v>11</v>
      </c>
      <c r="R13" s="15"/>
      <c r="S13" s="15"/>
      <c r="T13" s="15"/>
      <c r="U13" s="15"/>
    </row>
    <row r="14" spans="2:21" ht="26.25" x14ac:dyDescent="0.4">
      <c r="B14" s="70" t="s">
        <v>12</v>
      </c>
      <c r="C14" s="64"/>
      <c r="D14" s="64"/>
      <c r="E14" s="9"/>
      <c r="F14" s="127">
        <f>Invulsheet!D279-Invulsheet!D289</f>
        <v>1.625</v>
      </c>
      <c r="G14" s="103">
        <f>F14/F12</f>
        <v>0.16527664768104153</v>
      </c>
      <c r="H14" s="28"/>
      <c r="I14" s="28"/>
      <c r="J14" s="28"/>
      <c r="K14" s="28"/>
      <c r="L14" s="15"/>
      <c r="N14" s="93" t="s">
        <v>135</v>
      </c>
      <c r="O14" s="15"/>
      <c r="P14" s="15"/>
      <c r="Q14" s="124">
        <f>Invulsheet!D335</f>
        <v>4</v>
      </c>
      <c r="R14" s="15"/>
      <c r="S14" s="15"/>
      <c r="T14" s="15"/>
      <c r="U14" s="15"/>
    </row>
    <row r="15" spans="2:21" ht="27" thickBot="1" x14ac:dyDescent="0.45">
      <c r="B15" s="74" t="s">
        <v>48</v>
      </c>
      <c r="C15" s="86"/>
      <c r="D15" s="86"/>
      <c r="E15" s="87"/>
      <c r="F15" s="126">
        <f>Invulsheet!D298</f>
        <v>5.4245767236440017</v>
      </c>
      <c r="G15" s="88"/>
      <c r="H15" s="89"/>
      <c r="I15" s="89"/>
      <c r="J15" s="89"/>
      <c r="K15" s="89"/>
      <c r="L15" s="88"/>
      <c r="N15" s="88"/>
      <c r="O15" s="88"/>
      <c r="P15" s="88"/>
      <c r="Q15" s="88"/>
      <c r="R15" s="88"/>
      <c r="S15" s="88"/>
      <c r="T15" s="88"/>
      <c r="U15" s="88"/>
    </row>
    <row r="16" spans="2:21" s="6" customFormat="1" ht="15.75" thickTop="1" x14ac:dyDescent="0.25">
      <c r="B16" s="2"/>
      <c r="C16" s="3"/>
      <c r="D16" s="3"/>
      <c r="E16" s="4"/>
      <c r="F16" s="4"/>
      <c r="G16" s="4"/>
      <c r="H16" s="9"/>
      <c r="I16" s="9"/>
      <c r="J16" s="9"/>
      <c r="K16" s="9"/>
      <c r="L16" s="4"/>
      <c r="M16" s="4"/>
      <c r="N16" s="1"/>
      <c r="O16" s="1"/>
      <c r="P16" s="1"/>
      <c r="Q16" s="1"/>
      <c r="R16" s="1"/>
      <c r="S16" s="1"/>
      <c r="T16" s="1"/>
      <c r="U16" s="1"/>
    </row>
    <row r="17" spans="2:16" s="6" customFormat="1" x14ac:dyDescent="0.25">
      <c r="B17" s="67"/>
      <c r="C17" s="63"/>
      <c r="D17" s="63"/>
      <c r="E17" s="9"/>
      <c r="F17" s="4"/>
      <c r="G17" s="4"/>
      <c r="H17" s="9"/>
      <c r="I17" s="9"/>
      <c r="J17" s="9"/>
      <c r="K17" s="9"/>
      <c r="L17" s="4"/>
      <c r="M17" s="4"/>
      <c r="N17" s="4"/>
      <c r="O17" s="5"/>
      <c r="P17" s="5"/>
    </row>
    <row r="18" spans="2:16" s="6" customFormat="1" x14ac:dyDescent="0.25">
      <c r="B18" s="67"/>
      <c r="C18" s="63"/>
      <c r="D18" s="63"/>
      <c r="E18" s="9"/>
      <c r="F18" s="4"/>
      <c r="G18" s="4"/>
      <c r="H18" s="9"/>
      <c r="I18" s="9"/>
      <c r="J18" s="9"/>
      <c r="K18" s="9"/>
      <c r="L18" s="4"/>
      <c r="M18" s="4"/>
      <c r="N18" s="4"/>
      <c r="O18" s="5"/>
      <c r="P18" s="5"/>
    </row>
    <row r="19" spans="2:16" s="6" customFormat="1" x14ac:dyDescent="0.25">
      <c r="B19" s="67"/>
      <c r="C19" s="63"/>
      <c r="D19" s="63"/>
      <c r="E19" s="9"/>
      <c r="F19" s="4"/>
      <c r="G19" s="4"/>
      <c r="H19" s="9"/>
      <c r="I19" s="9"/>
      <c r="J19" s="9"/>
      <c r="K19" s="9"/>
      <c r="L19" s="4"/>
      <c r="M19" s="4"/>
      <c r="N19" s="4"/>
      <c r="O19" s="5"/>
      <c r="P19" s="5"/>
    </row>
    <row r="20" spans="2:16" s="6" customFormat="1" x14ac:dyDescent="0.25">
      <c r="B20" s="2"/>
      <c r="C20" s="3"/>
      <c r="D20" s="3"/>
      <c r="E20" s="4"/>
      <c r="F20" s="4"/>
      <c r="G20" s="4"/>
      <c r="H20" s="9"/>
      <c r="I20" s="9"/>
      <c r="J20" s="9"/>
      <c r="K20" s="9"/>
      <c r="L20" s="4"/>
      <c r="M20" s="4"/>
      <c r="N20" s="4"/>
      <c r="O20" s="5"/>
      <c r="P20" s="5"/>
    </row>
    <row r="21" spans="2:16" s="6" customFormat="1" x14ac:dyDescent="0.25">
      <c r="B21" s="2"/>
      <c r="C21" s="3"/>
      <c r="D21" s="3"/>
      <c r="E21" s="4"/>
      <c r="F21" s="4"/>
      <c r="G21" s="4"/>
      <c r="H21" s="9"/>
      <c r="I21" s="9"/>
      <c r="J21" s="9"/>
      <c r="K21" s="9"/>
      <c r="L21" s="4"/>
      <c r="M21" s="4"/>
      <c r="N21" s="4"/>
      <c r="O21" s="5"/>
      <c r="P21" s="5"/>
    </row>
    <row r="22" spans="2:16" s="6" customFormat="1" x14ac:dyDescent="0.25">
      <c r="B22" s="67"/>
      <c r="C22" s="63"/>
      <c r="D22" s="63"/>
      <c r="E22" s="9"/>
      <c r="F22" s="4"/>
      <c r="G22" s="4"/>
      <c r="H22" s="9"/>
      <c r="I22" s="9"/>
      <c r="J22" s="9"/>
      <c r="K22" s="9"/>
      <c r="L22" s="4"/>
      <c r="M22" s="4"/>
      <c r="N22" s="4"/>
      <c r="O22" s="5"/>
      <c r="P22" s="5"/>
    </row>
    <row r="23" spans="2:16" s="6" customFormat="1" x14ac:dyDescent="0.25">
      <c r="B23" s="67"/>
      <c r="C23" s="63"/>
      <c r="D23" s="63"/>
      <c r="E23" s="9"/>
      <c r="F23" s="4"/>
      <c r="G23" s="4"/>
      <c r="H23" s="9"/>
      <c r="I23" s="9"/>
      <c r="J23" s="9"/>
      <c r="K23" s="9"/>
      <c r="L23" s="4"/>
      <c r="M23" s="4"/>
      <c r="N23" s="4"/>
      <c r="O23" s="5"/>
      <c r="P23" s="5"/>
    </row>
    <row r="24" spans="2:16" s="6" customFormat="1" x14ac:dyDescent="0.25">
      <c r="B24" s="67"/>
      <c r="C24" s="63"/>
      <c r="D24" s="63"/>
      <c r="E24" s="9"/>
      <c r="F24" s="4"/>
      <c r="G24" s="4"/>
      <c r="H24" s="9"/>
      <c r="I24" s="9"/>
      <c r="J24" s="9"/>
      <c r="K24" s="9"/>
      <c r="L24" s="4"/>
      <c r="M24" s="4"/>
      <c r="N24" s="4"/>
      <c r="O24" s="5"/>
      <c r="P24" s="5"/>
    </row>
    <row r="25" spans="2:16" s="6" customFormat="1" x14ac:dyDescent="0.25">
      <c r="B25" s="67"/>
      <c r="C25" s="63"/>
      <c r="D25" s="63"/>
      <c r="E25" s="9"/>
      <c r="F25" s="4"/>
      <c r="G25" s="4"/>
      <c r="H25" s="4"/>
      <c r="I25" s="4"/>
      <c r="J25" s="4"/>
      <c r="K25" s="4"/>
      <c r="L25" s="4"/>
      <c r="M25" s="4"/>
      <c r="N25" s="4"/>
      <c r="O25" s="5"/>
      <c r="P25" s="5"/>
    </row>
    <row r="26" spans="2:16" s="6" customFormat="1" x14ac:dyDescent="0.25">
      <c r="B26" s="2"/>
      <c r="C26" s="3"/>
      <c r="D26" s="3"/>
      <c r="E26" s="4"/>
      <c r="F26" s="4"/>
      <c r="G26" s="4"/>
      <c r="H26" s="4"/>
      <c r="I26" s="4"/>
      <c r="J26" s="4"/>
      <c r="K26" s="4"/>
      <c r="L26" s="4"/>
      <c r="M26" s="4"/>
      <c r="N26" s="4"/>
      <c r="O26" s="5"/>
      <c r="P26" s="5"/>
    </row>
    <row r="27" spans="2:16" s="6" customFormat="1" x14ac:dyDescent="0.25">
      <c r="B27" s="2"/>
      <c r="C27" s="3"/>
      <c r="D27" s="3"/>
      <c r="E27" s="4"/>
      <c r="F27" s="4"/>
      <c r="G27" s="4"/>
      <c r="H27" s="4"/>
      <c r="I27" s="4"/>
      <c r="J27" s="4"/>
      <c r="K27" s="4"/>
      <c r="L27" s="4"/>
      <c r="M27" s="4"/>
      <c r="N27" s="4"/>
      <c r="O27" s="5"/>
      <c r="P27" s="5"/>
    </row>
    <row r="28" spans="2:16" s="6" customFormat="1" x14ac:dyDescent="0.25">
      <c r="B28" s="2"/>
      <c r="C28" s="3"/>
      <c r="D28" s="3"/>
      <c r="E28" s="4"/>
      <c r="F28" s="4"/>
      <c r="G28" s="4"/>
      <c r="H28" s="4"/>
      <c r="I28" s="4"/>
      <c r="J28" s="4"/>
      <c r="K28" s="4"/>
      <c r="L28" s="4"/>
      <c r="M28" s="4"/>
      <c r="N28" s="4"/>
      <c r="O28" s="5"/>
      <c r="P28" s="5"/>
    </row>
    <row r="29" spans="2:16" s="6" customFormat="1" x14ac:dyDescent="0.25">
      <c r="B29" s="2"/>
      <c r="C29" s="3"/>
      <c r="D29" s="3"/>
      <c r="E29" s="4"/>
      <c r="F29" s="4"/>
      <c r="G29" s="4"/>
      <c r="H29" s="4"/>
      <c r="I29" s="4"/>
      <c r="J29" s="4"/>
      <c r="K29" s="4"/>
      <c r="L29" s="4"/>
      <c r="M29" s="4"/>
      <c r="N29" s="4"/>
      <c r="O29" s="5"/>
      <c r="P29" s="5"/>
    </row>
    <row r="30" spans="2:16" s="6" customFormat="1" x14ac:dyDescent="0.25">
      <c r="B30" s="2"/>
      <c r="C30" s="3"/>
      <c r="D30" s="3"/>
      <c r="E30" s="4"/>
      <c r="F30" s="4"/>
      <c r="G30" s="4"/>
      <c r="H30" s="4"/>
      <c r="I30" s="4"/>
      <c r="J30" s="4"/>
      <c r="K30" s="4"/>
      <c r="L30" s="4"/>
      <c r="M30" s="4"/>
      <c r="N30" s="4"/>
      <c r="O30" s="5"/>
      <c r="P30" s="5"/>
    </row>
    <row r="31" spans="2:16" s="6" customFormat="1" x14ac:dyDescent="0.25">
      <c r="B31" s="2"/>
      <c r="C31" s="3"/>
      <c r="D31" s="3"/>
      <c r="E31" s="4"/>
      <c r="F31" s="4"/>
      <c r="G31" s="4"/>
      <c r="H31" s="4"/>
      <c r="I31" s="4"/>
      <c r="J31" s="4"/>
      <c r="K31" s="4"/>
      <c r="L31" s="4"/>
      <c r="M31" s="4"/>
      <c r="N31" s="4"/>
      <c r="O31" s="5"/>
      <c r="P31" s="5"/>
    </row>
    <row r="32" spans="2:16" s="6" customFormat="1" x14ac:dyDescent="0.25">
      <c r="B32" s="2"/>
      <c r="C32" s="3"/>
      <c r="D32" s="3"/>
      <c r="E32" s="4"/>
      <c r="F32" s="4"/>
      <c r="G32" s="4"/>
      <c r="H32" s="4"/>
      <c r="I32" s="4"/>
      <c r="J32" s="4"/>
      <c r="K32" s="4"/>
      <c r="L32" s="4"/>
      <c r="M32" s="4"/>
      <c r="N32" s="4"/>
      <c r="O32" s="5"/>
      <c r="P32" s="5"/>
    </row>
    <row r="33" spans="2:16" s="6" customFormat="1" x14ac:dyDescent="0.25">
      <c r="B33" s="2"/>
      <c r="C33" s="3"/>
      <c r="D33" s="3"/>
      <c r="E33" s="4"/>
      <c r="F33" s="4"/>
      <c r="G33" s="4"/>
      <c r="H33" s="4"/>
      <c r="I33" s="4"/>
      <c r="J33" s="4"/>
      <c r="K33" s="4"/>
      <c r="L33" s="4"/>
      <c r="M33" s="4"/>
      <c r="N33" s="4"/>
      <c r="O33" s="5"/>
      <c r="P33" s="5"/>
    </row>
    <row r="34" spans="2:16" s="6" customFormat="1" ht="26.25" x14ac:dyDescent="0.4">
      <c r="B34" s="77" t="s">
        <v>29</v>
      </c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1"/>
      <c r="N34" s="4"/>
      <c r="O34" s="5"/>
      <c r="P34" s="5"/>
    </row>
    <row r="35" spans="2:16" s="6" customFormat="1" ht="26.25" x14ac:dyDescent="0.4">
      <c r="B35" s="83" t="s">
        <v>30</v>
      </c>
      <c r="C35" s="84"/>
      <c r="D35" s="84"/>
      <c r="E35" s="84"/>
      <c r="F35" s="122">
        <f>Overzicht!$C$14</f>
        <v>42</v>
      </c>
      <c r="G35" s="72"/>
      <c r="H35" s="72"/>
      <c r="I35" s="72"/>
      <c r="J35" s="72"/>
      <c r="K35" s="72"/>
      <c r="L35" s="72"/>
      <c r="M35" s="1"/>
      <c r="N35" s="1"/>
      <c r="O35" s="1"/>
      <c r="P35" s="1"/>
    </row>
    <row r="36" spans="2:16" s="6" customFormat="1" ht="26.25" x14ac:dyDescent="0.4">
      <c r="B36" s="66" t="s">
        <v>63</v>
      </c>
      <c r="C36" s="28"/>
      <c r="D36" s="28"/>
      <c r="E36" s="28"/>
      <c r="F36" s="123">
        <f>Overzicht!$C$18</f>
        <v>160.97900000000001</v>
      </c>
      <c r="G36" s="15"/>
      <c r="H36" s="15"/>
      <c r="I36" s="15"/>
      <c r="J36" s="15"/>
      <c r="K36" s="15"/>
      <c r="L36" s="15"/>
      <c r="M36" s="1"/>
      <c r="N36" s="1"/>
      <c r="O36" s="1"/>
      <c r="P36" s="1"/>
    </row>
    <row r="37" spans="2:16" s="6" customFormat="1" ht="26.25" x14ac:dyDescent="0.4">
      <c r="B37" s="66" t="s">
        <v>47</v>
      </c>
      <c r="C37" s="63"/>
      <c r="D37" s="63"/>
      <c r="E37" s="9"/>
      <c r="F37" s="123">
        <f>F38+F39</f>
        <v>0.5</v>
      </c>
      <c r="G37" s="15"/>
      <c r="H37" s="15"/>
      <c r="I37" s="15"/>
      <c r="J37" s="15"/>
      <c r="K37" s="15"/>
      <c r="L37" s="15"/>
      <c r="M37" s="1"/>
      <c r="N37" s="1"/>
      <c r="O37" s="1"/>
      <c r="P37" s="1"/>
    </row>
    <row r="38" spans="2:16" s="6" customFormat="1" ht="18.75" x14ac:dyDescent="0.3">
      <c r="B38" s="70" t="s">
        <v>11</v>
      </c>
      <c r="C38" s="64"/>
      <c r="D38" s="64"/>
      <c r="E38" s="9"/>
      <c r="F38" s="127">
        <f>Invulsheet!D282</f>
        <v>0.1</v>
      </c>
      <c r="G38" s="104">
        <f>F38/F37</f>
        <v>0.2</v>
      </c>
      <c r="H38" s="15"/>
      <c r="I38" s="15"/>
      <c r="J38" s="15"/>
      <c r="K38" s="15"/>
      <c r="L38" s="15"/>
      <c r="M38" s="1"/>
      <c r="N38" s="1"/>
      <c r="O38" s="1"/>
      <c r="P38" s="1"/>
    </row>
    <row r="39" spans="2:16" s="6" customFormat="1" ht="18.75" x14ac:dyDescent="0.3">
      <c r="B39" s="70" t="s">
        <v>31</v>
      </c>
      <c r="C39" s="64"/>
      <c r="D39" s="64"/>
      <c r="E39" s="9"/>
      <c r="F39" s="127">
        <f>Invulsheet!D281</f>
        <v>0.4</v>
      </c>
      <c r="G39" s="104">
        <f>F39/F37</f>
        <v>0.8</v>
      </c>
      <c r="H39" s="15"/>
      <c r="I39" s="15"/>
      <c r="J39" s="15"/>
      <c r="K39" s="15"/>
      <c r="L39" s="15"/>
      <c r="M39" s="1"/>
      <c r="N39" s="1"/>
      <c r="O39" s="1"/>
      <c r="P39" s="1"/>
    </row>
    <row r="40" spans="2:16" s="6" customFormat="1" ht="27" thickBot="1" x14ac:dyDescent="0.45">
      <c r="B40" s="74" t="s">
        <v>48</v>
      </c>
      <c r="C40" s="86"/>
      <c r="D40" s="86"/>
      <c r="E40" s="87"/>
      <c r="F40" s="126">
        <f>Invulsheet!D299</f>
        <v>0.16025400000000001</v>
      </c>
      <c r="G40" s="88"/>
      <c r="H40" s="88"/>
      <c r="I40" s="88"/>
      <c r="J40" s="88"/>
      <c r="K40" s="88"/>
      <c r="L40" s="88"/>
      <c r="M40" s="1"/>
      <c r="N40" s="1"/>
      <c r="O40" s="1"/>
      <c r="P40" s="1"/>
    </row>
    <row r="41" spans="2:16" s="6" customFormat="1" ht="15.75" thickTop="1" x14ac:dyDescent="0.2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2:16" s="6" customFormat="1" x14ac:dyDescent="0.2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2:16" s="6" customFormat="1" x14ac:dyDescent="0.2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2:16" s="6" customFormat="1" x14ac:dyDescent="0.2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2:16" s="6" customFormat="1" x14ac:dyDescent="0.2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2:16" s="6" customFormat="1" x14ac:dyDescent="0.2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2:16" s="6" customFormat="1" x14ac:dyDescent="0.2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2:16" s="6" customFormat="1" x14ac:dyDescent="0.2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2:21" s="6" customFormat="1" x14ac:dyDescent="0.2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2:21" s="6" customFormat="1" x14ac:dyDescent="0.2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2:21" s="6" customFormat="1" x14ac:dyDescent="0.2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2:21" s="6" customFormat="1" x14ac:dyDescent="0.2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2:21" s="6" customFormat="1" x14ac:dyDescent="0.2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2:21" s="6" customFormat="1" x14ac:dyDescent="0.2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2:21" s="6" customFormat="1" x14ac:dyDescent="0.2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2:21" s="6" customFormat="1" x14ac:dyDescent="0.25">
      <c r="B56" s="7"/>
      <c r="C56" s="3"/>
      <c r="D56" s="3"/>
      <c r="E56" s="4"/>
      <c r="F56" s="4"/>
      <c r="G56" s="8"/>
      <c r="H56" s="4"/>
      <c r="I56" s="4"/>
      <c r="J56" s="4"/>
      <c r="K56" s="4"/>
      <c r="L56" s="4"/>
      <c r="M56" s="4"/>
      <c r="N56" s="1"/>
      <c r="O56" s="1"/>
      <c r="P56" s="1"/>
    </row>
    <row r="57" spans="2:21" s="6" customFormat="1" x14ac:dyDescent="0.25">
      <c r="B57" s="7"/>
      <c r="C57" s="3"/>
      <c r="D57" s="3"/>
      <c r="E57" s="4"/>
      <c r="F57" s="4"/>
      <c r="G57" s="8"/>
      <c r="H57" s="4"/>
      <c r="I57" s="4"/>
      <c r="J57" s="4"/>
      <c r="K57" s="4"/>
      <c r="L57" s="4"/>
      <c r="M57" s="4"/>
      <c r="N57" s="4"/>
      <c r="O57" s="5"/>
      <c r="P57" s="5"/>
    </row>
    <row r="58" spans="2:21" s="6" customFormat="1" x14ac:dyDescent="0.25">
      <c r="B58" s="7"/>
      <c r="C58" s="3"/>
      <c r="D58" s="3"/>
      <c r="E58" s="4"/>
      <c r="F58" s="4"/>
      <c r="G58" s="8"/>
      <c r="H58" s="4"/>
      <c r="I58" s="4"/>
      <c r="J58" s="4"/>
      <c r="K58" s="4"/>
      <c r="L58" s="4"/>
      <c r="M58" s="4"/>
      <c r="N58" s="4"/>
      <c r="O58" s="5"/>
      <c r="P58" s="5"/>
    </row>
    <row r="59" spans="2:21" ht="19.5" customHeight="1" x14ac:dyDescent="0.4">
      <c r="B59" s="77" t="s">
        <v>32</v>
      </c>
      <c r="C59" s="71"/>
      <c r="D59" s="71"/>
      <c r="E59" s="71"/>
      <c r="F59" s="71"/>
      <c r="G59" s="71"/>
      <c r="H59" s="71"/>
      <c r="I59" s="71"/>
      <c r="J59" s="71"/>
      <c r="K59" s="71"/>
      <c r="L59" s="71"/>
      <c r="N59" s="4"/>
      <c r="O59" s="5"/>
      <c r="P59" s="5"/>
      <c r="Q59" s="6"/>
      <c r="R59" s="6"/>
      <c r="S59" s="6"/>
      <c r="T59" s="6"/>
      <c r="U59" s="6"/>
    </row>
    <row r="60" spans="2:21" ht="26.25" x14ac:dyDescent="0.4">
      <c r="B60" s="83" t="s">
        <v>2</v>
      </c>
      <c r="C60" s="84"/>
      <c r="D60" s="84"/>
      <c r="E60" s="84"/>
      <c r="F60" s="122">
        <f>Overzicht!$C$15</f>
        <v>34</v>
      </c>
      <c r="G60" s="72"/>
      <c r="H60" s="72"/>
      <c r="I60" s="72"/>
      <c r="J60" s="72"/>
      <c r="K60" s="72"/>
      <c r="L60" s="72"/>
    </row>
    <row r="61" spans="2:21" ht="26.25" x14ac:dyDescent="0.4">
      <c r="B61" s="66" t="s">
        <v>63</v>
      </c>
      <c r="C61" s="28"/>
      <c r="D61" s="28"/>
      <c r="E61" s="28"/>
      <c r="F61" s="123">
        <f>Overzicht!$C$19</f>
        <v>155.70599999999999</v>
      </c>
      <c r="G61" s="15"/>
      <c r="H61" s="15"/>
      <c r="I61" s="15"/>
      <c r="J61" s="15"/>
      <c r="K61" s="15"/>
      <c r="L61" s="15"/>
    </row>
    <row r="62" spans="2:21" ht="26.25" x14ac:dyDescent="0.4">
      <c r="B62" s="66" t="s">
        <v>47</v>
      </c>
      <c r="C62" s="63"/>
      <c r="D62" s="63"/>
      <c r="E62" s="9"/>
      <c r="F62" s="123">
        <f>F63+F64</f>
        <v>4.4420000000000002</v>
      </c>
      <c r="G62" s="15"/>
      <c r="H62" s="15"/>
      <c r="I62" s="15"/>
      <c r="J62" s="15"/>
      <c r="K62" s="15"/>
      <c r="L62" s="15"/>
    </row>
    <row r="63" spans="2:21" ht="19.5" customHeight="1" x14ac:dyDescent="0.3">
      <c r="B63" s="70" t="s">
        <v>11</v>
      </c>
      <c r="C63" s="64"/>
      <c r="D63" s="64"/>
      <c r="E63" s="9"/>
      <c r="F63" s="127">
        <f>Invulsheet!D284</f>
        <v>3.4420000000000002</v>
      </c>
      <c r="G63" s="104">
        <f>F63/F62</f>
        <v>0.77487618190004504</v>
      </c>
      <c r="H63" s="15"/>
      <c r="I63" s="15"/>
      <c r="J63" s="15"/>
      <c r="K63" s="15"/>
      <c r="L63" s="15"/>
    </row>
    <row r="64" spans="2:21" ht="18.95" customHeight="1" x14ac:dyDescent="0.3">
      <c r="B64" s="70" t="s">
        <v>65</v>
      </c>
      <c r="C64" s="64"/>
      <c r="D64" s="64"/>
      <c r="E64" s="9"/>
      <c r="F64" s="127">
        <f>Invulsheet!D283</f>
        <v>1</v>
      </c>
      <c r="G64" s="104">
        <f>F64/F62</f>
        <v>0.22512381809995496</v>
      </c>
      <c r="H64" s="15"/>
      <c r="I64" s="15"/>
      <c r="J64" s="15"/>
      <c r="K64" s="15"/>
      <c r="L64" s="15"/>
    </row>
    <row r="65" spans="2:12" ht="27" thickBot="1" x14ac:dyDescent="0.45">
      <c r="B65" s="74" t="s">
        <v>48</v>
      </c>
      <c r="C65" s="86"/>
      <c r="D65" s="86"/>
      <c r="E65" s="87"/>
      <c r="F65" s="126">
        <f>Invulsheet!D300</f>
        <v>25.481165299999997</v>
      </c>
      <c r="G65" s="88"/>
      <c r="H65" s="88"/>
      <c r="I65" s="88"/>
      <c r="J65" s="88"/>
      <c r="K65" s="88"/>
      <c r="L65" s="88"/>
    </row>
    <row r="66" spans="2:12" ht="18.600000000000001" customHeight="1" thickTop="1" x14ac:dyDescent="0.4">
      <c r="B66" s="10"/>
    </row>
    <row r="84" spans="2:7" x14ac:dyDescent="0.25">
      <c r="B84" s="7"/>
      <c r="C84" s="3"/>
      <c r="D84" s="3"/>
      <c r="E84" s="4"/>
      <c r="F84" s="4"/>
      <c r="G84" s="8"/>
    </row>
    <row r="85" spans="2:7" ht="33.75" x14ac:dyDescent="0.5">
      <c r="B85" s="16"/>
    </row>
    <row r="86" spans="2:7" ht="23.25" x14ac:dyDescent="0.35">
      <c r="B86" s="11"/>
    </row>
    <row r="87" spans="2:7" ht="26.25" x14ac:dyDescent="0.4">
      <c r="B87" s="10"/>
      <c r="F87" s="10"/>
    </row>
    <row r="88" spans="2:7" ht="26.25" x14ac:dyDescent="0.4">
      <c r="B88" s="10"/>
      <c r="F88" s="10"/>
    </row>
    <row r="89" spans="2:7" ht="26.25" x14ac:dyDescent="0.4">
      <c r="B89" s="10"/>
      <c r="F89" s="10"/>
    </row>
    <row r="90" spans="2:7" ht="26.25" x14ac:dyDescent="0.4">
      <c r="B90" s="10"/>
      <c r="F90" s="10"/>
    </row>
    <row r="91" spans="2:7" ht="23.25" x14ac:dyDescent="0.35">
      <c r="B91" s="11"/>
    </row>
    <row r="92" spans="2:7" ht="23.25" x14ac:dyDescent="0.35">
      <c r="B92" s="13"/>
    </row>
  </sheetData>
  <mergeCells count="2">
    <mergeCell ref="B7:L7"/>
    <mergeCell ref="N7:U7"/>
  </mergeCells>
  <pageMargins left="0.7" right="0.7" top="0.75" bottom="0.75" header="0.3" footer="0.3"/>
  <pageSetup paperSize="9" scale="33" orientation="landscape" r:id="rId1"/>
  <headerFooter>
    <oddHeader>&amp;C&amp;"-,Bold"&amp;24PMV</oddHeader>
    <oddFooter xml:space="preserve">&amp;C&amp;16&amp;F
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L87"/>
  <sheetViews>
    <sheetView tabSelected="1" zoomScale="55" zoomScaleNormal="55" zoomScalePageLayoutView="85" workbookViewId="0">
      <selection activeCell="N15" sqref="N15"/>
    </sheetView>
  </sheetViews>
  <sheetFormatPr defaultColWidth="15.140625" defaultRowHeight="15" x14ac:dyDescent="0.25"/>
  <cols>
    <col min="1" max="1" width="4" style="1" customWidth="1"/>
    <col min="2" max="2" width="31" style="1" customWidth="1"/>
    <col min="3" max="3" width="15.140625" style="1" customWidth="1"/>
    <col min="4" max="4" width="43.7109375" style="1" customWidth="1"/>
    <col min="5" max="5" width="20.140625" style="1" customWidth="1"/>
    <col min="6" max="9" width="15.140625" style="1"/>
    <col min="10" max="10" width="79.42578125" style="1" customWidth="1"/>
    <col min="11" max="11" width="21.42578125" style="1" bestFit="1" customWidth="1"/>
    <col min="12" max="12" width="2" style="1" customWidth="1"/>
    <col min="13" max="13" width="3" style="1" customWidth="1"/>
    <col min="14" max="16384" width="15.140625" style="1"/>
  </cols>
  <sheetData>
    <row r="3" spans="2:12" x14ac:dyDescent="0.25">
      <c r="B3" s="81"/>
      <c r="C3" s="81"/>
      <c r="D3" s="81"/>
      <c r="E3" s="81"/>
      <c r="H3" s="81"/>
      <c r="I3" s="81"/>
      <c r="J3" s="81"/>
      <c r="K3" s="81"/>
    </row>
    <row r="8" spans="2:12" ht="33.75" x14ac:dyDescent="0.5">
      <c r="B8" s="82" t="s">
        <v>133</v>
      </c>
      <c r="C8" s="76"/>
      <c r="D8" s="76"/>
      <c r="E8" s="76"/>
      <c r="F8" s="76"/>
      <c r="G8" s="76"/>
      <c r="I8" s="82" t="s">
        <v>52</v>
      </c>
      <c r="J8" s="76"/>
      <c r="K8" s="76"/>
      <c r="L8" s="76"/>
    </row>
    <row r="9" spans="2:12" ht="27.75" customHeight="1" x14ac:dyDescent="0.5">
      <c r="B9" s="17"/>
      <c r="C9" s="15"/>
      <c r="D9" s="15"/>
      <c r="E9" s="15"/>
      <c r="F9" s="15"/>
      <c r="G9" s="15"/>
      <c r="I9" s="17"/>
      <c r="J9" s="15"/>
      <c r="K9" s="15"/>
      <c r="L9" s="15"/>
    </row>
    <row r="10" spans="2:12" ht="26.25" x14ac:dyDescent="0.4">
      <c r="B10" s="79" t="s">
        <v>22</v>
      </c>
      <c r="C10" s="78"/>
      <c r="D10" s="78"/>
      <c r="E10" s="78"/>
      <c r="F10" s="78"/>
      <c r="G10" s="78"/>
      <c r="I10" s="80" t="s">
        <v>24</v>
      </c>
      <c r="J10" s="78"/>
      <c r="K10" s="78"/>
      <c r="L10" s="78"/>
    </row>
    <row r="11" spans="2:12" ht="26.25" x14ac:dyDescent="0.4">
      <c r="B11" s="83" t="s">
        <v>0</v>
      </c>
      <c r="C11" s="84"/>
      <c r="D11" s="84"/>
      <c r="E11" s="122">
        <f>Overzicht!D13</f>
        <v>678</v>
      </c>
      <c r="F11" s="84"/>
      <c r="G11" s="72"/>
      <c r="I11" s="83" t="s">
        <v>34</v>
      </c>
      <c r="J11" s="84"/>
      <c r="K11" s="122">
        <f>Overzicht!J13</f>
        <v>6431</v>
      </c>
      <c r="L11" s="72"/>
    </row>
    <row r="12" spans="2:12" ht="26.25" x14ac:dyDescent="0.4">
      <c r="B12" s="66" t="s">
        <v>63</v>
      </c>
      <c r="C12" s="28"/>
      <c r="D12" s="28"/>
      <c r="E12" s="125">
        <f>Overzicht!D17</f>
        <v>48.767000000000003</v>
      </c>
      <c r="F12" s="28"/>
      <c r="G12" s="15"/>
      <c r="I12" s="66" t="s">
        <v>100</v>
      </c>
      <c r="J12" s="28"/>
      <c r="K12" s="125">
        <f>Overzicht!J17</f>
        <v>640.72586592999994</v>
      </c>
      <c r="L12" s="15"/>
    </row>
    <row r="13" spans="2:12" ht="26.25" x14ac:dyDescent="0.4">
      <c r="B13" s="66"/>
      <c r="C13" s="63"/>
      <c r="D13" s="9"/>
      <c r="E13" s="123"/>
      <c r="F13" s="28"/>
      <c r="G13" s="15"/>
      <c r="H13" s="62"/>
      <c r="I13" s="93" t="s">
        <v>97</v>
      </c>
      <c r="J13" s="28"/>
      <c r="K13" s="124">
        <f>K12/K11</f>
        <v>9.9630829720105729E-2</v>
      </c>
      <c r="L13" s="15"/>
    </row>
    <row r="14" spans="2:12" ht="26.25" x14ac:dyDescent="0.4">
      <c r="B14" s="66" t="s">
        <v>47</v>
      </c>
      <c r="C14" s="63"/>
      <c r="D14" s="9"/>
      <c r="E14" s="123">
        <f>Invulsheet!$D$289</f>
        <v>5.3650000000000002</v>
      </c>
      <c r="F14" s="28"/>
      <c r="G14" s="15"/>
      <c r="H14" s="62"/>
      <c r="I14" s="66" t="s">
        <v>101</v>
      </c>
      <c r="J14" s="28"/>
      <c r="K14" s="123">
        <f>Invulsheet!D338</f>
        <v>59.23144400000001</v>
      </c>
      <c r="L14" s="15"/>
    </row>
    <row r="15" spans="2:12" ht="26.25" x14ac:dyDescent="0.4">
      <c r="B15" s="93" t="s">
        <v>140</v>
      </c>
      <c r="C15" s="63"/>
      <c r="D15" s="9"/>
      <c r="E15" s="124">
        <f>Invulsheet!D334</f>
        <v>45</v>
      </c>
      <c r="F15" s="28"/>
      <c r="G15" s="15"/>
      <c r="H15" s="62"/>
      <c r="I15" s="93" t="s">
        <v>135</v>
      </c>
      <c r="J15" s="28"/>
      <c r="K15" s="124">
        <f>Invulsheet!D332</f>
        <v>470</v>
      </c>
      <c r="L15" s="15"/>
    </row>
    <row r="16" spans="2:12" ht="27" thickBot="1" x14ac:dyDescent="0.45">
      <c r="B16" s="74" t="s">
        <v>48</v>
      </c>
      <c r="C16" s="86"/>
      <c r="D16" s="87"/>
      <c r="E16" s="126">
        <f>Invulsheet!$D$301</f>
        <v>0.88635600000000003</v>
      </c>
      <c r="F16" s="89"/>
      <c r="G16" s="88"/>
      <c r="H16" s="62"/>
      <c r="I16" s="94"/>
      <c r="J16" s="89"/>
      <c r="K16" s="95"/>
      <c r="L16" s="88"/>
    </row>
    <row r="17" spans="2:11" ht="27" thickTop="1" x14ac:dyDescent="0.4">
      <c r="B17" s="61"/>
      <c r="C17" s="63"/>
      <c r="D17" s="9"/>
      <c r="E17" s="66"/>
      <c r="H17" s="62"/>
      <c r="I17" s="61"/>
      <c r="J17" s="62"/>
      <c r="K17" s="62"/>
    </row>
    <row r="18" spans="2:11" x14ac:dyDescent="0.25">
      <c r="E18" s="15"/>
      <c r="H18" s="62"/>
      <c r="I18" s="31"/>
      <c r="J18" s="62"/>
      <c r="K18" s="62"/>
    </row>
    <row r="19" spans="2:11" s="6" customFormat="1" x14ac:dyDescent="0.25">
      <c r="B19" s="67"/>
      <c r="C19" s="63"/>
      <c r="D19" s="9"/>
      <c r="E19" s="9"/>
      <c r="F19" s="4"/>
      <c r="G19" s="4"/>
      <c r="H19" s="9"/>
      <c r="I19" s="68"/>
      <c r="J19" s="68"/>
      <c r="K19" s="68"/>
    </row>
    <row r="20" spans="2:11" s="6" customFormat="1" x14ac:dyDescent="0.25">
      <c r="B20" s="67"/>
      <c r="C20" s="63"/>
      <c r="D20" s="9"/>
      <c r="E20" s="9"/>
      <c r="F20" s="4"/>
      <c r="G20" s="4"/>
      <c r="H20" s="9"/>
      <c r="I20" s="68"/>
      <c r="J20" s="68"/>
      <c r="K20" s="68"/>
    </row>
    <row r="21" spans="2:11" s="6" customFormat="1" x14ac:dyDescent="0.25">
      <c r="B21" s="67"/>
      <c r="C21" s="63"/>
      <c r="D21" s="9"/>
      <c r="E21" s="9"/>
      <c r="F21" s="4"/>
      <c r="G21" s="4"/>
      <c r="H21" s="9"/>
      <c r="I21" s="68"/>
      <c r="J21" s="68"/>
      <c r="K21" s="68"/>
    </row>
    <row r="22" spans="2:11" s="6" customFormat="1" x14ac:dyDescent="0.25">
      <c r="B22" s="2"/>
      <c r="C22" s="3"/>
      <c r="D22" s="4"/>
      <c r="E22" s="4"/>
      <c r="F22" s="4"/>
      <c r="G22" s="4"/>
      <c r="H22" s="9"/>
      <c r="I22" s="68"/>
      <c r="J22" s="68"/>
      <c r="K22" s="68"/>
    </row>
    <row r="23" spans="2:11" s="6" customFormat="1" x14ac:dyDescent="0.25">
      <c r="B23" s="2"/>
      <c r="C23" s="3"/>
      <c r="D23" s="4"/>
      <c r="E23" s="4"/>
      <c r="F23" s="4"/>
      <c r="G23" s="4"/>
      <c r="H23" s="9"/>
      <c r="I23" s="68"/>
      <c r="J23" s="68"/>
      <c r="K23" s="68"/>
    </row>
    <row r="24" spans="2:11" s="6" customFormat="1" x14ac:dyDescent="0.25">
      <c r="B24" s="67"/>
      <c r="C24" s="63"/>
      <c r="D24" s="9"/>
      <c r="E24" s="9"/>
      <c r="F24" s="4"/>
      <c r="G24" s="4"/>
      <c r="H24" s="9"/>
      <c r="I24" s="68"/>
      <c r="J24" s="68"/>
      <c r="K24" s="68"/>
    </row>
    <row r="25" spans="2:11" s="6" customFormat="1" x14ac:dyDescent="0.25">
      <c r="B25" s="67"/>
      <c r="C25" s="63"/>
      <c r="D25" s="9"/>
      <c r="E25" s="9"/>
      <c r="F25" s="4"/>
      <c r="G25" s="4"/>
      <c r="H25" s="9"/>
      <c r="I25" s="68"/>
      <c r="J25" s="68"/>
      <c r="K25" s="68"/>
    </row>
    <row r="26" spans="2:11" s="6" customFormat="1" x14ac:dyDescent="0.25">
      <c r="B26" s="67"/>
      <c r="C26" s="63"/>
      <c r="D26" s="9"/>
      <c r="E26" s="9"/>
      <c r="F26" s="4"/>
      <c r="G26" s="4"/>
      <c r="H26" s="9"/>
      <c r="I26" s="68"/>
      <c r="J26" s="68"/>
      <c r="K26" s="68"/>
    </row>
    <row r="27" spans="2:11" s="6" customFormat="1" x14ac:dyDescent="0.25">
      <c r="B27" s="67"/>
      <c r="C27" s="63"/>
      <c r="D27" s="9"/>
      <c r="E27" s="9"/>
      <c r="F27" s="4"/>
      <c r="G27" s="4"/>
      <c r="H27" s="4"/>
    </row>
    <row r="28" spans="2:11" s="6" customFormat="1" x14ac:dyDescent="0.25">
      <c r="B28" s="2"/>
      <c r="C28" s="3"/>
      <c r="D28" s="4"/>
      <c r="E28" s="4"/>
      <c r="F28" s="4"/>
      <c r="G28" s="4"/>
      <c r="H28" s="4"/>
    </row>
    <row r="39" spans="2:12" ht="26.25" x14ac:dyDescent="0.4">
      <c r="B39" s="12"/>
      <c r="I39" s="80" t="s">
        <v>25</v>
      </c>
      <c r="J39" s="78"/>
      <c r="K39" s="78"/>
      <c r="L39" s="79"/>
    </row>
    <row r="40" spans="2:12" ht="26.25" x14ac:dyDescent="0.4">
      <c r="B40" s="10"/>
      <c r="E40" s="10"/>
      <c r="I40" s="83" t="s">
        <v>8</v>
      </c>
      <c r="J40" s="84"/>
      <c r="K40" s="122">
        <f>Overzicht!J14</f>
        <v>12453</v>
      </c>
      <c r="L40" s="92"/>
    </row>
    <row r="41" spans="2:12" ht="26.25" x14ac:dyDescent="0.4">
      <c r="B41" s="10"/>
      <c r="E41" s="10"/>
      <c r="I41" s="66" t="s">
        <v>98</v>
      </c>
      <c r="J41" s="28"/>
      <c r="K41" s="123">
        <f>Invulsheet!E316</f>
        <v>325.63600000000002</v>
      </c>
      <c r="L41" s="14"/>
    </row>
    <row r="42" spans="2:12" ht="26.25" x14ac:dyDescent="0.4">
      <c r="B42" s="10"/>
      <c r="E42" s="10"/>
      <c r="I42" s="93" t="s">
        <v>33</v>
      </c>
      <c r="J42" s="96"/>
      <c r="K42" s="124">
        <f>K41/K40*1000000</f>
        <v>26149.200995743999</v>
      </c>
      <c r="L42" s="14"/>
    </row>
    <row r="43" spans="2:12" ht="26.25" x14ac:dyDescent="0.4">
      <c r="B43" s="10"/>
      <c r="E43" s="10"/>
      <c r="I43" s="66" t="s">
        <v>99</v>
      </c>
      <c r="J43" s="28"/>
      <c r="K43" s="123">
        <f>Invulsheet!D339</f>
        <v>12.968000000000018</v>
      </c>
      <c r="L43" s="14"/>
    </row>
    <row r="44" spans="2:12" ht="27" thickBot="1" x14ac:dyDescent="0.45">
      <c r="B44" s="10"/>
      <c r="E44" s="10"/>
      <c r="I44" s="94" t="s">
        <v>135</v>
      </c>
      <c r="J44" s="89"/>
      <c r="K44" s="126">
        <f>Invulsheet!D333</f>
        <v>572</v>
      </c>
      <c r="L44" s="75"/>
    </row>
    <row r="45" spans="2:12" ht="27" thickTop="1" x14ac:dyDescent="0.4">
      <c r="I45" s="10"/>
      <c r="L45" s="10"/>
    </row>
    <row r="86" spans="2:5" ht="26.25" x14ac:dyDescent="0.4">
      <c r="B86" s="10"/>
      <c r="E86" s="10"/>
    </row>
    <row r="87" spans="2:5" ht="17.100000000000001" customHeight="1" x14ac:dyDescent="0.4">
      <c r="B87" s="10"/>
      <c r="E87" s="10"/>
    </row>
  </sheetData>
  <pageMargins left="0.7" right="0.7" top="0.75" bottom="0.75" header="0.3" footer="0.3"/>
  <pageSetup paperSize="9" scale="46" orientation="landscape" r:id="rId1"/>
  <headerFooter>
    <oddHeader>&amp;C&amp;"-,Bold"&amp;24PMV/Z</oddHeader>
    <oddFooter xml:space="preserve">&amp;C&amp;16&amp;F
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K340"/>
  <sheetViews>
    <sheetView topLeftCell="A172" zoomScale="130" zoomScaleNormal="130" workbookViewId="0">
      <selection activeCell="C228" sqref="C228:D235"/>
    </sheetView>
  </sheetViews>
  <sheetFormatPr defaultRowHeight="15" x14ac:dyDescent="0.25"/>
  <cols>
    <col min="3" max="3" width="46.7109375" customWidth="1"/>
    <col min="4" max="4" width="23" customWidth="1"/>
    <col min="5" max="5" width="15.85546875" bestFit="1" customWidth="1"/>
    <col min="6" max="6" width="16.85546875" customWidth="1"/>
    <col min="9" max="9" width="30.140625" bestFit="1" customWidth="1"/>
    <col min="10" max="10" width="13.85546875" bestFit="1" customWidth="1"/>
  </cols>
  <sheetData>
    <row r="2" spans="1:11" x14ac:dyDescent="0.25">
      <c r="A2" s="20" t="s">
        <v>70</v>
      </c>
      <c r="D2" s="40" t="s">
        <v>17</v>
      </c>
    </row>
    <row r="3" spans="1:11" x14ac:dyDescent="0.25">
      <c r="D3" s="30"/>
    </row>
    <row r="4" spans="1:11" x14ac:dyDescent="0.25">
      <c r="C4" t="s">
        <v>197</v>
      </c>
      <c r="D4" s="43">
        <v>74.851644074700005</v>
      </c>
    </row>
    <row r="5" spans="1:11" x14ac:dyDescent="0.25">
      <c r="C5" t="s">
        <v>73</v>
      </c>
      <c r="D5" s="43">
        <v>38.609230369999999</v>
      </c>
    </row>
    <row r="6" spans="1:11" x14ac:dyDescent="0.25">
      <c r="C6" t="s">
        <v>72</v>
      </c>
      <c r="D6" s="43">
        <v>23.190992949999998</v>
      </c>
    </row>
    <row r="7" spans="1:11" x14ac:dyDescent="0.25">
      <c r="C7" t="s">
        <v>166</v>
      </c>
      <c r="D7" s="43">
        <v>19.336173250000002</v>
      </c>
    </row>
    <row r="8" spans="1:11" x14ac:dyDescent="0.25">
      <c r="C8" s="41" t="s">
        <v>167</v>
      </c>
      <c r="D8" s="43">
        <v>17.171790590000001</v>
      </c>
    </row>
    <row r="9" spans="1:11" x14ac:dyDescent="0.25">
      <c r="C9" s="31" t="s">
        <v>168</v>
      </c>
      <c r="D9" s="43">
        <v>10.922854490000001</v>
      </c>
    </row>
    <row r="10" spans="1:11" s="41" customFormat="1" x14ac:dyDescent="0.25">
      <c r="C10" s="41" t="s">
        <v>169</v>
      </c>
      <c r="D10" s="43">
        <v>10.914489609999999</v>
      </c>
    </row>
    <row r="11" spans="1:11" s="41" customFormat="1" x14ac:dyDescent="0.25">
      <c r="C11" s="41" t="s">
        <v>170</v>
      </c>
      <c r="D11" s="43">
        <v>10.27017319</v>
      </c>
    </row>
    <row r="12" spans="1:11" s="41" customFormat="1" x14ac:dyDescent="0.25">
      <c r="C12" s="41" t="s">
        <v>171</v>
      </c>
      <c r="D12" s="43">
        <v>7.7</v>
      </c>
      <c r="E12" s="30"/>
      <c r="K12" s="30"/>
    </row>
    <row r="13" spans="1:11" s="41" customFormat="1" x14ac:dyDescent="0.25">
      <c r="B13" s="31"/>
      <c r="C13" s="31" t="s">
        <v>172</v>
      </c>
      <c r="D13" s="65">
        <v>6.52</v>
      </c>
      <c r="E13" s="31"/>
      <c r="H13" s="31"/>
      <c r="I13" s="31"/>
      <c r="J13" s="31"/>
      <c r="K13" s="31"/>
    </row>
    <row r="14" spans="1:11" s="41" customFormat="1" x14ac:dyDescent="0.25">
      <c r="B14" s="31"/>
      <c r="C14" s="31" t="s">
        <v>173</v>
      </c>
      <c r="D14" s="65">
        <v>6.0042662300000007</v>
      </c>
      <c r="E14" s="31"/>
      <c r="H14" s="31"/>
      <c r="I14" s="31"/>
      <c r="J14" s="31"/>
      <c r="K14" s="31"/>
    </row>
    <row r="15" spans="1:11" s="41" customFormat="1" x14ac:dyDescent="0.25">
      <c r="B15" s="31"/>
      <c r="C15" s="31" t="s">
        <v>157</v>
      </c>
      <c r="D15" s="65">
        <v>5.9642820800000003</v>
      </c>
      <c r="E15" s="31"/>
      <c r="H15" s="31"/>
      <c r="I15" s="31"/>
      <c r="J15" s="31"/>
      <c r="K15" s="31"/>
    </row>
    <row r="16" spans="1:11" s="41" customFormat="1" x14ac:dyDescent="0.25">
      <c r="B16" s="31"/>
      <c r="C16" s="31" t="s">
        <v>77</v>
      </c>
      <c r="D16" s="65">
        <v>32.307484434400003</v>
      </c>
      <c r="E16" s="31"/>
      <c r="H16" s="31"/>
      <c r="I16" s="31"/>
      <c r="J16" s="31"/>
      <c r="K16" s="31"/>
    </row>
    <row r="17" spans="2:11" s="41" customFormat="1" x14ac:dyDescent="0.25">
      <c r="B17" s="31"/>
      <c r="C17" s="31"/>
      <c r="D17" s="65"/>
      <c r="E17" s="31"/>
      <c r="H17" s="31"/>
      <c r="I17" s="31"/>
      <c r="J17" s="31"/>
      <c r="K17" s="31"/>
    </row>
    <row r="18" spans="2:11" s="41" customFormat="1" x14ac:dyDescent="0.25">
      <c r="B18" s="31"/>
      <c r="C18" s="106" t="s">
        <v>197</v>
      </c>
      <c r="D18" s="101">
        <v>74.851644074700005</v>
      </c>
      <c r="E18" s="31">
        <f>1000000</f>
        <v>1000000</v>
      </c>
      <c r="H18" s="31"/>
      <c r="I18" s="31"/>
      <c r="J18" s="31"/>
      <c r="K18" s="31"/>
    </row>
    <row r="19" spans="2:11" s="41" customFormat="1" x14ac:dyDescent="0.25">
      <c r="B19" s="31"/>
      <c r="C19" s="106" t="s">
        <v>73</v>
      </c>
      <c r="D19" s="101">
        <f>38609230.37/(1000000)</f>
        <v>38.609230369999999</v>
      </c>
      <c r="E19" s="31"/>
      <c r="H19" s="31"/>
      <c r="I19" s="31"/>
      <c r="J19" s="31"/>
      <c r="K19" s="31"/>
    </row>
    <row r="20" spans="2:11" s="41" customFormat="1" x14ac:dyDescent="0.25">
      <c r="B20" s="31"/>
      <c r="C20" s="106" t="s">
        <v>72</v>
      </c>
      <c r="D20" s="101">
        <f>23190992.95/(1000000)</f>
        <v>23.190992949999998</v>
      </c>
      <c r="E20" s="31"/>
      <c r="H20" s="31"/>
      <c r="I20" s="31"/>
      <c r="J20" s="31"/>
      <c r="K20" s="31"/>
    </row>
    <row r="21" spans="2:11" s="41" customFormat="1" x14ac:dyDescent="0.25">
      <c r="B21" s="31"/>
      <c r="C21" s="106" t="s">
        <v>166</v>
      </c>
      <c r="D21" s="101">
        <f>19336173.25/(1000000)</f>
        <v>19.336173250000002</v>
      </c>
      <c r="E21" s="31"/>
      <c r="H21" s="31"/>
      <c r="I21" s="31"/>
      <c r="J21" s="31"/>
      <c r="K21" s="31"/>
    </row>
    <row r="22" spans="2:11" s="41" customFormat="1" x14ac:dyDescent="0.25">
      <c r="B22" s="31"/>
      <c r="C22" s="106" t="s">
        <v>167</v>
      </c>
      <c r="D22" s="101">
        <f>17171790.59/(1000000)</f>
        <v>17.171790590000001</v>
      </c>
      <c r="E22" s="31"/>
      <c r="H22" s="31"/>
      <c r="I22" s="31"/>
      <c r="J22" s="31"/>
      <c r="K22" s="31"/>
    </row>
    <row r="23" spans="2:11" s="41" customFormat="1" x14ac:dyDescent="0.25">
      <c r="B23" s="31"/>
      <c r="C23" s="106" t="s">
        <v>168</v>
      </c>
      <c r="D23" s="101">
        <f>10922854.49/(1000000)</f>
        <v>10.922854490000001</v>
      </c>
      <c r="E23" s="31"/>
      <c r="H23" s="31"/>
      <c r="I23" s="31"/>
      <c r="J23" s="31"/>
      <c r="K23" s="31"/>
    </row>
    <row r="24" spans="2:11" s="41" customFormat="1" x14ac:dyDescent="0.25">
      <c r="B24" s="31"/>
      <c r="C24" s="106" t="s">
        <v>169</v>
      </c>
      <c r="D24" s="101">
        <f>10914489.61/(1000000)</f>
        <v>10.914489609999999</v>
      </c>
      <c r="E24" s="31"/>
      <c r="H24" s="31"/>
      <c r="I24" s="31"/>
      <c r="J24" s="31"/>
      <c r="K24" s="31"/>
    </row>
    <row r="25" spans="2:11" s="41" customFormat="1" x14ac:dyDescent="0.25">
      <c r="B25" s="31"/>
      <c r="C25" s="106" t="s">
        <v>170</v>
      </c>
      <c r="D25" s="101">
        <f>10270173.19/(1000000)</f>
        <v>10.27017319</v>
      </c>
      <c r="E25" s="31"/>
      <c r="H25" s="31"/>
      <c r="I25" s="31"/>
      <c r="J25" s="31"/>
      <c r="K25" s="31"/>
    </row>
    <row r="26" spans="2:11" s="41" customFormat="1" x14ac:dyDescent="0.25">
      <c r="B26" s="31"/>
      <c r="C26" s="106" t="s">
        <v>171</v>
      </c>
      <c r="D26" s="101">
        <f>7700000/(1000000)</f>
        <v>7.7</v>
      </c>
      <c r="E26" s="31"/>
      <c r="H26" s="31"/>
      <c r="I26" s="31"/>
      <c r="J26" s="31"/>
      <c r="K26" s="31"/>
    </row>
    <row r="27" spans="2:11" s="41" customFormat="1" x14ac:dyDescent="0.25">
      <c r="B27" s="31"/>
      <c r="C27" s="106" t="s">
        <v>172</v>
      </c>
      <c r="D27" s="101">
        <f>6520000/(1000000)</f>
        <v>6.52</v>
      </c>
      <c r="E27" s="31"/>
      <c r="H27" s="31"/>
      <c r="I27" s="31"/>
      <c r="J27" s="31"/>
      <c r="K27" s="31"/>
    </row>
    <row r="28" spans="2:11" s="41" customFormat="1" x14ac:dyDescent="0.25">
      <c r="B28" s="31"/>
      <c r="C28" s="106" t="s">
        <v>173</v>
      </c>
      <c r="D28" s="101">
        <f>6004266.23/(1000000)</f>
        <v>6.0042662300000007</v>
      </c>
      <c r="E28" s="31"/>
      <c r="H28" s="31"/>
      <c r="I28" s="31"/>
      <c r="J28" s="31"/>
      <c r="K28" s="31"/>
    </row>
    <row r="29" spans="2:11" s="41" customFormat="1" x14ac:dyDescent="0.25">
      <c r="B29" s="31"/>
      <c r="C29" s="106" t="s">
        <v>157</v>
      </c>
      <c r="D29" s="101">
        <f>5964282.08/(1000000)</f>
        <v>5.9642820800000003</v>
      </c>
      <c r="E29" s="31"/>
      <c r="H29" s="31"/>
      <c r="I29" s="31"/>
      <c r="J29" s="31"/>
      <c r="K29" s="31"/>
    </row>
    <row r="30" spans="2:11" s="41" customFormat="1" x14ac:dyDescent="0.25">
      <c r="B30" s="31"/>
      <c r="C30" s="106" t="s">
        <v>77</v>
      </c>
      <c r="D30" s="101">
        <f>SUM(D32:D56)</f>
        <v>32.307484434400003</v>
      </c>
      <c r="E30" s="31"/>
      <c r="H30" s="31"/>
      <c r="I30" s="31"/>
      <c r="J30" s="31"/>
      <c r="K30" s="31"/>
    </row>
    <row r="31" spans="2:11" s="41" customFormat="1" x14ac:dyDescent="0.25">
      <c r="B31" s="31"/>
      <c r="C31" s="106"/>
      <c r="D31" s="101"/>
      <c r="E31" s="31"/>
      <c r="H31" s="31"/>
      <c r="I31" s="31"/>
      <c r="J31" s="31"/>
      <c r="K31" s="31"/>
    </row>
    <row r="32" spans="2:11" s="41" customFormat="1" x14ac:dyDescent="0.25">
      <c r="B32" s="31"/>
      <c r="C32" s="106" t="s">
        <v>174</v>
      </c>
      <c r="D32" s="101">
        <f>3606157.6982/(1000000)</f>
        <v>3.6061576982000001</v>
      </c>
      <c r="E32" s="31"/>
      <c r="H32" s="31"/>
      <c r="I32" s="31"/>
      <c r="J32" s="31"/>
      <c r="K32" s="31"/>
    </row>
    <row r="33" spans="2:11" s="41" customFormat="1" x14ac:dyDescent="0.25">
      <c r="B33" s="31"/>
      <c r="C33" s="106" t="s">
        <v>146</v>
      </c>
      <c r="D33" s="101">
        <f>3009680.5/(1000000)</f>
        <v>3.0096805</v>
      </c>
      <c r="E33" s="31"/>
      <c r="H33" s="31"/>
      <c r="I33" s="31"/>
      <c r="J33" s="31"/>
      <c r="K33" s="31"/>
    </row>
    <row r="34" spans="2:11" s="41" customFormat="1" x14ac:dyDescent="0.25">
      <c r="B34" s="31"/>
      <c r="C34" s="106" t="s">
        <v>175</v>
      </c>
      <c r="D34" s="101">
        <f>2960000/(1000000)</f>
        <v>2.96</v>
      </c>
      <c r="E34" s="31"/>
      <c r="H34" s="31"/>
      <c r="I34" s="31"/>
      <c r="J34" s="31"/>
      <c r="K34" s="31"/>
    </row>
    <row r="35" spans="2:11" s="41" customFormat="1" x14ac:dyDescent="0.25">
      <c r="B35" s="31"/>
      <c r="C35" s="106" t="s">
        <v>176</v>
      </c>
      <c r="D35" s="101">
        <f>2659144.0862/(1000000)</f>
        <v>2.6591440862</v>
      </c>
      <c r="E35" s="31"/>
      <c r="H35" s="31"/>
      <c r="I35" s="31"/>
      <c r="J35" s="31"/>
      <c r="K35" s="31"/>
    </row>
    <row r="36" spans="2:11" s="41" customFormat="1" x14ac:dyDescent="0.25">
      <c r="B36" s="31"/>
      <c r="C36" s="106" t="s">
        <v>177</v>
      </c>
      <c r="D36" s="101">
        <f>2630027.91/(1000000)</f>
        <v>2.6300279100000004</v>
      </c>
      <c r="E36" s="31"/>
      <c r="H36" s="31"/>
      <c r="I36" s="31"/>
      <c r="J36" s="31"/>
      <c r="K36" s="31"/>
    </row>
    <row r="37" spans="2:11" s="41" customFormat="1" x14ac:dyDescent="0.25">
      <c r="B37" s="31"/>
      <c r="C37" s="106" t="s">
        <v>178</v>
      </c>
      <c r="D37" s="101">
        <f>2502201.23/(1000000)</f>
        <v>2.5022012299999998</v>
      </c>
      <c r="E37" s="31"/>
      <c r="H37" s="31"/>
      <c r="I37" s="31"/>
      <c r="J37" s="31"/>
      <c r="K37" s="31"/>
    </row>
    <row r="38" spans="2:11" s="41" customFormat="1" x14ac:dyDescent="0.25">
      <c r="B38" s="31"/>
      <c r="C38" s="106" t="s">
        <v>179</v>
      </c>
      <c r="D38" s="101">
        <f>2355475.21/(1000000)</f>
        <v>2.3554752099999998</v>
      </c>
      <c r="E38" s="31"/>
      <c r="H38" s="31"/>
      <c r="I38" s="31"/>
      <c r="J38" s="31"/>
      <c r="K38" s="31"/>
    </row>
    <row r="39" spans="2:11" s="41" customFormat="1" x14ac:dyDescent="0.25">
      <c r="B39" s="31"/>
      <c r="C39" s="106" t="s">
        <v>180</v>
      </c>
      <c r="D39" s="101">
        <f>1750415.89/(1000000)</f>
        <v>1.75041589</v>
      </c>
      <c r="E39" s="31"/>
      <c r="H39" s="31"/>
      <c r="I39" s="31"/>
      <c r="J39" s="31"/>
      <c r="K39" s="31"/>
    </row>
    <row r="40" spans="2:11" s="41" customFormat="1" x14ac:dyDescent="0.25">
      <c r="B40" s="31"/>
      <c r="C40" s="106" t="s">
        <v>181</v>
      </c>
      <c r="D40" s="101">
        <f>1750000/(1000000)</f>
        <v>1.75</v>
      </c>
      <c r="E40" s="31"/>
      <c r="H40" s="31"/>
      <c r="I40" s="31"/>
      <c r="J40" s="31"/>
      <c r="K40" s="31"/>
    </row>
    <row r="41" spans="2:11" s="41" customFormat="1" x14ac:dyDescent="0.25">
      <c r="B41" s="31"/>
      <c r="C41" s="106" t="s">
        <v>182</v>
      </c>
      <c r="D41" s="101">
        <f>1600000/(1000000)</f>
        <v>1.6</v>
      </c>
      <c r="E41" s="31"/>
      <c r="H41" s="31"/>
      <c r="I41" s="31"/>
      <c r="J41" s="31"/>
      <c r="K41" s="31"/>
    </row>
    <row r="42" spans="2:11" s="41" customFormat="1" x14ac:dyDescent="0.25">
      <c r="B42" s="31"/>
      <c r="C42" s="106" t="s">
        <v>75</v>
      </c>
      <c r="D42" s="101">
        <f>1500000/(1000000)</f>
        <v>1.5</v>
      </c>
      <c r="E42" s="31"/>
      <c r="H42" s="31"/>
      <c r="I42" s="31"/>
      <c r="J42" s="31"/>
      <c r="K42" s="31"/>
    </row>
    <row r="43" spans="2:11" s="41" customFormat="1" x14ac:dyDescent="0.25">
      <c r="C43" s="106" t="s">
        <v>183</v>
      </c>
      <c r="D43" s="101">
        <f>1287943.69/(1000000)</f>
        <v>1.2879436899999999</v>
      </c>
      <c r="H43" s="31"/>
      <c r="I43" s="31"/>
      <c r="J43" s="31"/>
      <c r="K43" s="31"/>
    </row>
    <row r="44" spans="2:11" s="41" customFormat="1" x14ac:dyDescent="0.25">
      <c r="B44" s="31"/>
      <c r="C44" s="106" t="s">
        <v>184</v>
      </c>
      <c r="D44" s="101">
        <f>966507.57/(1000000)</f>
        <v>0.96650756999999998</v>
      </c>
      <c r="E44" s="31"/>
      <c r="H44" s="31"/>
      <c r="I44" s="31"/>
      <c r="J44" s="31"/>
      <c r="K44" s="31"/>
    </row>
    <row r="45" spans="2:11" s="41" customFormat="1" x14ac:dyDescent="0.25">
      <c r="B45" s="31"/>
      <c r="C45" s="106" t="s">
        <v>185</v>
      </c>
      <c r="D45" s="101">
        <f>762843/(1000000)</f>
        <v>0.76284300000000005</v>
      </c>
      <c r="E45" s="31"/>
      <c r="H45" s="31"/>
      <c r="I45" s="31"/>
      <c r="J45" s="31"/>
      <c r="K45" s="31"/>
    </row>
    <row r="46" spans="2:11" s="41" customFormat="1" x14ac:dyDescent="0.25">
      <c r="B46" s="31"/>
      <c r="C46" s="106" t="s">
        <v>186</v>
      </c>
      <c r="D46" s="101">
        <f>750000/(1000000)</f>
        <v>0.75</v>
      </c>
      <c r="E46" s="31"/>
      <c r="H46" s="31"/>
      <c r="I46" s="31"/>
      <c r="J46" s="31"/>
      <c r="K46" s="31"/>
    </row>
    <row r="47" spans="2:11" s="41" customFormat="1" x14ac:dyDescent="0.25">
      <c r="C47" s="106" t="s">
        <v>187</v>
      </c>
      <c r="D47" s="101">
        <f>666662.92/(1000000)</f>
        <v>0.66666292000000005</v>
      </c>
      <c r="H47" s="31"/>
      <c r="I47" s="31"/>
      <c r="J47" s="31"/>
      <c r="K47" s="31"/>
    </row>
    <row r="48" spans="2:11" s="41" customFormat="1" x14ac:dyDescent="0.25">
      <c r="B48" s="31"/>
      <c r="C48" s="106" t="s">
        <v>188</v>
      </c>
      <c r="D48" s="101">
        <f>427570.55/(1000000)</f>
        <v>0.42757054999999999</v>
      </c>
      <c r="E48" s="31"/>
      <c r="H48" s="31"/>
      <c r="I48" s="31"/>
      <c r="J48" s="31"/>
      <c r="K48" s="31"/>
    </row>
    <row r="49" spans="1:11" s="41" customFormat="1" x14ac:dyDescent="0.25">
      <c r="B49" s="31"/>
      <c r="C49" s="106" t="s">
        <v>189</v>
      </c>
      <c r="D49" s="101">
        <f>280800.29/(1000000)</f>
        <v>0.28080028999999995</v>
      </c>
      <c r="E49" s="31"/>
      <c r="H49" s="31"/>
      <c r="I49" s="31"/>
      <c r="J49" s="31"/>
      <c r="K49" s="31"/>
    </row>
    <row r="50" spans="1:11" s="41" customFormat="1" x14ac:dyDescent="0.25">
      <c r="B50" s="31"/>
      <c r="C50" s="106" t="s">
        <v>190</v>
      </c>
      <c r="D50" s="101">
        <f>265000/(1000000)</f>
        <v>0.26500000000000001</v>
      </c>
      <c r="E50" s="31"/>
      <c r="H50" s="31"/>
      <c r="I50" s="31"/>
      <c r="J50" s="31"/>
      <c r="K50" s="31"/>
    </row>
    <row r="51" spans="1:11" s="41" customFormat="1" x14ac:dyDescent="0.25">
      <c r="B51" s="31"/>
      <c r="C51" s="106" t="s">
        <v>191</v>
      </c>
      <c r="D51" s="101">
        <f>202262.69/(1000000)</f>
        <v>0.20226268999999999</v>
      </c>
      <c r="E51" s="31"/>
    </row>
    <row r="52" spans="1:11" s="41" customFormat="1" x14ac:dyDescent="0.25">
      <c r="C52" s="106" t="s">
        <v>192</v>
      </c>
      <c r="D52" s="101">
        <f>200000/(1000000)</f>
        <v>0.2</v>
      </c>
    </row>
    <row r="53" spans="1:11" s="41" customFormat="1" x14ac:dyDescent="0.25">
      <c r="C53" s="106" t="s">
        <v>193</v>
      </c>
      <c r="D53" s="101">
        <f>111130.02/(1000000)</f>
        <v>0.11113002000000001</v>
      </c>
    </row>
    <row r="54" spans="1:11" s="41" customFormat="1" x14ac:dyDescent="0.25">
      <c r="C54" s="106" t="s">
        <v>194</v>
      </c>
      <c r="D54" s="101">
        <f>39269.99/(1000000)</f>
        <v>3.9269989999999998E-2</v>
      </c>
    </row>
    <row r="55" spans="1:11" s="41" customFormat="1" x14ac:dyDescent="0.25">
      <c r="C55" s="106" t="s">
        <v>195</v>
      </c>
      <c r="D55" s="101">
        <f>23891.19/(1000000)</f>
        <v>2.389119E-2</v>
      </c>
    </row>
    <row r="56" spans="1:11" x14ac:dyDescent="0.25">
      <c r="C56" s="106" t="s">
        <v>196</v>
      </c>
      <c r="D56" s="101">
        <f>500/(1000000)</f>
        <v>5.0000000000000001E-4</v>
      </c>
    </row>
    <row r="57" spans="1:11" s="41" customFormat="1" x14ac:dyDescent="0.25">
      <c r="C57" s="107"/>
      <c r="D57" s="108">
        <f>SUM(D18:D56)-D30</f>
        <v>263.76338126909997</v>
      </c>
    </row>
    <row r="59" spans="1:11" x14ac:dyDescent="0.25">
      <c r="A59" s="20" t="s">
        <v>71</v>
      </c>
      <c r="D59">
        <v>258.60000000000002</v>
      </c>
      <c r="E59" s="43">
        <f>D59-D55</f>
        <v>258.57610881000005</v>
      </c>
    </row>
    <row r="62" spans="1:11" x14ac:dyDescent="0.25">
      <c r="C62" s="41" t="s">
        <v>67</v>
      </c>
      <c r="D62" s="27">
        <v>32.804000000000002</v>
      </c>
    </row>
    <row r="63" spans="1:11" x14ac:dyDescent="0.25">
      <c r="C63" s="41" t="s">
        <v>69</v>
      </c>
      <c r="D63" s="27">
        <v>67.712999999999994</v>
      </c>
    </row>
    <row r="64" spans="1:11" x14ac:dyDescent="0.25">
      <c r="C64" s="41" t="s">
        <v>68</v>
      </c>
      <c r="D64" s="27">
        <v>57.984000000000002</v>
      </c>
    </row>
    <row r="65" spans="1:5" x14ac:dyDescent="0.25">
      <c r="C65" s="41" t="s">
        <v>164</v>
      </c>
      <c r="D65" s="27">
        <v>37.765000000000001</v>
      </c>
    </row>
    <row r="66" spans="1:5" s="41" customFormat="1" x14ac:dyDescent="0.25">
      <c r="C66" s="41" t="s">
        <v>165</v>
      </c>
      <c r="D66" s="27">
        <v>66.828000000000003</v>
      </c>
    </row>
    <row r="67" spans="1:5" x14ac:dyDescent="0.25">
      <c r="C67" s="24" t="s">
        <v>40</v>
      </c>
      <c r="D67" s="26">
        <f>SUM(D62:D66)</f>
        <v>263.09400000000005</v>
      </c>
    </row>
    <row r="73" spans="1:5" x14ac:dyDescent="0.25">
      <c r="A73" s="20" t="s">
        <v>79</v>
      </c>
    </row>
    <row r="74" spans="1:5" s="41" customFormat="1" x14ac:dyDescent="0.25">
      <c r="C74" s="41" t="s">
        <v>78</v>
      </c>
    </row>
    <row r="75" spans="1:5" s="41" customFormat="1" x14ac:dyDescent="0.25">
      <c r="C75" s="42" t="s">
        <v>4</v>
      </c>
      <c r="D75" s="98">
        <v>108.664</v>
      </c>
      <c r="E75" s="41">
        <v>1000000</v>
      </c>
    </row>
    <row r="76" spans="1:5" s="41" customFormat="1" x14ac:dyDescent="0.25">
      <c r="C76" s="42" t="s">
        <v>86</v>
      </c>
      <c r="D76" s="98">
        <v>155.07900000000001</v>
      </c>
    </row>
    <row r="77" spans="1:5" s="41" customFormat="1" x14ac:dyDescent="0.25">
      <c r="D77" s="26">
        <f>SUM(D75:D76)</f>
        <v>263.74299999999999</v>
      </c>
    </row>
    <row r="78" spans="1:5" s="41" customFormat="1" x14ac:dyDescent="0.25"/>
    <row r="79" spans="1:5" s="41" customFormat="1" x14ac:dyDescent="0.25"/>
    <row r="80" spans="1:5" s="41" customFormat="1" x14ac:dyDescent="0.25"/>
    <row r="81" spans="1:1" s="41" customFormat="1" x14ac:dyDescent="0.25"/>
    <row r="82" spans="1:1" s="41" customFormat="1" x14ac:dyDescent="0.25"/>
    <row r="83" spans="1:1" s="41" customFormat="1" x14ac:dyDescent="0.25"/>
    <row r="84" spans="1:1" s="41" customFormat="1" x14ac:dyDescent="0.25"/>
    <row r="85" spans="1:1" s="41" customFormat="1" x14ac:dyDescent="0.25"/>
    <row r="86" spans="1:1" s="41" customFormat="1" x14ac:dyDescent="0.25"/>
    <row r="87" spans="1:1" s="41" customFormat="1" x14ac:dyDescent="0.25"/>
    <row r="88" spans="1:1" s="41" customFormat="1" x14ac:dyDescent="0.25"/>
    <row r="89" spans="1:1" s="41" customFormat="1" x14ac:dyDescent="0.25"/>
    <row r="90" spans="1:1" s="41" customFormat="1" x14ac:dyDescent="0.25"/>
    <row r="91" spans="1:1" s="41" customFormat="1" x14ac:dyDescent="0.25">
      <c r="A91" s="20" t="s">
        <v>84</v>
      </c>
    </row>
    <row r="92" spans="1:1" s="41" customFormat="1" x14ac:dyDescent="0.25"/>
    <row r="93" spans="1:1" s="41" customFormat="1" x14ac:dyDescent="0.25"/>
    <row r="98" spans="1:5" x14ac:dyDescent="0.25">
      <c r="C98" s="99" t="s">
        <v>82</v>
      </c>
      <c r="D98" s="40" t="s">
        <v>83</v>
      </c>
    </row>
    <row r="99" spans="1:5" x14ac:dyDescent="0.25">
      <c r="C99" t="s">
        <v>200</v>
      </c>
      <c r="D99" s="97">
        <v>64.725999999999999</v>
      </c>
    </row>
    <row r="100" spans="1:5" x14ac:dyDescent="0.25">
      <c r="C100" t="s">
        <v>199</v>
      </c>
      <c r="D100" s="97">
        <v>54.606999999999999</v>
      </c>
      <c r="E100">
        <v>1000000</v>
      </c>
    </row>
    <row r="101" spans="1:5" x14ac:dyDescent="0.25">
      <c r="C101" t="s">
        <v>202</v>
      </c>
      <c r="D101" s="97">
        <v>19.463999999999999</v>
      </c>
    </row>
    <row r="102" spans="1:5" x14ac:dyDescent="0.25">
      <c r="C102" t="s">
        <v>201</v>
      </c>
      <c r="D102" s="97">
        <f>14.573</f>
        <v>14.573</v>
      </c>
    </row>
    <row r="103" spans="1:5" x14ac:dyDescent="0.25">
      <c r="C103" t="s">
        <v>203</v>
      </c>
      <c r="D103" s="97">
        <v>5.8630000000000004</v>
      </c>
    </row>
    <row r="104" spans="1:5" s="41" customFormat="1" x14ac:dyDescent="0.25">
      <c r="C104" s="41" t="s">
        <v>198</v>
      </c>
      <c r="D104" s="97">
        <v>1.7430000000000001</v>
      </c>
    </row>
    <row r="105" spans="1:5" x14ac:dyDescent="0.25">
      <c r="C105" s="24" t="s">
        <v>40</v>
      </c>
      <c r="D105" s="26">
        <f>SUM(D99:D104)</f>
        <v>160.976</v>
      </c>
    </row>
    <row r="109" spans="1:5" x14ac:dyDescent="0.25">
      <c r="A109" s="20" t="s">
        <v>85</v>
      </c>
    </row>
    <row r="111" spans="1:5" x14ac:dyDescent="0.25">
      <c r="C111" t="s">
        <v>3</v>
      </c>
      <c r="D111" s="98">
        <v>85.11</v>
      </c>
    </row>
    <row r="112" spans="1:5" x14ac:dyDescent="0.25">
      <c r="C112" t="s">
        <v>4</v>
      </c>
      <c r="D112" s="98">
        <v>75.867999999999995</v>
      </c>
    </row>
    <row r="113" spans="1:6" x14ac:dyDescent="0.25">
      <c r="C113" s="24" t="s">
        <v>40</v>
      </c>
      <c r="D113" s="26">
        <f>D111+D112</f>
        <v>160.97800000000001</v>
      </c>
    </row>
    <row r="124" spans="1:6" x14ac:dyDescent="0.25">
      <c r="A124" s="20" t="s">
        <v>87</v>
      </c>
    </row>
    <row r="125" spans="1:6" x14ac:dyDescent="0.25">
      <c r="C125" s="46" t="s">
        <v>81</v>
      </c>
      <c r="D125" s="45" t="s">
        <v>83</v>
      </c>
    </row>
    <row r="126" spans="1:6" x14ac:dyDescent="0.25">
      <c r="C126" t="s">
        <v>76</v>
      </c>
      <c r="D126" s="110">
        <f>75.8+0.002</f>
        <v>75.801999999999992</v>
      </c>
      <c r="F126">
        <v>1000000</v>
      </c>
    </row>
    <row r="127" spans="1:6" x14ac:dyDescent="0.25">
      <c r="C127" t="s">
        <v>75</v>
      </c>
      <c r="D127" s="110">
        <v>45.268999999999998</v>
      </c>
    </row>
    <row r="128" spans="1:6" s="41" customFormat="1" x14ac:dyDescent="0.25">
      <c r="C128" s="41" t="s">
        <v>204</v>
      </c>
      <c r="D128" s="110">
        <v>23.808</v>
      </c>
    </row>
    <row r="129" spans="1:4" s="41" customFormat="1" x14ac:dyDescent="0.25">
      <c r="C129" s="41" t="s">
        <v>205</v>
      </c>
      <c r="D129" s="110">
        <v>8.9589999999999996</v>
      </c>
    </row>
    <row r="130" spans="1:4" x14ac:dyDescent="0.25">
      <c r="C130" t="s">
        <v>206</v>
      </c>
      <c r="D130" s="110">
        <v>7.1340000000000003</v>
      </c>
    </row>
    <row r="131" spans="1:4" s="41" customFormat="1" x14ac:dyDescent="0.25">
      <c r="C131" s="24" t="s">
        <v>40</v>
      </c>
      <c r="D131" s="48">
        <f>SUM(D126:D130)</f>
        <v>160.97199999999998</v>
      </c>
    </row>
    <row r="132" spans="1:4" s="41" customFormat="1" x14ac:dyDescent="0.25"/>
    <row r="133" spans="1:4" s="41" customFormat="1" x14ac:dyDescent="0.25"/>
    <row r="134" spans="1:4" s="41" customFormat="1" x14ac:dyDescent="0.25"/>
    <row r="135" spans="1:4" s="41" customFormat="1" x14ac:dyDescent="0.25"/>
    <row r="136" spans="1:4" s="41" customFormat="1" x14ac:dyDescent="0.25"/>
    <row r="137" spans="1:4" s="41" customFormat="1" x14ac:dyDescent="0.25"/>
    <row r="138" spans="1:4" s="41" customFormat="1" x14ac:dyDescent="0.25"/>
    <row r="139" spans="1:4" s="41" customFormat="1" x14ac:dyDescent="0.25">
      <c r="C139" s="41" t="s">
        <v>148</v>
      </c>
    </row>
    <row r="141" spans="1:4" x14ac:dyDescent="0.25">
      <c r="A141" s="20" t="s">
        <v>93</v>
      </c>
    </row>
    <row r="142" spans="1:4" x14ac:dyDescent="0.25">
      <c r="C142" s="44" t="s">
        <v>82</v>
      </c>
      <c r="D142" s="44" t="s">
        <v>92</v>
      </c>
    </row>
    <row r="143" spans="1:4" x14ac:dyDescent="0.25">
      <c r="C143" t="s">
        <v>88</v>
      </c>
      <c r="D143" s="111">
        <v>51.2</v>
      </c>
    </row>
    <row r="144" spans="1:4" x14ac:dyDescent="0.25">
      <c r="C144" t="s">
        <v>91</v>
      </c>
      <c r="D144" s="111">
        <v>35.4</v>
      </c>
    </row>
    <row r="145" spans="1:5" x14ac:dyDescent="0.25">
      <c r="C145" t="s">
        <v>89</v>
      </c>
      <c r="D145" s="111">
        <v>39.99</v>
      </c>
    </row>
    <row r="146" spans="1:5" x14ac:dyDescent="0.25">
      <c r="C146" t="s">
        <v>90</v>
      </c>
      <c r="D146" s="111">
        <v>11.859</v>
      </c>
      <c r="E146">
        <v>1000000</v>
      </c>
    </row>
    <row r="147" spans="1:5" x14ac:dyDescent="0.25">
      <c r="C147" t="s">
        <v>80</v>
      </c>
      <c r="D147" s="111">
        <v>14.739000000000001</v>
      </c>
    </row>
    <row r="148" spans="1:5" x14ac:dyDescent="0.25">
      <c r="C148" t="s">
        <v>74</v>
      </c>
      <c r="D148" s="111">
        <v>2.5</v>
      </c>
    </row>
    <row r="149" spans="1:5" x14ac:dyDescent="0.25">
      <c r="C149" s="24" t="s">
        <v>40</v>
      </c>
      <c r="D149" s="109">
        <f>SUM(D143:D148)</f>
        <v>155.68800000000002</v>
      </c>
    </row>
    <row r="152" spans="1:5" x14ac:dyDescent="0.25">
      <c r="A152" s="20" t="s">
        <v>94</v>
      </c>
    </row>
    <row r="153" spans="1:5" x14ac:dyDescent="0.25">
      <c r="C153" s="42" t="s">
        <v>96</v>
      </c>
      <c r="D153" s="110">
        <v>126.669</v>
      </c>
    </row>
    <row r="154" spans="1:5" x14ac:dyDescent="0.25">
      <c r="C154" s="42" t="s">
        <v>80</v>
      </c>
      <c r="D154" s="110">
        <v>14.739000000000001</v>
      </c>
      <c r="E154">
        <v>1000000</v>
      </c>
    </row>
    <row r="155" spans="1:5" x14ac:dyDescent="0.25">
      <c r="C155" s="42" t="s">
        <v>95</v>
      </c>
      <c r="D155" s="110">
        <f>13.5+0.796</f>
        <v>14.295999999999999</v>
      </c>
    </row>
    <row r="156" spans="1:5" s="41" customFormat="1" x14ac:dyDescent="0.25">
      <c r="C156" s="49" t="s">
        <v>40</v>
      </c>
      <c r="D156" s="26">
        <f>SUM(D153:D155)</f>
        <v>155.70399999999998</v>
      </c>
    </row>
    <row r="157" spans="1:5" s="41" customFormat="1" x14ac:dyDescent="0.25"/>
    <row r="158" spans="1:5" s="41" customFormat="1" x14ac:dyDescent="0.25"/>
    <row r="159" spans="1:5" s="41" customFormat="1" x14ac:dyDescent="0.25"/>
    <row r="160" spans="1:5" s="41" customFormat="1" x14ac:dyDescent="0.25"/>
    <row r="161" spans="1:5" s="41" customFormat="1" x14ac:dyDescent="0.25"/>
    <row r="162" spans="1:5" s="41" customFormat="1" x14ac:dyDescent="0.25"/>
    <row r="163" spans="1:5" s="41" customFormat="1" x14ac:dyDescent="0.25"/>
    <row r="164" spans="1:5" s="41" customFormat="1" x14ac:dyDescent="0.25"/>
    <row r="165" spans="1:5" x14ac:dyDescent="0.25">
      <c r="A165" s="102" t="s">
        <v>102</v>
      </c>
    </row>
    <row r="166" spans="1:5" s="41" customFormat="1" x14ac:dyDescent="0.25">
      <c r="A166" s="20"/>
    </row>
    <row r="167" spans="1:5" s="41" customFormat="1" x14ac:dyDescent="0.25">
      <c r="A167" s="20"/>
      <c r="C167" s="41" t="s">
        <v>81</v>
      </c>
      <c r="D167" s="30" t="s">
        <v>103</v>
      </c>
    </row>
    <row r="168" spans="1:5" s="41" customFormat="1" x14ac:dyDescent="0.25">
      <c r="A168" s="20"/>
      <c r="C168" s="41" t="s">
        <v>158</v>
      </c>
      <c r="D168" s="47">
        <v>13.14380573</v>
      </c>
      <c r="E168" s="41">
        <v>1000000</v>
      </c>
    </row>
    <row r="169" spans="1:5" s="41" customFormat="1" x14ac:dyDescent="0.25">
      <c r="A169" s="20"/>
      <c r="C169" s="41" t="s">
        <v>112</v>
      </c>
      <c r="D169" s="47">
        <v>9.3350904900000007</v>
      </c>
    </row>
    <row r="170" spans="1:5" s="41" customFormat="1" x14ac:dyDescent="0.25">
      <c r="A170" s="20"/>
      <c r="C170" s="41" t="s">
        <v>159</v>
      </c>
      <c r="D170" s="47">
        <v>6.9183662000000004</v>
      </c>
    </row>
    <row r="171" spans="1:5" s="41" customFormat="1" x14ac:dyDescent="0.25">
      <c r="A171" s="20"/>
      <c r="C171" s="41" t="s">
        <v>124</v>
      </c>
      <c r="D171" s="47">
        <v>6.22517459</v>
      </c>
    </row>
    <row r="172" spans="1:5" s="41" customFormat="1" x14ac:dyDescent="0.25">
      <c r="A172" s="20"/>
      <c r="C172" s="41" t="s">
        <v>111</v>
      </c>
      <c r="D172" s="47">
        <v>5.6937941399999996</v>
      </c>
    </row>
    <row r="173" spans="1:5" s="41" customFormat="1" x14ac:dyDescent="0.25">
      <c r="A173" s="20"/>
      <c r="C173" s="41" t="s">
        <v>160</v>
      </c>
      <c r="D173" s="47">
        <v>3.1516715</v>
      </c>
    </row>
    <row r="174" spans="1:5" s="41" customFormat="1" x14ac:dyDescent="0.25">
      <c r="A174" s="20"/>
      <c r="C174" s="41" t="s">
        <v>113</v>
      </c>
      <c r="D174" s="47">
        <v>2.8839861200000003</v>
      </c>
    </row>
    <row r="175" spans="1:5" s="41" customFormat="1" x14ac:dyDescent="0.25">
      <c r="A175" s="20"/>
      <c r="C175" s="41" t="s">
        <v>114</v>
      </c>
      <c r="D175" s="47">
        <v>1.7069883199999998</v>
      </c>
    </row>
    <row r="176" spans="1:5" s="41" customFormat="1" x14ac:dyDescent="0.25">
      <c r="A176" s="20"/>
      <c r="C176" s="41" t="s">
        <v>161</v>
      </c>
      <c r="D176" s="47">
        <v>1.6259732199999999</v>
      </c>
    </row>
    <row r="177" spans="1:4" s="41" customFormat="1" x14ac:dyDescent="0.25">
      <c r="A177" s="20"/>
      <c r="C177" s="41" t="s">
        <v>126</v>
      </c>
      <c r="D177" s="47">
        <v>1.36742933</v>
      </c>
    </row>
    <row r="178" spans="1:4" s="41" customFormat="1" x14ac:dyDescent="0.25">
      <c r="A178" s="20"/>
      <c r="C178" s="21" t="s">
        <v>116</v>
      </c>
      <c r="D178" s="112">
        <f>SUM(D181:D186)</f>
        <v>2.67394986</v>
      </c>
    </row>
    <row r="179" spans="1:4" s="41" customFormat="1" x14ac:dyDescent="0.25">
      <c r="A179" s="20"/>
      <c r="C179" s="21" t="s">
        <v>40</v>
      </c>
      <c r="D179" s="112">
        <f>SUM(D168:D178)</f>
        <v>54.726229500000009</v>
      </c>
    </row>
    <row r="180" spans="1:4" s="41" customFormat="1" x14ac:dyDescent="0.25">
      <c r="A180" s="20"/>
      <c r="C180" s="21"/>
      <c r="D180" s="112"/>
    </row>
    <row r="181" spans="1:4" s="41" customFormat="1" x14ac:dyDescent="0.25">
      <c r="A181" s="20"/>
      <c r="C181" s="41" t="s">
        <v>162</v>
      </c>
      <c r="D181" s="47">
        <v>0.81603981000000003</v>
      </c>
    </row>
    <row r="182" spans="1:4" s="41" customFormat="1" x14ac:dyDescent="0.25">
      <c r="A182" s="20"/>
      <c r="C182" s="41" t="s">
        <v>122</v>
      </c>
      <c r="D182" s="47">
        <v>0.80893300000000001</v>
      </c>
    </row>
    <row r="183" spans="1:4" s="41" customFormat="1" x14ac:dyDescent="0.25">
      <c r="A183" s="20"/>
      <c r="C183" s="41" t="s">
        <v>128</v>
      </c>
      <c r="D183" s="47">
        <v>0.64397705000000005</v>
      </c>
    </row>
    <row r="184" spans="1:4" s="41" customFormat="1" x14ac:dyDescent="0.25">
      <c r="A184" s="20"/>
      <c r="C184" s="41" t="s">
        <v>123</v>
      </c>
      <c r="D184" s="47">
        <v>0.185</v>
      </c>
    </row>
    <row r="185" spans="1:4" s="41" customFormat="1" x14ac:dyDescent="0.25">
      <c r="A185" s="20"/>
      <c r="C185" s="41" t="s">
        <v>207</v>
      </c>
      <c r="D185" s="47">
        <v>0.15</v>
      </c>
    </row>
    <row r="186" spans="1:4" s="41" customFormat="1" x14ac:dyDescent="0.25">
      <c r="A186" s="20"/>
      <c r="C186" s="41" t="s">
        <v>125</v>
      </c>
      <c r="D186" s="47">
        <v>7.0000000000000007E-2</v>
      </c>
    </row>
    <row r="187" spans="1:4" s="41" customFormat="1" x14ac:dyDescent="0.25">
      <c r="A187" s="20"/>
    </row>
    <row r="188" spans="1:4" s="41" customFormat="1" x14ac:dyDescent="0.25">
      <c r="A188" s="102" t="s">
        <v>130</v>
      </c>
    </row>
    <row r="189" spans="1:4" s="41" customFormat="1" x14ac:dyDescent="0.25">
      <c r="A189" s="20"/>
    </row>
    <row r="190" spans="1:4" s="41" customFormat="1" x14ac:dyDescent="0.25">
      <c r="A190" s="20"/>
    </row>
    <row r="192" spans="1:4" x14ac:dyDescent="0.25">
      <c r="C192" t="s">
        <v>5</v>
      </c>
      <c r="D192">
        <f>13.9+5.463</f>
        <v>19.363</v>
      </c>
    </row>
    <row r="193" spans="1:6" x14ac:dyDescent="0.25">
      <c r="C193" t="s">
        <v>6</v>
      </c>
      <c r="D193">
        <f>35.32</f>
        <v>35.32</v>
      </c>
    </row>
    <row r="194" spans="1:6" x14ac:dyDescent="0.25">
      <c r="D194">
        <f>SUM(D192:D193)</f>
        <v>54.683</v>
      </c>
    </row>
    <row r="196" spans="1:6" s="41" customFormat="1" x14ac:dyDescent="0.25">
      <c r="A196" s="20" t="s">
        <v>108</v>
      </c>
      <c r="D196" s="100" t="s">
        <v>151</v>
      </c>
    </row>
    <row r="197" spans="1:6" s="41" customFormat="1" x14ac:dyDescent="0.25"/>
    <row r="198" spans="1:6" s="41" customFormat="1" x14ac:dyDescent="0.25">
      <c r="C198" s="46" t="s">
        <v>81</v>
      </c>
      <c r="D198" s="51" t="s">
        <v>163</v>
      </c>
    </row>
    <row r="199" spans="1:6" s="41" customFormat="1" x14ac:dyDescent="0.25">
      <c r="C199" s="41" t="s">
        <v>109</v>
      </c>
      <c r="D199" s="105">
        <v>94.597185490000001</v>
      </c>
    </row>
    <row r="200" spans="1:6" s="41" customFormat="1" x14ac:dyDescent="0.25">
      <c r="C200" s="41" t="s">
        <v>110</v>
      </c>
      <c r="D200" s="105">
        <v>83.970926309999996</v>
      </c>
      <c r="F200" s="41">
        <v>1000000</v>
      </c>
    </row>
    <row r="201" spans="1:6" s="41" customFormat="1" x14ac:dyDescent="0.25">
      <c r="C201" s="41" t="s">
        <v>104</v>
      </c>
      <c r="D201" s="105">
        <v>82.352293860000003</v>
      </c>
    </row>
    <row r="202" spans="1:6" s="41" customFormat="1" x14ac:dyDescent="0.25">
      <c r="C202" s="41" t="s">
        <v>106</v>
      </c>
      <c r="D202" s="105">
        <v>67.082874700000005</v>
      </c>
    </row>
    <row r="203" spans="1:6" s="41" customFormat="1" x14ac:dyDescent="0.25">
      <c r="C203" s="41" t="s">
        <v>111</v>
      </c>
      <c r="D203" s="105">
        <v>59.484418099999999</v>
      </c>
    </row>
    <row r="204" spans="1:6" x14ac:dyDescent="0.25">
      <c r="C204" t="s">
        <v>105</v>
      </c>
      <c r="D204" s="105">
        <v>50.319875920000001</v>
      </c>
    </row>
    <row r="205" spans="1:6" x14ac:dyDescent="0.25">
      <c r="C205" t="s">
        <v>112</v>
      </c>
      <c r="D205" s="105">
        <v>39.058596659999999</v>
      </c>
    </row>
    <row r="206" spans="1:6" x14ac:dyDescent="0.25">
      <c r="C206" t="s">
        <v>113</v>
      </c>
      <c r="D206" s="105">
        <v>38.976053719999996</v>
      </c>
    </row>
    <row r="207" spans="1:6" x14ac:dyDescent="0.25">
      <c r="C207" t="s">
        <v>114</v>
      </c>
      <c r="D207" s="105">
        <v>28.036376739999998</v>
      </c>
    </row>
    <row r="208" spans="1:6" x14ac:dyDescent="0.25">
      <c r="C208" t="s">
        <v>128</v>
      </c>
      <c r="D208" s="105">
        <v>22.40265265</v>
      </c>
    </row>
    <row r="209" spans="3:4" x14ac:dyDescent="0.25">
      <c r="C209" t="s">
        <v>115</v>
      </c>
      <c r="D209" s="105">
        <v>20.041410299999999</v>
      </c>
    </row>
    <row r="210" spans="3:4" s="41" customFormat="1" x14ac:dyDescent="0.25">
      <c r="C210" s="41" t="s">
        <v>107</v>
      </c>
      <c r="D210" s="105">
        <v>18.447281789999998</v>
      </c>
    </row>
    <row r="211" spans="3:4" s="41" customFormat="1" x14ac:dyDescent="0.25">
      <c r="C211" s="41" t="s">
        <v>122</v>
      </c>
      <c r="D211" s="105">
        <v>10.882421039999999</v>
      </c>
    </row>
    <row r="212" spans="3:4" s="41" customFormat="1" x14ac:dyDescent="0.25">
      <c r="C212" s="41" t="s">
        <v>116</v>
      </c>
      <c r="D212" s="105">
        <f>SUM(D215:D222)</f>
        <v>25.07349864</v>
      </c>
    </row>
    <row r="213" spans="3:4" s="41" customFormat="1" x14ac:dyDescent="0.25">
      <c r="C213" s="21" t="s">
        <v>40</v>
      </c>
      <c r="D213" s="113">
        <f>SUM(D199:D212)</f>
        <v>640.72586592000027</v>
      </c>
    </row>
    <row r="214" spans="3:4" s="41" customFormat="1" x14ac:dyDescent="0.25">
      <c r="C214" s="21"/>
      <c r="D214" s="113"/>
    </row>
    <row r="215" spans="3:4" s="41" customFormat="1" x14ac:dyDescent="0.25">
      <c r="C215" s="31" t="s">
        <v>124</v>
      </c>
      <c r="D215" s="105">
        <v>8.1229810100000002</v>
      </c>
    </row>
    <row r="216" spans="3:4" s="41" customFormat="1" x14ac:dyDescent="0.25">
      <c r="C216" s="41" t="s">
        <v>126</v>
      </c>
      <c r="D216" s="105">
        <v>7.74180797</v>
      </c>
    </row>
    <row r="217" spans="3:4" s="41" customFormat="1" x14ac:dyDescent="0.25">
      <c r="C217" s="41" t="s">
        <v>121</v>
      </c>
      <c r="D217" s="105">
        <v>2.9488104399999999</v>
      </c>
    </row>
    <row r="218" spans="3:4" s="41" customFormat="1" x14ac:dyDescent="0.25">
      <c r="C218" s="41" t="s">
        <v>127</v>
      </c>
      <c r="D218" s="105">
        <v>2.7303404200000001</v>
      </c>
    </row>
    <row r="219" spans="3:4" s="41" customFormat="1" x14ac:dyDescent="0.25">
      <c r="C219" s="41" t="s">
        <v>123</v>
      </c>
      <c r="D219" s="105">
        <v>1.5741032800000001</v>
      </c>
    </row>
    <row r="220" spans="3:4" s="41" customFormat="1" x14ac:dyDescent="0.25">
      <c r="C220" s="41" t="s">
        <v>125</v>
      </c>
      <c r="D220" s="105">
        <v>1.5023207700000001</v>
      </c>
    </row>
    <row r="221" spans="3:4" s="41" customFormat="1" x14ac:dyDescent="0.25">
      <c r="C221" s="41" t="s">
        <v>129</v>
      </c>
      <c r="D221" s="105">
        <v>0.39140285999999996</v>
      </c>
    </row>
    <row r="222" spans="3:4" s="41" customFormat="1" x14ac:dyDescent="0.25">
      <c r="C222" s="41" t="s">
        <v>208</v>
      </c>
      <c r="D222" s="105">
        <v>6.1731889999999998E-2</v>
      </c>
    </row>
    <row r="223" spans="3:4" s="41" customFormat="1" x14ac:dyDescent="0.25">
      <c r="D223" s="43"/>
    </row>
    <row r="224" spans="3:4" s="41" customFormat="1" x14ac:dyDescent="0.25">
      <c r="D224" s="43"/>
    </row>
    <row r="225" spans="1:11" s="41" customFormat="1" x14ac:dyDescent="0.25">
      <c r="D225" s="50"/>
    </row>
    <row r="226" spans="1:11" x14ac:dyDescent="0.25">
      <c r="A226" s="20" t="s">
        <v>131</v>
      </c>
    </row>
    <row r="227" spans="1:11" s="41" customFormat="1" x14ac:dyDescent="0.25">
      <c r="A227" s="20"/>
      <c r="C227" s="46" t="s">
        <v>81</v>
      </c>
      <c r="D227" s="45" t="s">
        <v>132</v>
      </c>
    </row>
    <row r="228" spans="1:11" s="41" customFormat="1" x14ac:dyDescent="0.25">
      <c r="A228" s="20"/>
      <c r="C228" s="114" t="s">
        <v>73</v>
      </c>
      <c r="D228" s="114">
        <v>135691093.75</v>
      </c>
      <c r="F228" s="52"/>
      <c r="G228" s="53"/>
      <c r="H228" s="54"/>
    </row>
    <row r="229" spans="1:11" s="41" customFormat="1" x14ac:dyDescent="0.25">
      <c r="A229" s="20"/>
      <c r="C229" s="114" t="s">
        <v>72</v>
      </c>
      <c r="D229" s="114">
        <v>16300415.3684</v>
      </c>
      <c r="F229" s="55"/>
      <c r="G229" s="56"/>
      <c r="H229" s="57"/>
      <c r="I229" s="52"/>
      <c r="J229" s="53"/>
      <c r="K229" s="54"/>
    </row>
    <row r="230" spans="1:11" s="41" customFormat="1" x14ac:dyDescent="0.25">
      <c r="A230" s="20"/>
      <c r="C230" s="114" t="s">
        <v>154</v>
      </c>
      <c r="D230" s="114">
        <v>12500000</v>
      </c>
      <c r="F230" s="55"/>
      <c r="G230" s="56"/>
      <c r="H230" s="57"/>
      <c r="I230" s="55"/>
      <c r="J230" s="56"/>
      <c r="K230" s="57"/>
    </row>
    <row r="231" spans="1:11" s="41" customFormat="1" x14ac:dyDescent="0.25">
      <c r="A231" s="20"/>
      <c r="C231" s="114" t="s">
        <v>155</v>
      </c>
      <c r="D231" s="114">
        <v>11278070.963986287</v>
      </c>
      <c r="F231" s="55"/>
      <c r="G231" s="56"/>
      <c r="H231" s="57"/>
      <c r="I231" s="55"/>
      <c r="J231" s="56"/>
      <c r="K231" s="57"/>
    </row>
    <row r="232" spans="1:11" s="41" customFormat="1" x14ac:dyDescent="0.25">
      <c r="A232" s="20"/>
      <c r="C232" s="114" t="s">
        <v>156</v>
      </c>
      <c r="D232" s="114">
        <v>7996148.9999999991</v>
      </c>
      <c r="F232" s="55"/>
      <c r="G232" s="56"/>
      <c r="H232" s="57"/>
      <c r="I232" s="55"/>
      <c r="J232" s="56"/>
      <c r="K232" s="57"/>
    </row>
    <row r="233" spans="1:11" s="41" customFormat="1" x14ac:dyDescent="0.25">
      <c r="A233" s="20"/>
      <c r="C233" s="114" t="s">
        <v>147</v>
      </c>
      <c r="D233" s="114">
        <v>6686416.625</v>
      </c>
      <c r="F233" s="55"/>
      <c r="G233" s="56"/>
      <c r="H233" s="57"/>
      <c r="I233" s="55"/>
      <c r="J233" s="56"/>
      <c r="K233" s="57"/>
    </row>
    <row r="234" spans="1:11" s="41" customFormat="1" x14ac:dyDescent="0.25">
      <c r="A234" s="20"/>
      <c r="C234" s="114" t="s">
        <v>75</v>
      </c>
      <c r="D234" s="114">
        <v>5814639.7744853338</v>
      </c>
      <c r="F234" s="55"/>
      <c r="G234" s="56"/>
      <c r="H234" s="57"/>
      <c r="I234" s="55"/>
      <c r="J234" s="56"/>
      <c r="K234" s="57"/>
    </row>
    <row r="235" spans="1:11" s="41" customFormat="1" x14ac:dyDescent="0.25">
      <c r="A235" s="20"/>
      <c r="C235" s="114" t="s">
        <v>157</v>
      </c>
      <c r="D235" s="114">
        <v>1500000</v>
      </c>
      <c r="F235" s="55"/>
      <c r="G235" s="56"/>
      <c r="H235" s="57"/>
      <c r="I235" s="55"/>
      <c r="J235" s="56"/>
      <c r="K235" s="57"/>
    </row>
    <row r="236" spans="1:11" s="41" customFormat="1" x14ac:dyDescent="0.25">
      <c r="A236" s="20"/>
      <c r="C236" s="50"/>
      <c r="D236" s="50"/>
      <c r="F236" s="55"/>
      <c r="G236" s="56"/>
      <c r="H236" s="57"/>
      <c r="I236" s="55"/>
      <c r="J236" s="56"/>
      <c r="K236" s="57"/>
    </row>
    <row r="237" spans="1:11" s="41" customFormat="1" x14ac:dyDescent="0.25">
      <c r="A237" s="20"/>
      <c r="C237" s="50"/>
      <c r="D237" s="50"/>
      <c r="F237" s="55"/>
      <c r="G237" s="56"/>
      <c r="H237" s="57"/>
      <c r="I237" s="55"/>
      <c r="J237" s="56"/>
      <c r="K237" s="57"/>
    </row>
    <row r="238" spans="1:11" s="41" customFormat="1" x14ac:dyDescent="0.25">
      <c r="A238" s="20"/>
      <c r="C238" s="50"/>
      <c r="D238" s="50"/>
      <c r="F238" s="55"/>
      <c r="G238" s="56"/>
      <c r="H238" s="57"/>
      <c r="I238" s="55"/>
      <c r="J238" s="56"/>
      <c r="K238" s="57"/>
    </row>
    <row r="239" spans="1:11" s="41" customFormat="1" x14ac:dyDescent="0.25">
      <c r="A239" s="20"/>
      <c r="C239" s="50"/>
      <c r="D239" s="50"/>
      <c r="F239" s="55"/>
      <c r="G239" s="56"/>
      <c r="H239" s="57"/>
      <c r="I239" s="55"/>
      <c r="J239" s="56"/>
      <c r="K239" s="57"/>
    </row>
    <row r="240" spans="1:11" s="41" customFormat="1" x14ac:dyDescent="0.25">
      <c r="A240" s="20"/>
      <c r="F240" s="55"/>
      <c r="G240" s="56"/>
      <c r="H240" s="57"/>
      <c r="I240" s="55"/>
      <c r="J240" s="56"/>
      <c r="K240" s="57"/>
    </row>
    <row r="241" spans="1:11" s="41" customFormat="1" x14ac:dyDescent="0.25">
      <c r="A241" s="20"/>
      <c r="F241" s="55"/>
      <c r="G241" s="56"/>
      <c r="H241" s="57"/>
      <c r="I241" s="55"/>
      <c r="J241" s="56"/>
      <c r="K241" s="57"/>
    </row>
    <row r="242" spans="1:11" s="41" customFormat="1" x14ac:dyDescent="0.25">
      <c r="A242" s="20"/>
      <c r="F242" s="55"/>
      <c r="G242" s="56"/>
      <c r="H242" s="57"/>
      <c r="I242" s="55"/>
      <c r="J242" s="56"/>
      <c r="K242" s="57"/>
    </row>
    <row r="243" spans="1:11" s="41" customFormat="1" x14ac:dyDescent="0.25">
      <c r="A243" s="20"/>
      <c r="F243" s="55"/>
      <c r="G243" s="56"/>
      <c r="H243" s="57"/>
      <c r="I243" s="55"/>
      <c r="J243" s="56"/>
      <c r="K243" s="57"/>
    </row>
    <row r="244" spans="1:11" s="41" customFormat="1" x14ac:dyDescent="0.25">
      <c r="A244" s="20"/>
      <c r="F244" s="55"/>
      <c r="G244" s="56"/>
      <c r="H244" s="57"/>
      <c r="I244" s="55"/>
      <c r="J244" s="56"/>
      <c r="K244" s="57"/>
    </row>
    <row r="245" spans="1:11" s="41" customFormat="1" x14ac:dyDescent="0.25">
      <c r="A245" s="20"/>
      <c r="F245" s="58"/>
      <c r="G245" s="59"/>
      <c r="H245" s="60"/>
      <c r="I245" s="55"/>
      <c r="J245" s="56"/>
      <c r="K245" s="57"/>
    </row>
    <row r="246" spans="1:11" s="41" customFormat="1" x14ac:dyDescent="0.25">
      <c r="A246" s="20"/>
      <c r="I246" s="58"/>
      <c r="J246" s="59"/>
      <c r="K246" s="60"/>
    </row>
    <row r="249" spans="1:11" x14ac:dyDescent="0.25">
      <c r="A249" s="20" t="s">
        <v>9</v>
      </c>
      <c r="D249" t="s">
        <v>163</v>
      </c>
    </row>
    <row r="250" spans="1:11" x14ac:dyDescent="0.25">
      <c r="D250" t="s">
        <v>17</v>
      </c>
      <c r="E250" t="s">
        <v>42</v>
      </c>
      <c r="F250" t="s">
        <v>40</v>
      </c>
    </row>
    <row r="251" spans="1:11" x14ac:dyDescent="0.25">
      <c r="C251" s="28" t="s">
        <v>9</v>
      </c>
      <c r="D251" s="29">
        <f>78+743-678</f>
        <v>143</v>
      </c>
      <c r="E251" s="29">
        <v>678</v>
      </c>
      <c r="F251">
        <f>D251+E251</f>
        <v>821</v>
      </c>
    </row>
    <row r="252" spans="1:11" x14ac:dyDescent="0.25">
      <c r="C252" s="28" t="s">
        <v>26</v>
      </c>
      <c r="D252" s="29">
        <v>42</v>
      </c>
      <c r="E252" s="29">
        <v>0</v>
      </c>
      <c r="F252">
        <f>D252</f>
        <v>42</v>
      </c>
    </row>
    <row r="253" spans="1:11" x14ac:dyDescent="0.25">
      <c r="C253" s="28" t="s">
        <v>10</v>
      </c>
      <c r="D253" s="29">
        <v>34</v>
      </c>
      <c r="E253" s="29">
        <v>0</v>
      </c>
    </row>
    <row r="254" spans="1:11" x14ac:dyDescent="0.25">
      <c r="C254" s="28" t="s">
        <v>40</v>
      </c>
      <c r="D254">
        <f>SUM(D251:D253)</f>
        <v>219</v>
      </c>
      <c r="E254">
        <f>SUM(E251:E253)</f>
        <v>678</v>
      </c>
      <c r="F254">
        <f>F251+F252</f>
        <v>863</v>
      </c>
    </row>
    <row r="256" spans="1:11" x14ac:dyDescent="0.25">
      <c r="A256" s="20" t="s">
        <v>37</v>
      </c>
    </row>
    <row r="257" spans="1:4" x14ac:dyDescent="0.25">
      <c r="A257" t="s">
        <v>150</v>
      </c>
    </row>
    <row r="260" spans="1:4" x14ac:dyDescent="0.25">
      <c r="C260" t="s">
        <v>1</v>
      </c>
      <c r="D260" t="s">
        <v>163</v>
      </c>
    </row>
    <row r="262" spans="1:4" x14ac:dyDescent="0.25">
      <c r="C262" t="s">
        <v>15</v>
      </c>
      <c r="D262" s="27">
        <f>181.112+130.75185</f>
        <v>311.86384999999996</v>
      </c>
    </row>
    <row r="263" spans="1:4" x14ac:dyDescent="0.25">
      <c r="C263" t="s">
        <v>28</v>
      </c>
      <c r="D263" s="27">
        <f>160.979</f>
        <v>160.97900000000001</v>
      </c>
    </row>
    <row r="264" spans="1:4" x14ac:dyDescent="0.25">
      <c r="C264" t="s">
        <v>16</v>
      </c>
      <c r="D264" s="27">
        <v>155.70599999999999</v>
      </c>
    </row>
    <row r="265" spans="1:4" x14ac:dyDescent="0.25">
      <c r="D265" s="19"/>
    </row>
    <row r="266" spans="1:4" x14ac:dyDescent="0.25">
      <c r="C266" t="s">
        <v>17</v>
      </c>
      <c r="D266" s="19">
        <f>SUM(D262:D264)-D267</f>
        <v>579.78184999999996</v>
      </c>
    </row>
    <row r="267" spans="1:4" x14ac:dyDescent="0.25">
      <c r="C267" t="s">
        <v>18</v>
      </c>
      <c r="D267" s="27">
        <v>48.767000000000003</v>
      </c>
    </row>
    <row r="270" spans="1:4" x14ac:dyDescent="0.25">
      <c r="A270" s="20" t="s">
        <v>19</v>
      </c>
    </row>
    <row r="274" spans="3:4" x14ac:dyDescent="0.25">
      <c r="C274" s="21" t="s">
        <v>19</v>
      </c>
      <c r="D274" t="s">
        <v>163</v>
      </c>
    </row>
    <row r="276" spans="3:4" x14ac:dyDescent="0.25">
      <c r="C276" t="s">
        <v>20</v>
      </c>
      <c r="D276" s="19">
        <f>D280+D284+D282</f>
        <v>11.748999999999999</v>
      </c>
    </row>
    <row r="277" spans="3:4" x14ac:dyDescent="0.25">
      <c r="C277" t="s">
        <v>19</v>
      </c>
      <c r="D277" s="19">
        <f>D283+D279+D281</f>
        <v>8.39</v>
      </c>
    </row>
    <row r="279" spans="3:4" x14ac:dyDescent="0.25">
      <c r="C279" s="22" t="s">
        <v>59</v>
      </c>
      <c r="D279" s="25">
        <f>0.9+0.5+0.225+5.365</f>
        <v>6.99</v>
      </c>
    </row>
    <row r="280" spans="3:4" x14ac:dyDescent="0.25">
      <c r="C280" s="22" t="s">
        <v>60</v>
      </c>
      <c r="D280" s="25">
        <f>7.082+8.115-D279</f>
        <v>8.206999999999999</v>
      </c>
    </row>
    <row r="281" spans="3:4" x14ac:dyDescent="0.25">
      <c r="C281" s="22" t="s">
        <v>61</v>
      </c>
      <c r="D281" s="25">
        <f>0.4</f>
        <v>0.4</v>
      </c>
    </row>
    <row r="282" spans="3:4" x14ac:dyDescent="0.25">
      <c r="C282" s="22" t="s">
        <v>62</v>
      </c>
      <c r="D282" s="25">
        <v>0.1</v>
      </c>
    </row>
    <row r="283" spans="3:4" x14ac:dyDescent="0.25">
      <c r="C283" s="22" t="s">
        <v>38</v>
      </c>
      <c r="D283" s="25">
        <f>1</f>
        <v>1</v>
      </c>
    </row>
    <row r="284" spans="3:4" x14ac:dyDescent="0.25">
      <c r="C284" s="22" t="s">
        <v>39</v>
      </c>
      <c r="D284" s="25">
        <f>4.442-1</f>
        <v>3.4420000000000002</v>
      </c>
    </row>
    <row r="285" spans="3:4" x14ac:dyDescent="0.25">
      <c r="C285" s="24" t="s">
        <v>40</v>
      </c>
      <c r="D285" s="26">
        <f>SUM(D279:D284)</f>
        <v>20.138999999999999</v>
      </c>
    </row>
    <row r="286" spans="3:4" x14ac:dyDescent="0.25">
      <c r="C286" s="22"/>
      <c r="D286" s="19"/>
    </row>
    <row r="287" spans="3:4" x14ac:dyDescent="0.25">
      <c r="D287" s="19"/>
    </row>
    <row r="288" spans="3:4" x14ac:dyDescent="0.25">
      <c r="C288" t="s">
        <v>17</v>
      </c>
      <c r="D288" s="19">
        <f>D285-D289</f>
        <v>14.773999999999999</v>
      </c>
    </row>
    <row r="289" spans="1:4" x14ac:dyDescent="0.25">
      <c r="C289" t="s">
        <v>18</v>
      </c>
      <c r="D289" s="27">
        <v>5.3650000000000002</v>
      </c>
    </row>
    <row r="290" spans="1:4" x14ac:dyDescent="0.25">
      <c r="C290" s="24" t="s">
        <v>40</v>
      </c>
      <c r="D290" s="26">
        <f>SUM(D288:D289)</f>
        <v>20.138999999999999</v>
      </c>
    </row>
    <row r="291" spans="1:4" x14ac:dyDescent="0.25">
      <c r="C291" t="s">
        <v>41</v>
      </c>
      <c r="D291" s="19">
        <f>D290-D285</f>
        <v>0</v>
      </c>
    </row>
    <row r="293" spans="1:4" x14ac:dyDescent="0.25">
      <c r="A293" s="20" t="s">
        <v>51</v>
      </c>
    </row>
    <row r="295" spans="1:4" x14ac:dyDescent="0.25">
      <c r="C295" t="s">
        <v>49</v>
      </c>
      <c r="D295" t="s">
        <v>163</v>
      </c>
    </row>
    <row r="297" spans="1:4" x14ac:dyDescent="0.25">
      <c r="C297" s="21" t="s">
        <v>17</v>
      </c>
      <c r="D297">
        <f>D298+D300+D299</f>
        <v>31.065996023643997</v>
      </c>
    </row>
    <row r="298" spans="1:4" x14ac:dyDescent="0.25">
      <c r="C298" s="32" t="s">
        <v>58</v>
      </c>
      <c r="D298" s="33">
        <f>('[1]Investeringen-desinvesteringen'!$D$117+'[1]Investeringen-desinvesteringen'!$D$123-D301)/1000000</f>
        <v>5.4245767236440017</v>
      </c>
    </row>
    <row r="299" spans="1:4" x14ac:dyDescent="0.25">
      <c r="C299" s="32" t="s">
        <v>57</v>
      </c>
      <c r="D299" s="33">
        <f>'[1]Investeringen-desinvesteringen'!$D$125/1000000</f>
        <v>0.16025400000000001</v>
      </c>
    </row>
    <row r="300" spans="1:4" x14ac:dyDescent="0.25">
      <c r="C300" s="32" t="s">
        <v>50</v>
      </c>
      <c r="D300" s="33">
        <f>'[1]Investeringen-desinvesteringen'!$D$164/1000000</f>
        <v>25.481165299999997</v>
      </c>
    </row>
    <row r="301" spans="1:4" x14ac:dyDescent="0.25">
      <c r="C301" s="21" t="s">
        <v>18</v>
      </c>
      <c r="D301" s="23">
        <v>0.88635600000000003</v>
      </c>
    </row>
    <row r="303" spans="1:4" x14ac:dyDescent="0.25">
      <c r="C303" s="24" t="s">
        <v>40</v>
      </c>
      <c r="D303" s="121">
        <f>D297+D301</f>
        <v>31.952352023643996</v>
      </c>
    </row>
    <row r="304" spans="1:4" x14ac:dyDescent="0.25">
      <c r="C304" s="24"/>
      <c r="D304" s="24"/>
    </row>
    <row r="305" spans="1:6" x14ac:dyDescent="0.25">
      <c r="C305" s="24"/>
      <c r="D305" s="24"/>
    </row>
    <row r="306" spans="1:6" x14ac:dyDescent="0.25">
      <c r="C306" s="24"/>
      <c r="D306" s="24"/>
    </row>
    <row r="307" spans="1:6" x14ac:dyDescent="0.25">
      <c r="A307" s="102" t="s">
        <v>52</v>
      </c>
      <c r="C307" s="24"/>
      <c r="D307" s="31" t="s">
        <v>163</v>
      </c>
    </row>
    <row r="308" spans="1:6" x14ac:dyDescent="0.25">
      <c r="A308" s="20"/>
      <c r="C308" s="24"/>
      <c r="D308" s="31"/>
    </row>
    <row r="309" spans="1:6" x14ac:dyDescent="0.25">
      <c r="C309" s="24"/>
      <c r="D309" s="22" t="s">
        <v>17</v>
      </c>
      <c r="E309" s="31" t="s">
        <v>18</v>
      </c>
    </row>
    <row r="310" spans="1:6" x14ac:dyDescent="0.25">
      <c r="C310" s="24" t="s">
        <v>27</v>
      </c>
      <c r="D310" s="35">
        <f>'[1]Portefeuille overzicht'!$C$102</f>
        <v>32</v>
      </c>
      <c r="E310" s="36">
        <f>'[1]Portefeuille overzicht'!$C$120</f>
        <v>6431</v>
      </c>
    </row>
    <row r="311" spans="1:6" x14ac:dyDescent="0.25">
      <c r="C311" s="24" t="s">
        <v>8</v>
      </c>
      <c r="D311" s="35">
        <v>0</v>
      </c>
      <c r="E311" s="36">
        <f>'[1]Portefeuille overzicht'!$C$134</f>
        <v>12453</v>
      </c>
    </row>
    <row r="312" spans="1:6" x14ac:dyDescent="0.25">
      <c r="C312" s="24"/>
      <c r="D312" s="22"/>
      <c r="E312" s="31"/>
    </row>
    <row r="313" spans="1:6" x14ac:dyDescent="0.25">
      <c r="C313" s="24"/>
      <c r="D313" s="22"/>
      <c r="E313" s="31"/>
    </row>
    <row r="314" spans="1:6" x14ac:dyDescent="0.25">
      <c r="C314" s="24" t="s">
        <v>53</v>
      </c>
      <c r="D314" s="37">
        <f>'[1]Portefeuille overzicht'!$C$103/1000000</f>
        <v>208.69229048559961</v>
      </c>
      <c r="E314" s="38">
        <f>'[1]Portefeuille overzicht'!$C$121/1000000</f>
        <v>640.72586592999994</v>
      </c>
    </row>
    <row r="315" spans="1:6" x14ac:dyDescent="0.25">
      <c r="C315" s="24" t="s">
        <v>54</v>
      </c>
      <c r="D315" s="37">
        <f>'[1]Portefeuille overzicht'!$C$104/1000000</f>
        <v>383.6315571961905</v>
      </c>
      <c r="E315" s="38">
        <f>1.6172*E314</f>
        <v>1036.1818703819959</v>
      </c>
    </row>
    <row r="316" spans="1:6" x14ac:dyDescent="0.25">
      <c r="C316" s="24" t="s">
        <v>55</v>
      </c>
      <c r="D316" s="33">
        <v>0</v>
      </c>
      <c r="E316" s="39">
        <v>325.63600000000002</v>
      </c>
      <c r="F316" t="s">
        <v>152</v>
      </c>
    </row>
    <row r="317" spans="1:6" x14ac:dyDescent="0.25">
      <c r="C317" s="24"/>
      <c r="D317" s="22"/>
      <c r="E317" s="31"/>
    </row>
    <row r="318" spans="1:6" x14ac:dyDescent="0.25">
      <c r="C318" s="24"/>
      <c r="D318" s="22"/>
      <c r="E318" s="31"/>
    </row>
    <row r="319" spans="1:6" x14ac:dyDescent="0.25">
      <c r="C319" s="24" t="s">
        <v>35</v>
      </c>
      <c r="D319" s="27">
        <f>D340</f>
        <v>11</v>
      </c>
      <c r="E319" s="27">
        <f>D338</f>
        <v>59.23144400000001</v>
      </c>
    </row>
    <row r="320" spans="1:6" x14ac:dyDescent="0.25">
      <c r="C320" s="24"/>
      <c r="D320" s="24"/>
    </row>
    <row r="322" spans="1:8" x14ac:dyDescent="0.25">
      <c r="C322" s="22" t="s">
        <v>56</v>
      </c>
    </row>
    <row r="324" spans="1:8" x14ac:dyDescent="0.25">
      <c r="C324" t="s">
        <v>118</v>
      </c>
      <c r="D324" s="34">
        <f>E314</f>
        <v>640.72586592999994</v>
      </c>
    </row>
    <row r="325" spans="1:8" x14ac:dyDescent="0.25">
      <c r="C325" t="s">
        <v>119</v>
      </c>
      <c r="D325" s="19">
        <f>D314</f>
        <v>208.69229048559961</v>
      </c>
    </row>
    <row r="330" spans="1:8" x14ac:dyDescent="0.25">
      <c r="A330" t="s">
        <v>135</v>
      </c>
    </row>
    <row r="331" spans="1:8" x14ac:dyDescent="0.25">
      <c r="D331" s="45" t="s">
        <v>153</v>
      </c>
      <c r="E331" s="45" t="s">
        <v>163</v>
      </c>
      <c r="F331" s="45" t="s">
        <v>149</v>
      </c>
      <c r="G331" s="45" t="s">
        <v>36</v>
      </c>
      <c r="H331" s="45" t="s">
        <v>139</v>
      </c>
    </row>
    <row r="332" spans="1:8" x14ac:dyDescent="0.25">
      <c r="C332" t="s">
        <v>136</v>
      </c>
      <c r="D332" s="47">
        <f>E332-F332</f>
        <v>470</v>
      </c>
      <c r="E332" s="41">
        <f>15241</f>
        <v>15241</v>
      </c>
      <c r="F332">
        <v>14771</v>
      </c>
      <c r="G332">
        <v>14180</v>
      </c>
      <c r="H332">
        <v>13803</v>
      </c>
    </row>
    <row r="333" spans="1:8" s="41" customFormat="1" x14ac:dyDescent="0.25">
      <c r="C333" s="41" t="s">
        <v>138</v>
      </c>
      <c r="D333" s="47">
        <f>E333-F333</f>
        <v>572</v>
      </c>
      <c r="E333" s="41">
        <v>12453</v>
      </c>
      <c r="F333" s="41">
        <v>11881</v>
      </c>
      <c r="G333" s="41">
        <v>11281</v>
      </c>
      <c r="H333" s="41">
        <v>10725</v>
      </c>
    </row>
    <row r="334" spans="1:8" x14ac:dyDescent="0.25">
      <c r="C334" t="s">
        <v>137</v>
      </c>
      <c r="D334" s="47">
        <f>E334-F334</f>
        <v>45</v>
      </c>
      <c r="E334" s="41">
        <v>678</v>
      </c>
      <c r="F334">
        <v>633</v>
      </c>
      <c r="G334">
        <v>593</v>
      </c>
      <c r="H334">
        <v>559</v>
      </c>
    </row>
    <row r="335" spans="1:8" s="41" customFormat="1" x14ac:dyDescent="0.25">
      <c r="C335" s="41" t="s">
        <v>142</v>
      </c>
      <c r="D335" s="47">
        <f>E335-F335</f>
        <v>4</v>
      </c>
      <c r="E335" s="41">
        <v>54</v>
      </c>
      <c r="F335" s="41">
        <v>50</v>
      </c>
      <c r="G335" s="41">
        <v>47</v>
      </c>
      <c r="H335" s="41">
        <v>44</v>
      </c>
    </row>
    <row r="336" spans="1:8" x14ac:dyDescent="0.25">
      <c r="E336" s="41"/>
    </row>
    <row r="337" spans="1:8" x14ac:dyDescent="0.25">
      <c r="A337" t="s">
        <v>132</v>
      </c>
      <c r="E337" s="41"/>
    </row>
    <row r="338" spans="1:8" x14ac:dyDescent="0.25">
      <c r="C338" s="41" t="s">
        <v>136</v>
      </c>
      <c r="D338" s="47">
        <f>E338-F338</f>
        <v>59.23144400000001</v>
      </c>
      <c r="E338" s="19">
        <f>1935.39</f>
        <v>1935.39</v>
      </c>
      <c r="F338" s="101">
        <v>1876.1585560000001</v>
      </c>
      <c r="G338">
        <v>1790.6079999999999</v>
      </c>
      <c r="H338">
        <f>1743.123</f>
        <v>1743.123</v>
      </c>
    </row>
    <row r="339" spans="1:8" x14ac:dyDescent="0.25">
      <c r="C339" t="s">
        <v>141</v>
      </c>
      <c r="D339" s="47">
        <f>E339-F339</f>
        <v>12.968000000000018</v>
      </c>
      <c r="E339" s="19">
        <f>325.636</f>
        <v>325.63600000000002</v>
      </c>
      <c r="F339" s="43">
        <v>312.66800000000001</v>
      </c>
      <c r="G339">
        <v>297.13</v>
      </c>
      <c r="H339">
        <v>283.8</v>
      </c>
    </row>
    <row r="340" spans="1:8" x14ac:dyDescent="0.25">
      <c r="C340" t="s">
        <v>142</v>
      </c>
      <c r="D340" s="47">
        <f>E340-F340</f>
        <v>11</v>
      </c>
      <c r="E340" s="19">
        <f>910.189</f>
        <v>910.18899999999996</v>
      </c>
      <c r="F340" s="43">
        <v>899.18899999999996</v>
      </c>
      <c r="G340">
        <f>893.36</f>
        <v>893.36</v>
      </c>
      <c r="H340">
        <f>888.86</f>
        <v>888.86</v>
      </c>
    </row>
  </sheetData>
  <sortState ref="C126:D130">
    <sortCondition descending="1" ref="D126:D130"/>
  </sortState>
  <pageMargins left="0.7" right="0.7" top="0.75" bottom="0.75" header="0.3" footer="0.3"/>
  <pageSetup paperSize="9" orientation="portrait" verticalDpi="0" r:id="rId2"/>
  <drawing r:id="rId3"/>
  <legacyDrawing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AC16D4D6C546243A4BC03670D95EFBC" ma:contentTypeVersion="1" ma:contentTypeDescription="Een nieuw document maken." ma:contentTypeScope="" ma:versionID="299e8a23bbf5210eb8fe286a9deeffa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a44ebf640e2479a04c5d51aeb5ae438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2385EC1-3122-4BD8-BB21-FE09DCA0EB97}"/>
</file>

<file path=customXml/itemProps2.xml><?xml version="1.0" encoding="utf-8"?>
<ds:datastoreItem xmlns:ds="http://schemas.openxmlformats.org/officeDocument/2006/customXml" ds:itemID="{FE88F634-F733-4AD1-9719-6C3064B9F5C0}"/>
</file>

<file path=customXml/itemProps3.xml><?xml version="1.0" encoding="utf-8"?>
<ds:datastoreItem xmlns:ds="http://schemas.openxmlformats.org/officeDocument/2006/customXml" ds:itemID="{99E1EAFD-E7FE-4C52-9285-4C0F82ACEFD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4</vt:i4>
      </vt:variant>
      <vt:variant>
        <vt:lpstr>Benoemde bereiken</vt:lpstr>
      </vt:variant>
      <vt:variant>
        <vt:i4>3</vt:i4>
      </vt:variant>
    </vt:vector>
  </HeadingPairs>
  <TitlesOfParts>
    <vt:vector size="7" baseType="lpstr">
      <vt:lpstr>Overzicht</vt:lpstr>
      <vt:lpstr>PMV </vt:lpstr>
      <vt:lpstr>PMVZ</vt:lpstr>
      <vt:lpstr>Invulsheet</vt:lpstr>
      <vt:lpstr>Overzicht!Afdrukbereik</vt:lpstr>
      <vt:lpstr>'PMV '!Afdrukbereik</vt:lpstr>
      <vt:lpstr>PMVZ!Afdrukbereik</vt:lpstr>
    </vt:vector>
  </TitlesOfParts>
  <Company>PMV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Sneijers</dc:creator>
  <cp:lastModifiedBy>Callewaert, Sophie</cp:lastModifiedBy>
  <cp:lastPrinted>2017-07-27T12:40:34Z</cp:lastPrinted>
  <dcterms:created xsi:type="dcterms:W3CDTF">2017-01-11T10:51:32Z</dcterms:created>
  <dcterms:modified xsi:type="dcterms:W3CDTF">2017-10-12T09:32:58Z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0x0101000AC16D4D6C546243A4BC03670D95EFBC</vt:lpwstr>
  </property>
  <property fmtid="{D5CDD505-2E9C-101B-9397-08002B2CF9AE}" pid="3" name="e9774d0c1c5b4673b17cf4c67a514757">
    <vt:lpwstr>2014|684dd4d6-5be9-41c0-ac8a-e5d3fba756ad</vt:lpwstr>
  </property>
  <property fmtid="{D5CDD505-2E9C-101B-9397-08002B2CF9AE}" pid="4" name="b1a289345cf1476fbb8677cb3fc7ccc2">
    <vt:lpwstr>Parlementaire vragen / antwoorden|8ac8b9f5-0ac5-42e3-890d-c9b36bb0a8b3</vt:lpwstr>
  </property>
  <property fmtid="{D5CDD505-2E9C-101B-9397-08002B2CF9AE}" pid="5" name="Type_x0020_document">
    <vt:lpwstr>307;#Parlementaire vragen / antwoorden|8ac8b9f5-0ac5-42e3-890d-c9b36bb0a8b3</vt:lpwstr>
  </property>
  <property fmtid="{D5CDD505-2E9C-101B-9397-08002B2CF9AE}" pid="6" name="_docset_NoMedatataSyncRequired">
    <vt:lpwstr>False</vt:lpwstr>
  </property>
  <property fmtid="{D5CDD505-2E9C-101B-9397-08002B2CF9AE}" pid="7" name="Jaartal">
    <vt:lpwstr>310;#2014|684dd4d6-5be9-41c0-ac8a-e5d3fba756ad</vt:lpwstr>
  </property>
  <property fmtid="{D5CDD505-2E9C-101B-9397-08002B2CF9AE}" pid="8" name="Type document">
    <vt:lpwstr>307;#Parlementaire vragen / antwoorden|8ac8b9f5-0ac5-42e3-890d-c9b36bb0a8b3</vt:lpwstr>
  </property>
</Properties>
</file>