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_4 SCHRIFTELIJKE VRAGEN\2015-2016\Vraag nr_ 197 - Stedenbouwkundige en verkavelingsvergunningen-Beroepsprocedures - Bart Nevens\"/>
    </mc:Choice>
  </mc:AlternateContent>
  <bookViews>
    <workbookView xWindow="0" yWindow="0" windowWidth="21600" windowHeight="9735"/>
  </bookViews>
  <sheets>
    <sheet name="SV 197_deelvragen 1-3" sheetId="2" r:id="rId1"/>
  </sheets>
  <calcPr calcId="152511"/>
</workbook>
</file>

<file path=xl/calcChain.xml><?xml version="1.0" encoding="utf-8"?>
<calcChain xmlns="http://schemas.openxmlformats.org/spreadsheetml/2006/main">
  <c r="V6" i="2" l="1"/>
  <c r="X6" i="2"/>
  <c r="V7" i="2"/>
  <c r="X7" i="2"/>
  <c r="V8" i="2"/>
  <c r="X8" i="2"/>
  <c r="V9" i="2"/>
  <c r="X9" i="2"/>
  <c r="V10" i="2"/>
  <c r="X10" i="2"/>
  <c r="X5" i="2"/>
  <c r="Y5" i="2"/>
  <c r="V5" i="2"/>
  <c r="AK38" i="2"/>
  <c r="AI38" i="2"/>
  <c r="AH38" i="2"/>
  <c r="AG38" i="2"/>
  <c r="AF38" i="2"/>
  <c r="T38" i="2"/>
  <c r="R38" i="2"/>
  <c r="AJ38" i="2" s="1"/>
  <c r="AK37" i="2"/>
  <c r="AJ37" i="2"/>
  <c r="AI37" i="2"/>
  <c r="AH37" i="2"/>
  <c r="AG37" i="2"/>
  <c r="AF37" i="2"/>
  <c r="R37" i="2"/>
  <c r="AK36" i="2"/>
  <c r="AI36" i="2"/>
  <c r="AH36" i="2"/>
  <c r="AG36" i="2"/>
  <c r="AF36" i="2"/>
  <c r="R36" i="2"/>
  <c r="AJ36" i="2" s="1"/>
  <c r="AK35" i="2"/>
  <c r="AI35" i="2"/>
  <c r="AH35" i="2"/>
  <c r="AG35" i="2"/>
  <c r="AF35" i="2"/>
  <c r="R35" i="2"/>
  <c r="AJ35" i="2" s="1"/>
  <c r="AK34" i="2"/>
  <c r="AI34" i="2"/>
  <c r="AH34" i="2"/>
  <c r="AG34" i="2"/>
  <c r="AF34" i="2"/>
  <c r="R34" i="2"/>
  <c r="AJ34" i="2" s="1"/>
  <c r="AK33" i="2"/>
  <c r="AJ33" i="2"/>
  <c r="AI33" i="2"/>
  <c r="AH33" i="2"/>
  <c r="AG33" i="2"/>
  <c r="AF33" i="2"/>
  <c r="R33" i="2"/>
  <c r="AK24" i="2"/>
  <c r="AH24" i="2"/>
  <c r="AF24" i="2"/>
  <c r="AD24" i="2"/>
  <c r="AC24" i="2"/>
  <c r="AA24" i="2"/>
  <c r="X24" i="2"/>
  <c r="U24" i="2"/>
  <c r="R24" i="2"/>
  <c r="Q24" i="2"/>
  <c r="O24" i="2"/>
  <c r="L24" i="2"/>
  <c r="K24" i="2"/>
  <c r="I24" i="2"/>
  <c r="F24" i="2"/>
  <c r="AJ24" i="2" s="1"/>
  <c r="C24" i="2"/>
  <c r="AK23" i="2"/>
  <c r="AH23" i="2"/>
  <c r="AF23" i="2"/>
  <c r="AD23" i="2"/>
  <c r="AC23" i="2"/>
  <c r="AA23" i="2"/>
  <c r="X23" i="2"/>
  <c r="R23" i="2"/>
  <c r="Q23" i="2"/>
  <c r="AI23" i="2" s="1"/>
  <c r="O23" i="2"/>
  <c r="L23" i="2"/>
  <c r="I23" i="2"/>
  <c r="F23" i="2"/>
  <c r="E23" i="2"/>
  <c r="C23" i="2"/>
  <c r="AG23" i="2" s="1"/>
  <c r="AK22" i="2"/>
  <c r="AH22" i="2"/>
  <c r="AF22" i="2"/>
  <c r="AD22" i="2"/>
  <c r="AA22" i="2"/>
  <c r="X22" i="2"/>
  <c r="U22" i="2"/>
  <c r="R22" i="2"/>
  <c r="Q22" i="2"/>
  <c r="O22" i="2"/>
  <c r="L22" i="2"/>
  <c r="K22" i="2"/>
  <c r="I22" i="2"/>
  <c r="F22" i="2"/>
  <c r="E22" i="2"/>
  <c r="C22" i="2"/>
  <c r="AK21" i="2"/>
  <c r="AH21" i="2"/>
  <c r="AF21" i="2"/>
  <c r="AD21" i="2"/>
  <c r="AC21" i="2"/>
  <c r="AA21" i="2"/>
  <c r="X21" i="2"/>
  <c r="U21" i="2"/>
  <c r="R21" i="2"/>
  <c r="Q21" i="2"/>
  <c r="O21" i="2"/>
  <c r="L21" i="2"/>
  <c r="K21" i="2"/>
  <c r="I21" i="2"/>
  <c r="F21" i="2"/>
  <c r="E21" i="2"/>
  <c r="AI21" i="2" s="1"/>
  <c r="C21" i="2"/>
  <c r="AK20" i="2"/>
  <c r="AH20" i="2"/>
  <c r="AF20" i="2"/>
  <c r="AD20" i="2"/>
  <c r="AC20" i="2"/>
  <c r="AA20" i="2"/>
  <c r="X20" i="2"/>
  <c r="U20" i="2"/>
  <c r="R20" i="2"/>
  <c r="Q20" i="2"/>
  <c r="O20" i="2"/>
  <c r="F20" i="2"/>
  <c r="C20" i="2"/>
  <c r="AK19" i="2"/>
  <c r="AJ19" i="2"/>
  <c r="AI19" i="2"/>
  <c r="AH19" i="2"/>
  <c r="AG19" i="2"/>
  <c r="AF19" i="2"/>
  <c r="U10" i="2"/>
  <c r="S10" i="2"/>
  <c r="Q10" i="2"/>
  <c r="O10" i="2"/>
  <c r="M10" i="2"/>
  <c r="K10" i="2"/>
  <c r="I10" i="2"/>
  <c r="G10" i="2"/>
  <c r="E10" i="2"/>
  <c r="Y10" i="2" s="1"/>
  <c r="C10" i="2"/>
  <c r="W10" i="2" s="1"/>
  <c r="U9" i="2"/>
  <c r="S9" i="2"/>
  <c r="Q9" i="2"/>
  <c r="O9" i="2"/>
  <c r="M9" i="2"/>
  <c r="K9" i="2"/>
  <c r="I9" i="2"/>
  <c r="G9" i="2"/>
  <c r="E9" i="2"/>
  <c r="Y9" i="2" s="1"/>
  <c r="C9" i="2"/>
  <c r="W9" i="2" s="1"/>
  <c r="U8" i="2"/>
  <c r="S8" i="2"/>
  <c r="Q8" i="2"/>
  <c r="O8" i="2"/>
  <c r="M8" i="2"/>
  <c r="K8" i="2"/>
  <c r="I8" i="2"/>
  <c r="Y8" i="2" s="1"/>
  <c r="C8" i="2"/>
  <c r="W8" i="2" s="1"/>
  <c r="U7" i="2"/>
  <c r="S7" i="2"/>
  <c r="Q7" i="2"/>
  <c r="O7" i="2"/>
  <c r="M7" i="2"/>
  <c r="K7" i="2"/>
  <c r="I7" i="2"/>
  <c r="G7" i="2"/>
  <c r="E7" i="2"/>
  <c r="Y7" i="2" s="1"/>
  <c r="C7" i="2"/>
  <c r="W7" i="2" s="1"/>
  <c r="S6" i="2"/>
  <c r="Q6" i="2"/>
  <c r="O6" i="2"/>
  <c r="M6" i="2"/>
  <c r="K6" i="2"/>
  <c r="I6" i="2"/>
  <c r="G6" i="2"/>
  <c r="E6" i="2"/>
  <c r="Y6" i="2" s="1"/>
  <c r="C6" i="2"/>
  <c r="W6" i="2" s="1"/>
  <c r="S5" i="2"/>
  <c r="O5" i="2"/>
  <c r="M5" i="2"/>
  <c r="K5" i="2"/>
  <c r="G5" i="2"/>
  <c r="W5" i="2" s="1"/>
  <c r="AJ20" i="2" l="1"/>
  <c r="AG22" i="2"/>
  <c r="AI20" i="2"/>
  <c r="AG20" i="2"/>
  <c r="AJ21" i="2"/>
  <c r="AI22" i="2"/>
  <c r="AJ22" i="2"/>
  <c r="AG24" i="2"/>
  <c r="AI24" i="2"/>
  <c r="AG21" i="2"/>
  <c r="AJ23" i="2"/>
</calcChain>
</file>

<file path=xl/sharedStrings.xml><?xml version="1.0" encoding="utf-8"?>
<sst xmlns="http://schemas.openxmlformats.org/spreadsheetml/2006/main" count="118" uniqueCount="26">
  <si>
    <t>Antwerpen</t>
  </si>
  <si>
    <t>Limburg</t>
  </si>
  <si>
    <t>Vlaams-Brabant</t>
  </si>
  <si>
    <t>Oost-Vlaanderen</t>
  </si>
  <si>
    <t>West-Vlaanderen</t>
  </si>
  <si>
    <t>Vlaanderen</t>
  </si>
  <si>
    <t>Beroep Dep VV</t>
  </si>
  <si>
    <t>CBS - SV</t>
  </si>
  <si>
    <t>CBS - VV</t>
  </si>
  <si>
    <t>Beroep Dep SV</t>
  </si>
  <si>
    <t>Beroep Dep - SV</t>
  </si>
  <si>
    <t>Beroep Dep - VV</t>
  </si>
  <si>
    <t>CBS - weig. SV</t>
  </si>
  <si>
    <t>a) Beroep weig. SV</t>
  </si>
  <si>
    <t>CBS SV</t>
  </si>
  <si>
    <t>b) Beroep aanvrager</t>
  </si>
  <si>
    <t>d) Beroep advies/RV</t>
  </si>
  <si>
    <t>1. Aantal beroepen ingesteld tegen stedenbouwkundige (SV) en verkavelingsdossiers (VV)</t>
  </si>
  <si>
    <t>2. Weergave van beroepsindiener tegen stedenbouwkundige (SV) en verkavelingsdossiers (VV)</t>
  </si>
  <si>
    <t>3. Besluiten deputatie</t>
  </si>
  <si>
    <t>a) Bevestiging deputatie</t>
  </si>
  <si>
    <t>c) Weigering deputatie</t>
  </si>
  <si>
    <t>d) Verg. deputatie</t>
  </si>
  <si>
    <t>b) Bevestiging deputatie</t>
  </si>
  <si>
    <t>c) Beroep derde</t>
  </si>
  <si>
    <t>Bron: Bredero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</si>
</sst>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2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/>
  </cellXfs>
  <cellStyles count="5">
    <cellStyle name="Standaard" xfId="0" builtinId="0"/>
    <cellStyle name="Standaard 2" xfId="1"/>
    <cellStyle name="Standaard 2 2" xfId="3"/>
    <cellStyle name="Standaard 3" xfId="2"/>
    <cellStyle name="Standaard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redero.vlaanderen.be/bredero2/wicket/?x=pJu48qGneSjhuk3jrZSrfg" TargetMode="External"/><Relationship Id="rId1" Type="http://schemas.openxmlformats.org/officeDocument/2006/relationships/hyperlink" Target="http://bredero.vlaanderen.be/bredero2/wicket/?x=QJuIGDY9BbGGBRk44AAg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zoomScale="60" zoomScaleNormal="60" workbookViewId="0">
      <selection activeCell="D59" sqref="D59"/>
    </sheetView>
  </sheetViews>
  <sheetFormatPr defaultColWidth="16.42578125" defaultRowHeight="15" x14ac:dyDescent="0.25"/>
  <cols>
    <col min="1" max="1" width="16.42578125" style="13"/>
    <col min="2" max="21" width="16.42578125" style="1"/>
    <col min="22" max="16384" width="16.42578125" style="13"/>
  </cols>
  <sheetData>
    <row r="1" spans="1:25" x14ac:dyDescent="0.25">
      <c r="A1" s="14" t="s">
        <v>17</v>
      </c>
    </row>
    <row r="2" spans="1:25" ht="15.75" thickBot="1" x14ac:dyDescent="0.3"/>
    <row r="3" spans="1:25" x14ac:dyDescent="0.25">
      <c r="B3" s="54" t="s">
        <v>0</v>
      </c>
      <c r="C3" s="55"/>
      <c r="D3" s="55"/>
      <c r="E3" s="56"/>
      <c r="F3" s="54" t="s">
        <v>1</v>
      </c>
      <c r="G3" s="55"/>
      <c r="H3" s="55"/>
      <c r="I3" s="56"/>
      <c r="J3" s="54" t="s">
        <v>3</v>
      </c>
      <c r="K3" s="55"/>
      <c r="L3" s="55"/>
      <c r="M3" s="56"/>
      <c r="N3" s="54" t="s">
        <v>4</v>
      </c>
      <c r="O3" s="55"/>
      <c r="P3" s="55"/>
      <c r="Q3" s="56"/>
      <c r="R3" s="54" t="s">
        <v>2</v>
      </c>
      <c r="S3" s="55"/>
      <c r="T3" s="55"/>
      <c r="U3" s="56"/>
      <c r="V3" s="54" t="s">
        <v>5</v>
      </c>
      <c r="W3" s="55"/>
      <c r="X3" s="55"/>
      <c r="Y3" s="56"/>
    </row>
    <row r="4" spans="1:25" s="15" customFormat="1" x14ac:dyDescent="0.25">
      <c r="B4" s="31" t="s">
        <v>7</v>
      </c>
      <c r="C4" s="9" t="s">
        <v>10</v>
      </c>
      <c r="D4" s="8" t="s">
        <v>8</v>
      </c>
      <c r="E4" s="32" t="s">
        <v>11</v>
      </c>
      <c r="F4" s="31" t="s">
        <v>7</v>
      </c>
      <c r="G4" s="9" t="s">
        <v>9</v>
      </c>
      <c r="H4" s="8" t="s">
        <v>8</v>
      </c>
      <c r="I4" s="32" t="s">
        <v>6</v>
      </c>
      <c r="J4" s="31" t="s">
        <v>7</v>
      </c>
      <c r="K4" s="9" t="s">
        <v>9</v>
      </c>
      <c r="L4" s="8" t="s">
        <v>8</v>
      </c>
      <c r="M4" s="32" t="s">
        <v>6</v>
      </c>
      <c r="N4" s="31" t="s">
        <v>7</v>
      </c>
      <c r="O4" s="9" t="s">
        <v>9</v>
      </c>
      <c r="P4" s="8" t="s">
        <v>8</v>
      </c>
      <c r="Q4" s="9" t="s">
        <v>6</v>
      </c>
      <c r="R4" s="31" t="s">
        <v>7</v>
      </c>
      <c r="S4" s="9" t="s">
        <v>9</v>
      </c>
      <c r="T4" s="8" t="s">
        <v>8</v>
      </c>
      <c r="U4" s="32" t="s">
        <v>6</v>
      </c>
      <c r="V4" s="31" t="s">
        <v>7</v>
      </c>
      <c r="W4" s="9" t="s">
        <v>9</v>
      </c>
      <c r="X4" s="8" t="s">
        <v>8</v>
      </c>
      <c r="Y4" s="32" t="s">
        <v>6</v>
      </c>
    </row>
    <row r="5" spans="1:25" x14ac:dyDescent="0.25">
      <c r="A5" s="4">
        <v>2009</v>
      </c>
      <c r="B5" s="33">
        <v>21338</v>
      </c>
      <c r="C5" s="11">
        <v>10</v>
      </c>
      <c r="D5" s="10">
        <v>1069</v>
      </c>
      <c r="E5" s="34">
        <v>1</v>
      </c>
      <c r="F5" s="33">
        <v>11349</v>
      </c>
      <c r="G5" s="11">
        <f>87+76</f>
        <v>163</v>
      </c>
      <c r="H5" s="10">
        <v>1183</v>
      </c>
      <c r="I5" s="34">
        <v>44</v>
      </c>
      <c r="J5" s="33">
        <v>19080</v>
      </c>
      <c r="K5" s="12">
        <f>78+58</f>
        <v>136</v>
      </c>
      <c r="L5" s="10">
        <v>1987</v>
      </c>
      <c r="M5" s="11">
        <f>16+7</f>
        <v>23</v>
      </c>
      <c r="N5" s="33">
        <v>16180</v>
      </c>
      <c r="O5" s="11">
        <f>12+11</f>
        <v>23</v>
      </c>
      <c r="P5" s="10">
        <v>652</v>
      </c>
      <c r="Q5" s="11">
        <v>0</v>
      </c>
      <c r="R5" s="33">
        <v>11643</v>
      </c>
      <c r="S5" s="11">
        <f>12+3</f>
        <v>15</v>
      </c>
      <c r="T5" s="10">
        <v>1503</v>
      </c>
      <c r="U5" s="11">
        <v>2</v>
      </c>
      <c r="V5" s="33">
        <f>SUM(B5,F5,J5,N5,R5)</f>
        <v>79590</v>
      </c>
      <c r="W5" s="11">
        <f t="shared" ref="W5:Y5" si="0">SUM(C5,G5,K5,O5,S5)</f>
        <v>347</v>
      </c>
      <c r="X5" s="10">
        <f t="shared" si="0"/>
        <v>6394</v>
      </c>
      <c r="Y5" s="11">
        <f t="shared" si="0"/>
        <v>70</v>
      </c>
    </row>
    <row r="6" spans="1:25" x14ac:dyDescent="0.25">
      <c r="A6" s="2">
        <v>2010</v>
      </c>
      <c r="B6" s="33">
        <v>19902</v>
      </c>
      <c r="C6" s="12">
        <f>389+143</f>
        <v>532</v>
      </c>
      <c r="D6" s="10">
        <v>1111</v>
      </c>
      <c r="E6" s="34">
        <f>41+21</f>
        <v>62</v>
      </c>
      <c r="F6" s="33">
        <v>10672</v>
      </c>
      <c r="G6" s="12">
        <f>219+249+1</f>
        <v>469</v>
      </c>
      <c r="H6" s="10">
        <v>980</v>
      </c>
      <c r="I6" s="34">
        <f>44+57</f>
        <v>101</v>
      </c>
      <c r="J6" s="33">
        <v>18962</v>
      </c>
      <c r="K6" s="12">
        <f>301+474</f>
        <v>775</v>
      </c>
      <c r="L6" s="10">
        <v>1948</v>
      </c>
      <c r="M6" s="12">
        <f>87+2+54</f>
        <v>143</v>
      </c>
      <c r="N6" s="33">
        <v>16038</v>
      </c>
      <c r="O6" s="12">
        <f>225+197</f>
        <v>422</v>
      </c>
      <c r="P6" s="10">
        <v>625</v>
      </c>
      <c r="Q6" s="12">
        <f>22+13</f>
        <v>35</v>
      </c>
      <c r="R6" s="33">
        <v>11664</v>
      </c>
      <c r="S6" s="12">
        <f>213+191</f>
        <v>404</v>
      </c>
      <c r="T6" s="10">
        <v>1390</v>
      </c>
      <c r="U6" s="12">
        <v>100</v>
      </c>
      <c r="V6" s="33">
        <f t="shared" ref="V6:V10" si="1">SUM(B6,F6,J6,N6,R6)</f>
        <v>77238</v>
      </c>
      <c r="W6" s="12">
        <f t="shared" ref="W6:W10" si="2">SUM(C6,G6,K6,O6,S6)</f>
        <v>2602</v>
      </c>
      <c r="X6" s="10">
        <f t="shared" ref="X6:X10" si="3">SUM(D6,H6,L6,P6,T6)</f>
        <v>6054</v>
      </c>
      <c r="Y6" s="12">
        <f t="shared" ref="Y6:Y10" si="4">SUM(E6,I6,M6,Q6,U6)</f>
        <v>441</v>
      </c>
    </row>
    <row r="7" spans="1:25" x14ac:dyDescent="0.25">
      <c r="A7" s="2">
        <v>2011</v>
      </c>
      <c r="B7" s="33">
        <v>15482</v>
      </c>
      <c r="C7" s="12">
        <f>430+130</f>
        <v>560</v>
      </c>
      <c r="D7" s="10">
        <v>1054</v>
      </c>
      <c r="E7" s="34">
        <f>70+37</f>
        <v>107</v>
      </c>
      <c r="F7" s="33">
        <v>8546</v>
      </c>
      <c r="G7" s="12">
        <f>189+234</f>
        <v>423</v>
      </c>
      <c r="H7" s="10">
        <v>884</v>
      </c>
      <c r="I7" s="34">
        <f>19+46</f>
        <v>65</v>
      </c>
      <c r="J7" s="33">
        <v>16306</v>
      </c>
      <c r="K7" s="12">
        <f>283+439</f>
        <v>722</v>
      </c>
      <c r="L7" s="10">
        <v>1751</v>
      </c>
      <c r="M7" s="12">
        <f>37+1+93</f>
        <v>131</v>
      </c>
      <c r="N7" s="33">
        <v>14300</v>
      </c>
      <c r="O7" s="12">
        <f>183+182</f>
        <v>365</v>
      </c>
      <c r="P7" s="10">
        <v>618</v>
      </c>
      <c r="Q7" s="12">
        <f>14+25</f>
        <v>39</v>
      </c>
      <c r="R7" s="33">
        <v>9072</v>
      </c>
      <c r="S7" s="12">
        <f>244+179</f>
        <v>423</v>
      </c>
      <c r="T7" s="10">
        <v>1234</v>
      </c>
      <c r="U7" s="12">
        <f>66+46</f>
        <v>112</v>
      </c>
      <c r="V7" s="33">
        <f t="shared" si="1"/>
        <v>63706</v>
      </c>
      <c r="W7" s="12">
        <f t="shared" si="2"/>
        <v>2493</v>
      </c>
      <c r="X7" s="10">
        <f t="shared" si="3"/>
        <v>5541</v>
      </c>
      <c r="Y7" s="12">
        <f t="shared" si="4"/>
        <v>454</v>
      </c>
    </row>
    <row r="8" spans="1:25" x14ac:dyDescent="0.25">
      <c r="A8" s="2">
        <v>2012</v>
      </c>
      <c r="B8" s="33">
        <v>15304</v>
      </c>
      <c r="C8" s="12">
        <f>176+377</f>
        <v>553</v>
      </c>
      <c r="D8" s="10">
        <v>1067</v>
      </c>
      <c r="E8" s="34">
        <v>1</v>
      </c>
      <c r="F8" s="33">
        <v>8662</v>
      </c>
      <c r="G8" s="12">
        <v>351</v>
      </c>
      <c r="H8" s="10">
        <v>868</v>
      </c>
      <c r="I8" s="34">
        <f>25+39</f>
        <v>64</v>
      </c>
      <c r="J8" s="33">
        <v>15302</v>
      </c>
      <c r="K8" s="12">
        <f>363+227</f>
        <v>590</v>
      </c>
      <c r="L8" s="10">
        <v>1646</v>
      </c>
      <c r="M8" s="34">
        <f>59+34</f>
        <v>93</v>
      </c>
      <c r="N8" s="33">
        <v>13345</v>
      </c>
      <c r="O8" s="12">
        <f>166+220</f>
        <v>386</v>
      </c>
      <c r="P8" s="10">
        <v>563</v>
      </c>
      <c r="Q8" s="12">
        <f>15+19</f>
        <v>34</v>
      </c>
      <c r="R8" s="33">
        <v>8972</v>
      </c>
      <c r="S8" s="12">
        <f>236+190</f>
        <v>426</v>
      </c>
      <c r="T8" s="10">
        <v>1218</v>
      </c>
      <c r="U8" s="12">
        <f>69+55</f>
        <v>124</v>
      </c>
      <c r="V8" s="33">
        <f t="shared" si="1"/>
        <v>61585</v>
      </c>
      <c r="W8" s="12">
        <f t="shared" si="2"/>
        <v>2306</v>
      </c>
      <c r="X8" s="10">
        <f t="shared" si="3"/>
        <v>5362</v>
      </c>
      <c r="Y8" s="12">
        <f t="shared" si="4"/>
        <v>316</v>
      </c>
    </row>
    <row r="9" spans="1:25" x14ac:dyDescent="0.25">
      <c r="A9" s="2">
        <v>2013</v>
      </c>
      <c r="B9" s="33">
        <v>14980</v>
      </c>
      <c r="C9" s="12">
        <f>157+265</f>
        <v>422</v>
      </c>
      <c r="D9" s="10">
        <v>1032</v>
      </c>
      <c r="E9" s="34">
        <f>46+30</f>
        <v>76</v>
      </c>
      <c r="F9" s="33">
        <v>8610</v>
      </c>
      <c r="G9" s="12">
        <f>177+1+180</f>
        <v>358</v>
      </c>
      <c r="H9" s="10">
        <v>863</v>
      </c>
      <c r="I9" s="34">
        <f>38+36</f>
        <v>74</v>
      </c>
      <c r="J9" s="33">
        <v>15671</v>
      </c>
      <c r="K9" s="12">
        <f>238+3+343</f>
        <v>584</v>
      </c>
      <c r="L9" s="10">
        <v>1616</v>
      </c>
      <c r="M9" s="34">
        <f>80+30</f>
        <v>110</v>
      </c>
      <c r="N9" s="33">
        <v>14829</v>
      </c>
      <c r="O9" s="12">
        <f>214+211</f>
        <v>425</v>
      </c>
      <c r="P9" s="10">
        <v>612</v>
      </c>
      <c r="Q9" s="12">
        <f>21+15</f>
        <v>36</v>
      </c>
      <c r="R9" s="33">
        <v>9251</v>
      </c>
      <c r="S9" s="12">
        <f>221+1+179</f>
        <v>401</v>
      </c>
      <c r="T9" s="10">
        <v>1174</v>
      </c>
      <c r="U9" s="12">
        <f>56+48</f>
        <v>104</v>
      </c>
      <c r="V9" s="33">
        <f t="shared" si="1"/>
        <v>63341</v>
      </c>
      <c r="W9" s="12">
        <f t="shared" si="2"/>
        <v>2190</v>
      </c>
      <c r="X9" s="10">
        <f t="shared" si="3"/>
        <v>5297</v>
      </c>
      <c r="Y9" s="12">
        <f t="shared" si="4"/>
        <v>400</v>
      </c>
    </row>
    <row r="10" spans="1:25" ht="15.75" thickBot="1" x14ac:dyDescent="0.3">
      <c r="A10" s="3">
        <v>2014</v>
      </c>
      <c r="B10" s="35">
        <v>14702</v>
      </c>
      <c r="C10" s="36">
        <f>172+266</f>
        <v>438</v>
      </c>
      <c r="D10" s="37">
        <v>973</v>
      </c>
      <c r="E10" s="36">
        <f>59+28</f>
        <v>87</v>
      </c>
      <c r="F10" s="35">
        <v>7851</v>
      </c>
      <c r="G10" s="36">
        <f>192+1+179</f>
        <v>372</v>
      </c>
      <c r="H10" s="37">
        <v>722</v>
      </c>
      <c r="I10" s="36">
        <f>29+27</f>
        <v>56</v>
      </c>
      <c r="J10" s="35">
        <v>15191</v>
      </c>
      <c r="K10" s="36">
        <f>408+3+187</f>
        <v>598</v>
      </c>
      <c r="L10" s="37">
        <v>1371</v>
      </c>
      <c r="M10" s="36">
        <f>55+24</f>
        <v>79</v>
      </c>
      <c r="N10" s="35">
        <v>14504</v>
      </c>
      <c r="O10" s="36">
        <f>188+7+157</f>
        <v>352</v>
      </c>
      <c r="P10" s="37">
        <v>496</v>
      </c>
      <c r="Q10" s="36">
        <f>32+16</f>
        <v>48</v>
      </c>
      <c r="R10" s="35">
        <v>9410</v>
      </c>
      <c r="S10" s="36">
        <f>234+190</f>
        <v>424</v>
      </c>
      <c r="T10" s="37">
        <v>1030</v>
      </c>
      <c r="U10" s="36">
        <f>45+53</f>
        <v>98</v>
      </c>
      <c r="V10" s="35">
        <f t="shared" si="1"/>
        <v>61658</v>
      </c>
      <c r="W10" s="36">
        <f t="shared" si="2"/>
        <v>2184</v>
      </c>
      <c r="X10" s="37">
        <f t="shared" si="3"/>
        <v>4592</v>
      </c>
      <c r="Y10" s="36">
        <f t="shared" si="4"/>
        <v>368</v>
      </c>
    </row>
    <row r="12" spans="1:25" x14ac:dyDescent="0.25">
      <c r="P12" s="13"/>
      <c r="Q12" s="13"/>
      <c r="R12" s="13"/>
      <c r="S12" s="13"/>
      <c r="T12" s="13"/>
    </row>
    <row r="14" spans="1:2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5" x14ac:dyDescent="0.25">
      <c r="A15" s="14" t="s">
        <v>18</v>
      </c>
    </row>
    <row r="16" spans="1:25" ht="15.75" thickBot="1" x14ac:dyDescent="0.3"/>
    <row r="17" spans="1:39" ht="15.75" thickBot="1" x14ac:dyDescent="0.3">
      <c r="B17" s="51" t="s">
        <v>0</v>
      </c>
      <c r="C17" s="52"/>
      <c r="D17" s="52"/>
      <c r="E17" s="52"/>
      <c r="F17" s="52"/>
      <c r="G17" s="53"/>
      <c r="H17" s="51" t="s">
        <v>1</v>
      </c>
      <c r="I17" s="52"/>
      <c r="J17" s="52"/>
      <c r="K17" s="52"/>
      <c r="L17" s="52"/>
      <c r="M17" s="53"/>
      <c r="N17" s="51" t="s">
        <v>3</v>
      </c>
      <c r="O17" s="52"/>
      <c r="P17" s="52"/>
      <c r="Q17" s="52"/>
      <c r="R17" s="52"/>
      <c r="S17" s="53"/>
      <c r="T17" s="51" t="s">
        <v>4</v>
      </c>
      <c r="U17" s="57"/>
      <c r="V17" s="57"/>
      <c r="W17" s="57"/>
      <c r="X17" s="57"/>
      <c r="Y17" s="58"/>
      <c r="Z17" s="51" t="s">
        <v>2</v>
      </c>
      <c r="AA17" s="52"/>
      <c r="AB17" s="52"/>
      <c r="AC17" s="52"/>
      <c r="AD17" s="52"/>
      <c r="AE17" s="53"/>
      <c r="AF17" s="51" t="s">
        <v>5</v>
      </c>
      <c r="AG17" s="52"/>
      <c r="AH17" s="52"/>
      <c r="AI17" s="52"/>
      <c r="AJ17" s="52"/>
      <c r="AK17" s="53"/>
    </row>
    <row r="18" spans="1:39" s="15" customFormat="1" ht="30" x14ac:dyDescent="0.25">
      <c r="B18" s="42" t="s">
        <v>12</v>
      </c>
      <c r="C18" s="43" t="s">
        <v>13</v>
      </c>
      <c r="D18" s="44" t="s">
        <v>14</v>
      </c>
      <c r="E18" s="45" t="s">
        <v>15</v>
      </c>
      <c r="F18" s="45" t="s">
        <v>24</v>
      </c>
      <c r="G18" s="46" t="s">
        <v>16</v>
      </c>
      <c r="H18" s="42" t="s">
        <v>12</v>
      </c>
      <c r="I18" s="43" t="s">
        <v>13</v>
      </c>
      <c r="J18" s="44" t="s">
        <v>14</v>
      </c>
      <c r="K18" s="45" t="s">
        <v>15</v>
      </c>
      <c r="L18" s="45" t="s">
        <v>24</v>
      </c>
      <c r="M18" s="46" t="s">
        <v>16</v>
      </c>
      <c r="N18" s="42" t="s">
        <v>12</v>
      </c>
      <c r="O18" s="43" t="s">
        <v>13</v>
      </c>
      <c r="P18" s="44" t="s">
        <v>14</v>
      </c>
      <c r="Q18" s="45" t="s">
        <v>15</v>
      </c>
      <c r="R18" s="45" t="s">
        <v>24</v>
      </c>
      <c r="S18" s="46" t="s">
        <v>16</v>
      </c>
      <c r="T18" s="42" t="s">
        <v>12</v>
      </c>
      <c r="U18" s="43" t="s">
        <v>13</v>
      </c>
      <c r="V18" s="44" t="s">
        <v>14</v>
      </c>
      <c r="W18" s="45" t="s">
        <v>15</v>
      </c>
      <c r="X18" s="45" t="s">
        <v>24</v>
      </c>
      <c r="Y18" s="46" t="s">
        <v>16</v>
      </c>
      <c r="Z18" s="42" t="s">
        <v>12</v>
      </c>
      <c r="AA18" s="43" t="s">
        <v>13</v>
      </c>
      <c r="AB18" s="44" t="s">
        <v>14</v>
      </c>
      <c r="AC18" s="45" t="s">
        <v>15</v>
      </c>
      <c r="AD18" s="45" t="s">
        <v>24</v>
      </c>
      <c r="AE18" s="46" t="s">
        <v>16</v>
      </c>
      <c r="AF18" s="42" t="s">
        <v>12</v>
      </c>
      <c r="AG18" s="43" t="s">
        <v>13</v>
      </c>
      <c r="AH18" s="44" t="s">
        <v>14</v>
      </c>
      <c r="AI18" s="45" t="s">
        <v>15</v>
      </c>
      <c r="AJ18" s="45" t="s">
        <v>24</v>
      </c>
      <c r="AK18" s="46" t="s">
        <v>16</v>
      </c>
    </row>
    <row r="19" spans="1:39" x14ac:dyDescent="0.25">
      <c r="A19" s="5">
        <v>2009</v>
      </c>
      <c r="B19" s="24">
        <v>1497</v>
      </c>
      <c r="C19" s="20">
        <v>4</v>
      </c>
      <c r="D19" s="19">
        <v>19797</v>
      </c>
      <c r="E19" s="21">
        <v>1</v>
      </c>
      <c r="F19" s="21">
        <v>3</v>
      </c>
      <c r="G19" s="25">
        <v>22</v>
      </c>
      <c r="H19" s="24">
        <v>1086</v>
      </c>
      <c r="I19" s="20">
        <v>1</v>
      </c>
      <c r="J19" s="19">
        <v>10024</v>
      </c>
      <c r="K19" s="21">
        <v>0</v>
      </c>
      <c r="L19" s="21">
        <v>0</v>
      </c>
      <c r="M19" s="25">
        <v>24</v>
      </c>
      <c r="N19" s="24">
        <v>1831</v>
      </c>
      <c r="O19" s="20">
        <v>16</v>
      </c>
      <c r="P19" s="19">
        <v>17224</v>
      </c>
      <c r="Q19" s="20">
        <v>3</v>
      </c>
      <c r="R19" s="21">
        <v>6</v>
      </c>
      <c r="S19" s="25">
        <v>13</v>
      </c>
      <c r="T19" s="24">
        <v>978</v>
      </c>
      <c r="U19" s="20">
        <v>11</v>
      </c>
      <c r="V19" s="19">
        <v>15183</v>
      </c>
      <c r="W19" s="21">
        <v>5</v>
      </c>
      <c r="X19" s="21">
        <v>10</v>
      </c>
      <c r="Y19" s="25">
        <v>16</v>
      </c>
      <c r="Z19" s="24">
        <v>1008</v>
      </c>
      <c r="AA19" s="20">
        <v>5</v>
      </c>
      <c r="AB19" s="19">
        <v>10615</v>
      </c>
      <c r="AC19" s="21">
        <v>3</v>
      </c>
      <c r="AD19" s="21">
        <v>4</v>
      </c>
      <c r="AE19" s="25">
        <v>5</v>
      </c>
      <c r="AF19" s="24">
        <f>SUM(B19,H19,N19,T19,Z19)</f>
        <v>6400</v>
      </c>
      <c r="AG19" s="20">
        <f>SUM(C19,I19,O19,U19,AA19)</f>
        <v>37</v>
      </c>
      <c r="AH19" s="19">
        <f>SUM(D19,J19,P19,V19,AB19)</f>
        <v>72843</v>
      </c>
      <c r="AI19" s="21">
        <f>+E19+K19+Q19+W19+AC19</f>
        <v>12</v>
      </c>
      <c r="AJ19" s="21">
        <f t="shared" ref="AJ19:AJ24" si="5">+F19+L19+R19+X19+AD19</f>
        <v>23</v>
      </c>
      <c r="AK19" s="25">
        <f t="shared" ref="AK19:AK24" si="6">SUM(G19,M19,S19,Y19,AE19)</f>
        <v>80</v>
      </c>
      <c r="AM19" s="15"/>
    </row>
    <row r="20" spans="1:39" x14ac:dyDescent="0.25">
      <c r="A20" s="6">
        <v>2010</v>
      </c>
      <c r="B20" s="24">
        <v>1659</v>
      </c>
      <c r="C20" s="20">
        <f>252+125</f>
        <v>377</v>
      </c>
      <c r="D20" s="19">
        <v>18093</v>
      </c>
      <c r="E20" s="21">
        <v>1</v>
      </c>
      <c r="F20" s="21">
        <f>93+13</f>
        <v>106</v>
      </c>
      <c r="G20" s="25">
        <v>47</v>
      </c>
      <c r="H20" s="24">
        <v>966</v>
      </c>
      <c r="I20" s="20">
        <v>6</v>
      </c>
      <c r="J20" s="19">
        <v>9447</v>
      </c>
      <c r="K20" s="21">
        <v>2</v>
      </c>
      <c r="L20" s="21">
        <v>1</v>
      </c>
      <c r="M20" s="25">
        <v>55</v>
      </c>
      <c r="N20" s="24">
        <v>1836</v>
      </c>
      <c r="O20" s="20">
        <f>275+1+249</f>
        <v>525</v>
      </c>
      <c r="P20" s="19">
        <v>16985</v>
      </c>
      <c r="Q20" s="20">
        <f>75+22</f>
        <v>97</v>
      </c>
      <c r="R20" s="21">
        <f>48+158</f>
        <v>206</v>
      </c>
      <c r="S20" s="25">
        <v>81</v>
      </c>
      <c r="T20" s="24">
        <v>1191</v>
      </c>
      <c r="U20" s="20">
        <f>146+162</f>
        <v>308</v>
      </c>
      <c r="V20" s="19">
        <v>14798</v>
      </c>
      <c r="W20" s="21">
        <v>26</v>
      </c>
      <c r="X20" s="21">
        <f>74+32</f>
        <v>106</v>
      </c>
      <c r="Y20" s="25">
        <v>48</v>
      </c>
      <c r="Z20" s="24">
        <v>1067</v>
      </c>
      <c r="AA20" s="20">
        <f>147+172</f>
        <v>319</v>
      </c>
      <c r="AB20" s="19">
        <v>10537</v>
      </c>
      <c r="AC20" s="21">
        <f>37+29</f>
        <v>66</v>
      </c>
      <c r="AD20" s="21">
        <f>56+26</f>
        <v>82</v>
      </c>
      <c r="AE20" s="25">
        <v>65</v>
      </c>
      <c r="AF20" s="24">
        <f>SUM(B20,H20,N20,T20,Z20)</f>
        <v>6719</v>
      </c>
      <c r="AG20" s="20">
        <f t="shared" ref="AG20:AG24" si="7">SUM(C20,I20,O20,U20,AA20)</f>
        <v>1535</v>
      </c>
      <c r="AH20" s="19">
        <f>SUM(D20,J20,P20,V20,AB20)</f>
        <v>69860</v>
      </c>
      <c r="AI20" s="21">
        <f t="shared" ref="AI20:AI24" si="8">+E20+K20+Q20+W20+AC20</f>
        <v>192</v>
      </c>
      <c r="AJ20" s="21">
        <f t="shared" si="5"/>
        <v>501</v>
      </c>
      <c r="AK20" s="25">
        <f t="shared" si="6"/>
        <v>296</v>
      </c>
      <c r="AM20" s="15"/>
    </row>
    <row r="21" spans="1:39" x14ac:dyDescent="0.25">
      <c r="A21" s="6">
        <v>2011</v>
      </c>
      <c r="B21" s="24">
        <v>1353</v>
      </c>
      <c r="C21" s="20">
        <f>306+124</f>
        <v>430</v>
      </c>
      <c r="D21" s="19">
        <v>14045</v>
      </c>
      <c r="E21" s="21">
        <f>76+9</f>
        <v>85</v>
      </c>
      <c r="F21" s="21">
        <f>105+15</f>
        <v>120</v>
      </c>
      <c r="G21" s="25">
        <v>20</v>
      </c>
      <c r="H21" s="24">
        <v>825</v>
      </c>
      <c r="I21" s="20">
        <f>48+81</f>
        <v>129</v>
      </c>
      <c r="J21" s="19">
        <v>7620</v>
      </c>
      <c r="K21" s="21">
        <f>12+7</f>
        <v>19</v>
      </c>
      <c r="L21" s="21">
        <f>15+6</f>
        <v>21</v>
      </c>
      <c r="M21" s="25">
        <v>29</v>
      </c>
      <c r="N21" s="24">
        <v>1667</v>
      </c>
      <c r="O21" s="20">
        <f>305+249</f>
        <v>554</v>
      </c>
      <c r="P21" s="19">
        <v>14527</v>
      </c>
      <c r="Q21" s="20">
        <f>51+11</f>
        <v>62</v>
      </c>
      <c r="R21" s="21">
        <f>144+52</f>
        <v>196</v>
      </c>
      <c r="S21" s="25">
        <v>48</v>
      </c>
      <c r="T21" s="24">
        <v>965</v>
      </c>
      <c r="U21" s="20">
        <f>69+155</f>
        <v>224</v>
      </c>
      <c r="V21" s="19">
        <v>13288</v>
      </c>
      <c r="W21" s="21">
        <v>15</v>
      </c>
      <c r="X21" s="21">
        <f>78+29</f>
        <v>107</v>
      </c>
      <c r="Y21" s="25">
        <v>29</v>
      </c>
      <c r="Z21" s="24">
        <v>906</v>
      </c>
      <c r="AA21" s="20">
        <f>191+179</f>
        <v>370</v>
      </c>
      <c r="AB21" s="19">
        <v>8098</v>
      </c>
      <c r="AC21" s="21">
        <f>39+18</f>
        <v>57</v>
      </c>
      <c r="AD21" s="21">
        <f>72+17</f>
        <v>89</v>
      </c>
      <c r="AE21" s="25">
        <v>38</v>
      </c>
      <c r="AF21" s="24">
        <f>SUM(B21,H21,N21,T21,Z21)</f>
        <v>5716</v>
      </c>
      <c r="AG21" s="20">
        <f t="shared" si="7"/>
        <v>1707</v>
      </c>
      <c r="AH21" s="19">
        <f>SUM(D21,J21,P21,V21,AB21)</f>
        <v>57578</v>
      </c>
      <c r="AI21" s="21">
        <f t="shared" si="8"/>
        <v>238</v>
      </c>
      <c r="AJ21" s="21">
        <f t="shared" si="5"/>
        <v>533</v>
      </c>
      <c r="AK21" s="25">
        <f t="shared" si="6"/>
        <v>164</v>
      </c>
    </row>
    <row r="22" spans="1:39" x14ac:dyDescent="0.25">
      <c r="A22" s="6">
        <v>2012</v>
      </c>
      <c r="B22" s="24">
        <v>1304</v>
      </c>
      <c r="C22" s="20">
        <f>245+180</f>
        <v>425</v>
      </c>
      <c r="D22" s="19">
        <v>13900</v>
      </c>
      <c r="E22" s="21">
        <f>57+11</f>
        <v>68</v>
      </c>
      <c r="F22" s="21">
        <f>135+21</f>
        <v>156</v>
      </c>
      <c r="G22" s="25">
        <v>2</v>
      </c>
      <c r="H22" s="24">
        <v>747</v>
      </c>
      <c r="I22" s="20">
        <f>94+189</f>
        <v>283</v>
      </c>
      <c r="J22" s="19">
        <v>7879</v>
      </c>
      <c r="K22" s="21">
        <f>28+12</f>
        <v>40</v>
      </c>
      <c r="L22" s="21">
        <f>47+33</f>
        <v>80</v>
      </c>
      <c r="M22" s="25">
        <v>3</v>
      </c>
      <c r="N22" s="24">
        <v>1425</v>
      </c>
      <c r="O22" s="20">
        <f>227+199</f>
        <v>426</v>
      </c>
      <c r="P22" s="19">
        <v>13768</v>
      </c>
      <c r="Q22" s="20">
        <f>38+15</f>
        <v>53</v>
      </c>
      <c r="R22" s="21">
        <f>137+39</f>
        <v>176</v>
      </c>
      <c r="S22" s="25">
        <v>9</v>
      </c>
      <c r="T22" s="24">
        <v>833</v>
      </c>
      <c r="U22" s="20">
        <f>69+155</f>
        <v>224</v>
      </c>
      <c r="V22" s="19">
        <v>12474</v>
      </c>
      <c r="W22" s="21">
        <v>16</v>
      </c>
      <c r="X22" s="21">
        <f>61+82</f>
        <v>143</v>
      </c>
      <c r="Y22" s="25">
        <v>8</v>
      </c>
      <c r="Z22" s="24">
        <v>888</v>
      </c>
      <c r="AA22" s="20">
        <f>183+188</f>
        <v>371</v>
      </c>
      <c r="AB22" s="19">
        <v>8036</v>
      </c>
      <c r="AC22" s="21">
        <v>60</v>
      </c>
      <c r="AD22" s="21">
        <f>73+24</f>
        <v>97</v>
      </c>
      <c r="AE22" s="25">
        <v>6</v>
      </c>
      <c r="AF22" s="24">
        <f>SUM(B22,H22,N22,T22,Z22)</f>
        <v>5197</v>
      </c>
      <c r="AG22" s="20">
        <f t="shared" si="7"/>
        <v>1729</v>
      </c>
      <c r="AH22" s="19">
        <f>SUM(D22,J22,P22,V22,AB22)</f>
        <v>56057</v>
      </c>
      <c r="AI22" s="21">
        <f t="shared" si="8"/>
        <v>237</v>
      </c>
      <c r="AJ22" s="21">
        <f t="shared" si="5"/>
        <v>652</v>
      </c>
      <c r="AK22" s="25">
        <f t="shared" si="6"/>
        <v>28</v>
      </c>
    </row>
    <row r="23" spans="1:39" x14ac:dyDescent="0.25">
      <c r="A23" s="6">
        <v>2013</v>
      </c>
      <c r="B23" s="24">
        <v>1107</v>
      </c>
      <c r="C23" s="20">
        <f>131+143</f>
        <v>274</v>
      </c>
      <c r="D23" s="19">
        <v>13797</v>
      </c>
      <c r="E23" s="21">
        <f>48+9</f>
        <v>57</v>
      </c>
      <c r="F23" s="21">
        <f>120+25</f>
        <v>145</v>
      </c>
      <c r="G23" s="25">
        <v>5</v>
      </c>
      <c r="H23" s="24">
        <v>837</v>
      </c>
      <c r="I23" s="20">
        <f>122+173</f>
        <v>295</v>
      </c>
      <c r="J23" s="19">
        <v>7744</v>
      </c>
      <c r="K23" s="21">
        <v>32</v>
      </c>
      <c r="L23" s="21">
        <f>66+1+27</f>
        <v>94</v>
      </c>
      <c r="M23" s="25">
        <v>4</v>
      </c>
      <c r="N23" s="24">
        <v>1420</v>
      </c>
      <c r="O23" s="20">
        <f>184+1+198</f>
        <v>383</v>
      </c>
      <c r="P23" s="19">
        <v>14156</v>
      </c>
      <c r="Q23" s="20">
        <f>44+26</f>
        <v>70</v>
      </c>
      <c r="R23" s="21">
        <f>163+1+31</f>
        <v>195</v>
      </c>
      <c r="S23" s="25">
        <v>12</v>
      </c>
      <c r="T23" s="24">
        <v>841</v>
      </c>
      <c r="U23" s="20">
        <v>235</v>
      </c>
      <c r="V23" s="19">
        <v>13958</v>
      </c>
      <c r="W23" s="21">
        <v>14</v>
      </c>
      <c r="X23" s="21">
        <f>112+78</f>
        <v>190</v>
      </c>
      <c r="Y23" s="25">
        <v>7</v>
      </c>
      <c r="Z23" s="24">
        <v>876</v>
      </c>
      <c r="AA23" s="20">
        <f>135+1+172</f>
        <v>308</v>
      </c>
      <c r="AB23" s="19">
        <v>8330</v>
      </c>
      <c r="AC23" s="21">
        <f>33+15</f>
        <v>48</v>
      </c>
      <c r="AD23" s="21">
        <f>87+28</f>
        <v>115</v>
      </c>
      <c r="AE23" s="25">
        <v>4</v>
      </c>
      <c r="AF23" s="24">
        <f>SUM(B23,H23,N23,T23,Z23)</f>
        <v>5081</v>
      </c>
      <c r="AG23" s="20">
        <f t="shared" si="7"/>
        <v>1495</v>
      </c>
      <c r="AH23" s="19">
        <f>SUM(D23,J23,P23,V23,AB23)</f>
        <v>57985</v>
      </c>
      <c r="AI23" s="21">
        <f t="shared" si="8"/>
        <v>221</v>
      </c>
      <c r="AJ23" s="21">
        <f t="shared" si="5"/>
        <v>739</v>
      </c>
      <c r="AK23" s="25">
        <f t="shared" si="6"/>
        <v>32</v>
      </c>
    </row>
    <row r="24" spans="1:39" ht="15.75" thickBot="1" x14ac:dyDescent="0.3">
      <c r="A24" s="7">
        <v>2014</v>
      </c>
      <c r="B24" s="26">
        <v>970</v>
      </c>
      <c r="C24" s="27">
        <f>122+165</f>
        <v>287</v>
      </c>
      <c r="D24" s="28">
        <v>13692</v>
      </c>
      <c r="E24" s="29">
        <v>68</v>
      </c>
      <c r="F24" s="29">
        <f>132+20</f>
        <v>152</v>
      </c>
      <c r="G24" s="30">
        <v>6</v>
      </c>
      <c r="H24" s="26">
        <v>580</v>
      </c>
      <c r="I24" s="27">
        <f>95+153</f>
        <v>248</v>
      </c>
      <c r="J24" s="28">
        <v>7195</v>
      </c>
      <c r="K24" s="29">
        <f>31+9</f>
        <v>40</v>
      </c>
      <c r="L24" s="29">
        <f>85+33</f>
        <v>118</v>
      </c>
      <c r="M24" s="30">
        <v>10</v>
      </c>
      <c r="N24" s="26">
        <v>1237</v>
      </c>
      <c r="O24" s="27">
        <f>227+2+159</f>
        <v>388</v>
      </c>
      <c r="P24" s="28">
        <v>13906</v>
      </c>
      <c r="Q24" s="27">
        <f>34+7</f>
        <v>41</v>
      </c>
      <c r="R24" s="29">
        <f>104+1+24</f>
        <v>129</v>
      </c>
      <c r="S24" s="30">
        <v>19</v>
      </c>
      <c r="T24" s="26">
        <v>752</v>
      </c>
      <c r="U24" s="27">
        <f>83+108</f>
        <v>191</v>
      </c>
      <c r="V24" s="28">
        <v>13724</v>
      </c>
      <c r="W24" s="29">
        <v>13</v>
      </c>
      <c r="X24" s="29">
        <f>70+7+38</f>
        <v>115</v>
      </c>
      <c r="Y24" s="30">
        <v>5</v>
      </c>
      <c r="Z24" s="26">
        <v>777</v>
      </c>
      <c r="AA24" s="27">
        <f>129+160</f>
        <v>289</v>
      </c>
      <c r="AB24" s="28">
        <v>8595</v>
      </c>
      <c r="AC24" s="29">
        <f>33+10</f>
        <v>43</v>
      </c>
      <c r="AD24" s="29">
        <f>107+42</f>
        <v>149</v>
      </c>
      <c r="AE24" s="30">
        <v>2</v>
      </c>
      <c r="AF24" s="26">
        <f>SUM(B24,H24,N24,T24,Z24)</f>
        <v>4316</v>
      </c>
      <c r="AG24" s="47">
        <f t="shared" si="7"/>
        <v>1403</v>
      </c>
      <c r="AH24" s="28">
        <f>SUM(D24,J24,P24,V24,AB24)</f>
        <v>57112</v>
      </c>
      <c r="AI24" s="29">
        <f t="shared" si="8"/>
        <v>205</v>
      </c>
      <c r="AJ24" s="29">
        <f t="shared" si="5"/>
        <v>663</v>
      </c>
      <c r="AK24" s="30">
        <f t="shared" si="6"/>
        <v>42</v>
      </c>
    </row>
    <row r="25" spans="1:39" s="40" customFormat="1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9" spans="1:39" x14ac:dyDescent="0.25">
      <c r="A29" s="14" t="s">
        <v>19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9" ht="15.75" thickBot="1" x14ac:dyDescent="0.3"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9" x14ac:dyDescent="0.25">
      <c r="B31" s="48" t="s">
        <v>0</v>
      </c>
      <c r="C31" s="49"/>
      <c r="D31" s="49"/>
      <c r="E31" s="49"/>
      <c r="F31" s="49"/>
      <c r="G31" s="50"/>
      <c r="H31" s="48" t="s">
        <v>1</v>
      </c>
      <c r="I31" s="49"/>
      <c r="J31" s="49"/>
      <c r="K31" s="49"/>
      <c r="L31" s="49"/>
      <c r="M31" s="50"/>
      <c r="N31" s="48" t="s">
        <v>3</v>
      </c>
      <c r="O31" s="49"/>
      <c r="P31" s="49"/>
      <c r="Q31" s="49"/>
      <c r="R31" s="49"/>
      <c r="S31" s="50"/>
      <c r="T31" s="48" t="s">
        <v>4</v>
      </c>
      <c r="U31" s="49"/>
      <c r="V31" s="49"/>
      <c r="W31" s="49"/>
      <c r="X31" s="49"/>
      <c r="Y31" s="50"/>
      <c r="Z31" s="48" t="s">
        <v>2</v>
      </c>
      <c r="AA31" s="49"/>
      <c r="AB31" s="49"/>
      <c r="AC31" s="49"/>
      <c r="AD31" s="49"/>
      <c r="AE31" s="50"/>
      <c r="AF31" s="48" t="s">
        <v>5</v>
      </c>
      <c r="AG31" s="49"/>
      <c r="AH31" s="49"/>
      <c r="AI31" s="49"/>
      <c r="AJ31" s="49"/>
      <c r="AK31" s="50"/>
    </row>
    <row r="32" spans="1:39" s="15" customFormat="1" ht="30" x14ac:dyDescent="0.25">
      <c r="B32" s="22" t="s">
        <v>12</v>
      </c>
      <c r="C32" s="17" t="s">
        <v>23</v>
      </c>
      <c r="D32" s="16" t="s">
        <v>22</v>
      </c>
      <c r="E32" s="18" t="s">
        <v>14</v>
      </c>
      <c r="F32" s="17" t="s">
        <v>20</v>
      </c>
      <c r="G32" s="23" t="s">
        <v>21</v>
      </c>
      <c r="H32" s="22" t="s">
        <v>12</v>
      </c>
      <c r="I32" s="17" t="s">
        <v>23</v>
      </c>
      <c r="J32" s="16" t="s">
        <v>22</v>
      </c>
      <c r="K32" s="18" t="s">
        <v>14</v>
      </c>
      <c r="L32" s="17" t="s">
        <v>20</v>
      </c>
      <c r="M32" s="23" t="s">
        <v>21</v>
      </c>
      <c r="N32" s="22" t="s">
        <v>12</v>
      </c>
      <c r="O32" s="17" t="s">
        <v>23</v>
      </c>
      <c r="P32" s="16" t="s">
        <v>22</v>
      </c>
      <c r="Q32" s="18" t="s">
        <v>14</v>
      </c>
      <c r="R32" s="17" t="s">
        <v>20</v>
      </c>
      <c r="S32" s="23" t="s">
        <v>21</v>
      </c>
      <c r="T32" s="22" t="s">
        <v>12</v>
      </c>
      <c r="U32" s="17" t="s">
        <v>23</v>
      </c>
      <c r="V32" s="16" t="s">
        <v>22</v>
      </c>
      <c r="W32" s="18" t="s">
        <v>14</v>
      </c>
      <c r="X32" s="17" t="s">
        <v>20</v>
      </c>
      <c r="Y32" s="23" t="s">
        <v>21</v>
      </c>
      <c r="Z32" s="22" t="s">
        <v>12</v>
      </c>
      <c r="AA32" s="17" t="s">
        <v>23</v>
      </c>
      <c r="AB32" s="16" t="s">
        <v>22</v>
      </c>
      <c r="AC32" s="18" t="s">
        <v>14</v>
      </c>
      <c r="AD32" s="17" t="s">
        <v>20</v>
      </c>
      <c r="AE32" s="23" t="s">
        <v>21</v>
      </c>
      <c r="AF32" s="22" t="s">
        <v>12</v>
      </c>
      <c r="AG32" s="17" t="s">
        <v>23</v>
      </c>
      <c r="AH32" s="16" t="s">
        <v>22</v>
      </c>
      <c r="AI32" s="18" t="s">
        <v>14</v>
      </c>
      <c r="AJ32" s="17" t="s">
        <v>20</v>
      </c>
      <c r="AK32" s="23" t="s">
        <v>21</v>
      </c>
    </row>
    <row r="33" spans="1:37" x14ac:dyDescent="0.25">
      <c r="A33" s="4">
        <v>2009</v>
      </c>
      <c r="B33" s="24">
        <v>1500</v>
      </c>
      <c r="C33" s="21">
        <v>2</v>
      </c>
      <c r="D33" s="20">
        <v>2</v>
      </c>
      <c r="E33" s="19">
        <v>19797</v>
      </c>
      <c r="F33" s="21">
        <v>4</v>
      </c>
      <c r="G33" s="25">
        <v>0</v>
      </c>
      <c r="H33" s="24">
        <v>1086</v>
      </c>
      <c r="I33" s="21">
        <v>0</v>
      </c>
      <c r="J33" s="20">
        <v>1</v>
      </c>
      <c r="K33" s="19">
        <v>10024</v>
      </c>
      <c r="L33" s="21">
        <v>22</v>
      </c>
      <c r="M33" s="25">
        <v>8</v>
      </c>
      <c r="N33" s="24">
        <v>1833</v>
      </c>
      <c r="O33" s="21">
        <v>9</v>
      </c>
      <c r="P33" s="20">
        <v>7</v>
      </c>
      <c r="Q33" s="19">
        <v>17224</v>
      </c>
      <c r="R33" s="21">
        <f>14+80</f>
        <v>94</v>
      </c>
      <c r="S33" s="25">
        <v>30</v>
      </c>
      <c r="T33" s="24">
        <v>979</v>
      </c>
      <c r="U33" s="21">
        <v>9</v>
      </c>
      <c r="V33" s="20">
        <v>7</v>
      </c>
      <c r="W33" s="19">
        <v>15183</v>
      </c>
      <c r="X33" s="21">
        <v>7</v>
      </c>
      <c r="Y33" s="25">
        <v>4</v>
      </c>
      <c r="Z33" s="24">
        <v>1012</v>
      </c>
      <c r="AA33" s="21">
        <v>2</v>
      </c>
      <c r="AB33" s="20">
        <v>3</v>
      </c>
      <c r="AC33" s="19">
        <v>10615</v>
      </c>
      <c r="AD33" s="21">
        <v>7</v>
      </c>
      <c r="AE33" s="25">
        <v>0</v>
      </c>
      <c r="AF33" s="24">
        <f>SUM(B33,H33,N33,T33,Z33)</f>
        <v>6410</v>
      </c>
      <c r="AG33" s="21">
        <f t="shared" ref="AG33:AK38" si="9">SUM(C33,I33,O33,U33,AA33)</f>
        <v>22</v>
      </c>
      <c r="AH33" s="20">
        <f t="shared" si="9"/>
        <v>20</v>
      </c>
      <c r="AI33" s="19">
        <f t="shared" si="9"/>
        <v>72843</v>
      </c>
      <c r="AJ33" s="21">
        <f t="shared" si="9"/>
        <v>134</v>
      </c>
      <c r="AK33" s="25">
        <f t="shared" si="9"/>
        <v>42</v>
      </c>
    </row>
    <row r="34" spans="1:37" x14ac:dyDescent="0.25">
      <c r="A34" s="2">
        <v>2010</v>
      </c>
      <c r="B34" s="24">
        <v>1733</v>
      </c>
      <c r="C34" s="21">
        <v>132</v>
      </c>
      <c r="D34" s="20">
        <v>259</v>
      </c>
      <c r="E34" s="19">
        <v>18093</v>
      </c>
      <c r="F34" s="21">
        <v>153</v>
      </c>
      <c r="G34" s="25">
        <v>25</v>
      </c>
      <c r="H34" s="24">
        <v>995</v>
      </c>
      <c r="I34" s="21">
        <v>4</v>
      </c>
      <c r="J34" s="20">
        <v>3</v>
      </c>
      <c r="K34" s="19">
        <v>9447</v>
      </c>
      <c r="L34" s="21">
        <v>574</v>
      </c>
      <c r="M34" s="25">
        <v>192</v>
      </c>
      <c r="N34" s="24">
        <v>1913</v>
      </c>
      <c r="O34" s="21">
        <v>252</v>
      </c>
      <c r="P34" s="20">
        <v>275</v>
      </c>
      <c r="Q34" s="19">
        <v>16985</v>
      </c>
      <c r="R34" s="21">
        <f>30+177</f>
        <v>207</v>
      </c>
      <c r="S34" s="25">
        <v>68</v>
      </c>
      <c r="T34" s="24">
        <v>1236</v>
      </c>
      <c r="U34" s="21">
        <v>162</v>
      </c>
      <c r="V34" s="20">
        <v>275</v>
      </c>
      <c r="W34" s="19">
        <v>14798</v>
      </c>
      <c r="X34" s="21">
        <v>99</v>
      </c>
      <c r="Y34" s="25">
        <v>42</v>
      </c>
      <c r="Z34" s="24">
        <v>1107</v>
      </c>
      <c r="AA34" s="21">
        <v>173</v>
      </c>
      <c r="AB34" s="20">
        <v>149</v>
      </c>
      <c r="AC34" s="19">
        <v>10537</v>
      </c>
      <c r="AD34" s="21">
        <v>92</v>
      </c>
      <c r="AE34" s="25">
        <v>53</v>
      </c>
      <c r="AF34" s="24">
        <f t="shared" ref="AF34:AF38" si="10">SUM(B34,H34,N34,T34,Z34)</f>
        <v>6984</v>
      </c>
      <c r="AG34" s="21">
        <f t="shared" si="9"/>
        <v>723</v>
      </c>
      <c r="AH34" s="20">
        <f t="shared" si="9"/>
        <v>961</v>
      </c>
      <c r="AI34" s="19">
        <f t="shared" si="9"/>
        <v>69860</v>
      </c>
      <c r="AJ34" s="21">
        <f t="shared" si="9"/>
        <v>1125</v>
      </c>
      <c r="AK34" s="25">
        <f t="shared" si="9"/>
        <v>380</v>
      </c>
    </row>
    <row r="35" spans="1:37" x14ac:dyDescent="0.25">
      <c r="A35" s="2">
        <v>2011</v>
      </c>
      <c r="B35" s="24">
        <v>1394</v>
      </c>
      <c r="C35" s="21">
        <v>125</v>
      </c>
      <c r="D35" s="20">
        <v>307</v>
      </c>
      <c r="E35" s="19">
        <v>14045</v>
      </c>
      <c r="F35" s="21">
        <v>180</v>
      </c>
      <c r="G35" s="25">
        <v>24</v>
      </c>
      <c r="H35" s="24">
        <v>848</v>
      </c>
      <c r="I35" s="21">
        <v>82</v>
      </c>
      <c r="J35" s="20">
        <v>48</v>
      </c>
      <c r="K35" s="19">
        <v>7620</v>
      </c>
      <c r="L35" s="21">
        <v>603</v>
      </c>
      <c r="M35" s="25">
        <v>179</v>
      </c>
      <c r="N35" s="24">
        <v>1710</v>
      </c>
      <c r="O35" s="21">
        <v>251</v>
      </c>
      <c r="P35" s="20">
        <v>310</v>
      </c>
      <c r="Q35" s="19">
        <v>14527</v>
      </c>
      <c r="R35" s="21">
        <f>28+135</f>
        <v>163</v>
      </c>
      <c r="S35" s="25">
        <v>62</v>
      </c>
      <c r="T35" s="24">
        <v>1006</v>
      </c>
      <c r="U35" s="21">
        <v>161</v>
      </c>
      <c r="V35" s="20">
        <v>96</v>
      </c>
      <c r="W35" s="19">
        <v>13288</v>
      </c>
      <c r="X35" s="21">
        <v>93</v>
      </c>
      <c r="Y35" s="25">
        <v>46</v>
      </c>
      <c r="Z35" s="24">
        <v>955</v>
      </c>
      <c r="AA35" s="21">
        <v>180</v>
      </c>
      <c r="AB35" s="20">
        <v>193</v>
      </c>
      <c r="AC35" s="19">
        <v>8098</v>
      </c>
      <c r="AD35" s="21">
        <v>110</v>
      </c>
      <c r="AE35" s="25">
        <v>34</v>
      </c>
      <c r="AF35" s="24">
        <f t="shared" si="10"/>
        <v>5913</v>
      </c>
      <c r="AG35" s="21">
        <f t="shared" si="9"/>
        <v>799</v>
      </c>
      <c r="AH35" s="20">
        <f t="shared" si="9"/>
        <v>954</v>
      </c>
      <c r="AI35" s="19">
        <f t="shared" si="9"/>
        <v>57578</v>
      </c>
      <c r="AJ35" s="21">
        <f t="shared" si="9"/>
        <v>1149</v>
      </c>
      <c r="AK35" s="25">
        <f t="shared" si="9"/>
        <v>345</v>
      </c>
    </row>
    <row r="36" spans="1:37" x14ac:dyDescent="0.25">
      <c r="A36" s="2">
        <v>2012</v>
      </c>
      <c r="B36" s="24">
        <v>1353</v>
      </c>
      <c r="C36" s="21">
        <v>180</v>
      </c>
      <c r="D36" s="20">
        <v>247</v>
      </c>
      <c r="E36" s="19">
        <v>13900</v>
      </c>
      <c r="F36" s="21">
        <v>183</v>
      </c>
      <c r="G36" s="25">
        <v>31</v>
      </c>
      <c r="H36" s="24">
        <v>771</v>
      </c>
      <c r="I36" s="21">
        <v>190</v>
      </c>
      <c r="J36" s="20">
        <v>94</v>
      </c>
      <c r="K36" s="19">
        <v>7879</v>
      </c>
      <c r="L36" s="21">
        <v>650</v>
      </c>
      <c r="M36" s="25">
        <v>246</v>
      </c>
      <c r="N36" s="24">
        <v>1473</v>
      </c>
      <c r="O36" s="21">
        <v>200</v>
      </c>
      <c r="P36" s="20">
        <v>227</v>
      </c>
      <c r="Q36" s="19">
        <v>13768</v>
      </c>
      <c r="R36" s="21">
        <f>15+153</f>
        <v>168</v>
      </c>
      <c r="S36" s="25">
        <v>39</v>
      </c>
      <c r="T36" s="24">
        <v>833</v>
      </c>
      <c r="U36" s="21">
        <v>155</v>
      </c>
      <c r="V36" s="20">
        <v>69</v>
      </c>
      <c r="W36" s="19">
        <v>12474</v>
      </c>
      <c r="X36" s="21">
        <v>100</v>
      </c>
      <c r="Y36" s="25">
        <v>68</v>
      </c>
      <c r="Z36" s="24">
        <v>920</v>
      </c>
      <c r="AA36" s="21">
        <v>191</v>
      </c>
      <c r="AB36" s="20">
        <v>184</v>
      </c>
      <c r="AC36" s="19">
        <v>8036</v>
      </c>
      <c r="AD36" s="21">
        <v>113</v>
      </c>
      <c r="AE36" s="25">
        <v>47</v>
      </c>
      <c r="AF36" s="24">
        <f t="shared" si="10"/>
        <v>5350</v>
      </c>
      <c r="AG36" s="21">
        <f t="shared" si="9"/>
        <v>916</v>
      </c>
      <c r="AH36" s="20">
        <f t="shared" si="9"/>
        <v>821</v>
      </c>
      <c r="AI36" s="19">
        <f t="shared" si="9"/>
        <v>56057</v>
      </c>
      <c r="AJ36" s="21">
        <f t="shared" si="9"/>
        <v>1214</v>
      </c>
      <c r="AK36" s="25">
        <f t="shared" si="9"/>
        <v>431</v>
      </c>
    </row>
    <row r="37" spans="1:37" x14ac:dyDescent="0.25">
      <c r="A37" s="2">
        <v>2013</v>
      </c>
      <c r="B37" s="24">
        <v>1143</v>
      </c>
      <c r="C37" s="21">
        <v>146</v>
      </c>
      <c r="D37" s="20">
        <v>131</v>
      </c>
      <c r="E37" s="19">
        <v>13797</v>
      </c>
      <c r="F37" s="21">
        <v>168</v>
      </c>
      <c r="G37" s="25">
        <v>35</v>
      </c>
      <c r="H37" s="24">
        <v>859</v>
      </c>
      <c r="I37" s="21">
        <v>173</v>
      </c>
      <c r="J37" s="20">
        <v>123</v>
      </c>
      <c r="K37" s="19">
        <v>7744</v>
      </c>
      <c r="L37" s="21">
        <v>719</v>
      </c>
      <c r="M37" s="25">
        <v>259</v>
      </c>
      <c r="N37" s="24">
        <v>1451</v>
      </c>
      <c r="O37" s="21">
        <v>200</v>
      </c>
      <c r="P37" s="20">
        <v>188</v>
      </c>
      <c r="Q37" s="19">
        <v>14156</v>
      </c>
      <c r="R37" s="21">
        <f>22+149</f>
        <v>171</v>
      </c>
      <c r="S37" s="25">
        <v>26</v>
      </c>
      <c r="T37" s="24">
        <v>871</v>
      </c>
      <c r="U37" s="21">
        <v>135</v>
      </c>
      <c r="V37" s="20">
        <v>101</v>
      </c>
      <c r="W37" s="19">
        <v>13958</v>
      </c>
      <c r="X37" s="21">
        <v>128</v>
      </c>
      <c r="Y37" s="25">
        <v>85</v>
      </c>
      <c r="Z37" s="24">
        <v>908</v>
      </c>
      <c r="AA37" s="21">
        <v>175</v>
      </c>
      <c r="AB37" s="20">
        <v>137</v>
      </c>
      <c r="AC37" s="19">
        <v>8330</v>
      </c>
      <c r="AD37" s="21">
        <v>120</v>
      </c>
      <c r="AE37" s="25">
        <v>43</v>
      </c>
      <c r="AF37" s="24">
        <f t="shared" si="10"/>
        <v>5232</v>
      </c>
      <c r="AG37" s="21">
        <f t="shared" si="9"/>
        <v>829</v>
      </c>
      <c r="AH37" s="20">
        <f t="shared" si="9"/>
        <v>680</v>
      </c>
      <c r="AI37" s="19">
        <f t="shared" si="9"/>
        <v>57985</v>
      </c>
      <c r="AJ37" s="21">
        <f t="shared" si="9"/>
        <v>1306</v>
      </c>
      <c r="AK37" s="25">
        <f t="shared" si="9"/>
        <v>448</v>
      </c>
    </row>
    <row r="38" spans="1:37" ht="15.75" thickBot="1" x14ac:dyDescent="0.3">
      <c r="A38" s="3">
        <v>2014</v>
      </c>
      <c r="B38" s="26">
        <v>988</v>
      </c>
      <c r="C38" s="29">
        <v>167</v>
      </c>
      <c r="D38" s="27">
        <v>127</v>
      </c>
      <c r="E38" s="28">
        <v>13692</v>
      </c>
      <c r="F38" s="29">
        <v>189</v>
      </c>
      <c r="G38" s="30">
        <v>32</v>
      </c>
      <c r="H38" s="26">
        <v>590</v>
      </c>
      <c r="I38" s="29">
        <v>153</v>
      </c>
      <c r="J38" s="27">
        <v>95</v>
      </c>
      <c r="K38" s="28">
        <v>7195</v>
      </c>
      <c r="L38" s="29">
        <v>705</v>
      </c>
      <c r="M38" s="30">
        <v>210</v>
      </c>
      <c r="N38" s="26">
        <v>1257</v>
      </c>
      <c r="O38" s="29">
        <v>168</v>
      </c>
      <c r="P38" s="27">
        <v>231</v>
      </c>
      <c r="Q38" s="28">
        <v>13906</v>
      </c>
      <c r="R38" s="29">
        <f>20+165</f>
        <v>185</v>
      </c>
      <c r="S38" s="30">
        <v>37</v>
      </c>
      <c r="T38" s="26">
        <f>752+28</f>
        <v>780</v>
      </c>
      <c r="U38" s="29">
        <v>111</v>
      </c>
      <c r="V38" s="27">
        <v>83</v>
      </c>
      <c r="W38" s="28">
        <v>13724</v>
      </c>
      <c r="X38" s="29">
        <v>109</v>
      </c>
      <c r="Y38" s="30">
        <v>47</v>
      </c>
      <c r="Z38" s="26">
        <v>797</v>
      </c>
      <c r="AA38" s="29">
        <v>164</v>
      </c>
      <c r="AB38" s="27">
        <v>132</v>
      </c>
      <c r="AC38" s="28">
        <v>8595</v>
      </c>
      <c r="AD38" s="29">
        <v>139</v>
      </c>
      <c r="AE38" s="30">
        <v>52</v>
      </c>
      <c r="AF38" s="26">
        <f t="shared" si="10"/>
        <v>4412</v>
      </c>
      <c r="AG38" s="29">
        <f t="shared" si="9"/>
        <v>763</v>
      </c>
      <c r="AH38" s="27">
        <f t="shared" si="9"/>
        <v>668</v>
      </c>
      <c r="AI38" s="28">
        <f t="shared" si="9"/>
        <v>57112</v>
      </c>
      <c r="AJ38" s="29">
        <f t="shared" si="9"/>
        <v>1327</v>
      </c>
      <c r="AK38" s="30">
        <f t="shared" si="9"/>
        <v>378</v>
      </c>
    </row>
    <row r="39" spans="1:37" x14ac:dyDescent="0.25"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7" x14ac:dyDescent="0.25"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7" x14ac:dyDescent="0.25">
      <c r="A41" s="13" t="s">
        <v>25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</sheetData>
  <mergeCells count="18">
    <mergeCell ref="AF17:AK17"/>
    <mergeCell ref="B3:E3"/>
    <mergeCell ref="F3:I3"/>
    <mergeCell ref="J3:M3"/>
    <mergeCell ref="N3:Q3"/>
    <mergeCell ref="R3:U3"/>
    <mergeCell ref="V3:Y3"/>
    <mergeCell ref="B17:G17"/>
    <mergeCell ref="H17:M17"/>
    <mergeCell ref="N17:S17"/>
    <mergeCell ref="T17:Y17"/>
    <mergeCell ref="Z17:AE17"/>
    <mergeCell ref="Z31:AE31"/>
    <mergeCell ref="AF31:AK31"/>
    <mergeCell ref="B31:G31"/>
    <mergeCell ref="H31:M31"/>
    <mergeCell ref="N31:S31"/>
    <mergeCell ref="T31:Y31"/>
  </mergeCells>
  <hyperlinks>
    <hyperlink ref="G93" display="Briffoz Bert nms. familie Swinnen "/>
    <hyperlink ref="G188" r:id="rId1" display="http://bredero.vlaanderen.be/bredero2/wicket/?x=QJuIGDY9BbGGBRk44AAgFg"/>
    <hyperlink ref="G187" r:id="rId2" display="http://bredero.vlaanderen.be/bredero2/wicket/?x=pJu48qGneSjhuk3jrZSrfg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op Schriftelijke Vraag" ma:contentTypeID="0x010100E5E0931E1CB83A468B4B8E7FF64947DC001404FCC855459144A77220A30AA50B32" ma:contentTypeVersion="" ma:contentTypeDescription="Antwoord op schriftelijke vraag" ma:contentTypeScope="" ma:versionID="1f0366210c14c30f3dc472fc9a0907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c48c7e54ecd3c8e4355cbb98930ff3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7D3959-322B-4FFD-B0E6-85D9D298E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F8E08-EB6F-435E-9310-B850CFEFF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AAF227-E7B6-44A3-850E-ECBFCAFF548F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 197_deelvragen 1-3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Cijfergegevens beroepen Deputatie</dc:title>
  <dc:creator>Denys, Bart RWO</dc:creator>
  <cp:lastModifiedBy>DE SMEDT, Els (kabinet Schauvliege)</cp:lastModifiedBy>
  <dcterms:created xsi:type="dcterms:W3CDTF">2015-12-22T16:46:52Z</dcterms:created>
  <dcterms:modified xsi:type="dcterms:W3CDTF">2016-01-11T09:07:01Z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0x010100E5E0931E1CB83A468B4B8E7FF64947DC001404FCC855459144A77220A30AA50B32</vt:lpwstr>
  </property>
  <property fmtid="{D5CDD505-2E9C-101B-9397-08002B2CF9AE}" pid="3" name="PVFinaalAntwoordStatus">
    <vt:lpwstr>Verzonden</vt:lpwstr>
  </property>
  <property fmtid="{D5CDD505-2E9C-101B-9397-08002B2CF9AE}" pid="4" name="PVFinaalAntwoordDatumGoedkeuringAfdelingshoofd">
    <vt:filetime>2016-01-07T10:00:41Z</vt:filetime>
  </property>
  <property fmtid="{D5CDD505-2E9C-101B-9397-08002B2CF9AE}" pid="5" name="PVFinaalAntwoodGoedGekeurdDoorAfdelingshoofd">
    <vt:lpwstr>334</vt:lpwstr>
  </property>
  <property fmtid="{D5CDD505-2E9C-101B-9397-08002B2CF9AE}" pid="6" name="PVFinaalAntwoodGoedGekeurdDoorStaf">
    <vt:lpwstr>17</vt:lpwstr>
  </property>
  <property fmtid="{D5CDD505-2E9C-101B-9397-08002B2CF9AE}" pid="7" name="PVFinaalAntwoordDatumGoedkeuringStaf">
    <vt:filetime>2016-01-08T12:47:12Z</vt:filetime>
  </property>
  <property fmtid="{D5CDD505-2E9C-101B-9397-08002B2CF9AE}" pid="8" name="PVFinaalAntwoordDatumVerzending">
    <vt:filetime>2016-01-07T23:00:00Z</vt:filetime>
  </property>
</Properties>
</file>