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Vlaams Parlement\Schriftelijke vragen\2014-2015\3_defintieve antwoorden\vragen 51 - 100 (2014 - 2015)\"/>
    </mc:Choice>
  </mc:AlternateContent>
  <bookViews>
    <workbookView xWindow="720" yWindow="360" windowWidth="17955" windowHeight="8370" tabRatio="707" firstSheet="3" activeTab="6"/>
  </bookViews>
  <sheets>
    <sheet name="1 TOELICHTING" sheetId="14" r:id="rId1"/>
    <sheet name="2 evolutie personeelsleden" sheetId="5" r:id="rId2"/>
    <sheet name="3 personen met volledige opdr." sheetId="6" r:id="rId3"/>
    <sheet name="3b personen met opdracht detail" sheetId="12" r:id="rId4"/>
    <sheet name="4 leeftijdsgegeven per geslacht" sheetId="9" r:id="rId5"/>
    <sheet name="5 bestuurspersoneel per niveau" sheetId="8" r:id="rId6"/>
    <sheet name="6 universiteiten" sheetId="13" r:id="rId7"/>
    <sheet name="7 lerarenopleiding" sheetId="15" r:id="rId8"/>
  </sheets>
  <definedNames>
    <definedName name="_xlnm.Print_Area" localSheetId="0">'1 TOELICHTING'!$A$1:$N$126</definedName>
    <definedName name="_xlnm.Print_Area" localSheetId="1">'2 evolutie personeelsleden'!$A$1:$I$78</definedName>
    <definedName name="_xlnm.Print_Area" localSheetId="2">'3 personen met volledige opdr.'!$A$1:$P$81</definedName>
    <definedName name="_xlnm.Print_Area" localSheetId="4">'4 leeftijdsgegeven per geslacht'!$A$1:$H$182</definedName>
    <definedName name="_xlnm.Print_Area" localSheetId="5">'5 bestuurspersoneel per niveau'!$A$2:$R$44</definedName>
    <definedName name="_xlnm.Print_Area" localSheetId="6">'6 universiteiten'!$A$1:$P$26</definedName>
  </definedNames>
  <calcPr calcId="152511"/>
</workbook>
</file>

<file path=xl/calcChain.xml><?xml version="1.0" encoding="utf-8"?>
<calcChain xmlns="http://schemas.openxmlformats.org/spreadsheetml/2006/main">
  <c r="M27" i="8" l="1"/>
  <c r="L27" i="8"/>
  <c r="M24" i="8"/>
  <c r="L24" i="8"/>
  <c r="M22" i="8"/>
  <c r="L22" i="8"/>
  <c r="M16" i="8"/>
  <c r="L16" i="8"/>
  <c r="M14" i="8"/>
  <c r="L14" i="8"/>
  <c r="M12" i="8"/>
  <c r="L12" i="8"/>
  <c r="M10" i="8"/>
  <c r="L10" i="8"/>
  <c r="R70" i="12"/>
  <c r="Q70" i="12"/>
  <c r="O70" i="12"/>
  <c r="N70" i="12"/>
  <c r="M70" i="12"/>
  <c r="J70" i="12"/>
  <c r="P70" i="12" s="1"/>
  <c r="G70" i="12"/>
  <c r="D70" i="12"/>
  <c r="R63" i="12"/>
  <c r="Q63" i="12"/>
  <c r="O63" i="12"/>
  <c r="N63" i="12"/>
  <c r="M63" i="12"/>
  <c r="J63" i="12"/>
  <c r="P63" i="12" s="1"/>
  <c r="G63" i="12"/>
  <c r="D63" i="12"/>
  <c r="R56" i="12"/>
  <c r="Q56" i="12"/>
  <c r="O56" i="12"/>
  <c r="N56" i="12"/>
  <c r="M56" i="12"/>
  <c r="J56" i="12"/>
  <c r="P56" i="12" s="1"/>
  <c r="G56" i="12"/>
  <c r="D56" i="12"/>
  <c r="R44" i="12"/>
  <c r="Q44" i="12"/>
  <c r="O44" i="12"/>
  <c r="N44" i="12"/>
  <c r="M44" i="12"/>
  <c r="J44" i="12"/>
  <c r="P44" i="12" s="1"/>
  <c r="G44" i="12"/>
  <c r="D44" i="12"/>
  <c r="R32" i="12"/>
  <c r="Q32" i="12"/>
  <c r="O32" i="12"/>
  <c r="N32" i="12"/>
  <c r="M32" i="12"/>
  <c r="J32" i="12"/>
  <c r="P32" i="12" s="1"/>
  <c r="G32" i="12"/>
  <c r="D32" i="12"/>
  <c r="R25" i="12"/>
  <c r="Q25" i="12"/>
  <c r="O25" i="12"/>
  <c r="N25" i="12"/>
  <c r="M25" i="12"/>
  <c r="J25" i="12"/>
  <c r="P25" i="12" s="1"/>
  <c r="G25" i="12"/>
  <c r="D25" i="12"/>
  <c r="R18" i="12"/>
  <c r="Q18" i="12"/>
  <c r="O18" i="12"/>
  <c r="N18" i="12"/>
  <c r="M18" i="12"/>
  <c r="J18" i="12"/>
  <c r="G18" i="12"/>
  <c r="D18" i="12"/>
  <c r="R11" i="12"/>
  <c r="Q11" i="12"/>
  <c r="O11" i="12"/>
  <c r="N11" i="12"/>
  <c r="M11" i="12"/>
  <c r="J11" i="12"/>
  <c r="G11" i="12"/>
  <c r="D11" i="12"/>
  <c r="O71" i="6"/>
  <c r="N71" i="6"/>
  <c r="L71" i="6"/>
  <c r="K71" i="6"/>
  <c r="O64" i="6"/>
  <c r="N64" i="6"/>
  <c r="L64" i="6"/>
  <c r="K64" i="6"/>
  <c r="O56" i="6"/>
  <c r="N56" i="6"/>
  <c r="L56" i="6"/>
  <c r="K56" i="6"/>
  <c r="O44" i="6"/>
  <c r="N44" i="6"/>
  <c r="L44" i="6"/>
  <c r="K44" i="6"/>
  <c r="O32" i="6"/>
  <c r="N32" i="6"/>
  <c r="L32" i="6"/>
  <c r="K32" i="6"/>
  <c r="O25" i="6"/>
  <c r="N25" i="6"/>
  <c r="L25" i="6"/>
  <c r="K25" i="6"/>
  <c r="O18" i="6"/>
  <c r="N18" i="6"/>
  <c r="L18" i="6"/>
  <c r="K18" i="6"/>
  <c r="O11" i="6"/>
  <c r="N11" i="6"/>
  <c r="L11" i="6"/>
  <c r="K11" i="6"/>
  <c r="H69" i="5"/>
  <c r="G69" i="5"/>
  <c r="H62" i="5"/>
  <c r="G62" i="5"/>
  <c r="H55" i="5"/>
  <c r="G55" i="5"/>
  <c r="H43" i="5"/>
  <c r="G43" i="5"/>
  <c r="H31" i="5"/>
  <c r="G31" i="5"/>
  <c r="H24" i="5"/>
  <c r="G24" i="5"/>
  <c r="H17" i="5"/>
  <c r="G17" i="5"/>
  <c r="H10" i="5"/>
  <c r="G10" i="5"/>
  <c r="P11" i="12" l="1"/>
  <c r="P18" i="12"/>
  <c r="S11" i="12"/>
  <c r="S18" i="12"/>
  <c r="S25" i="12"/>
  <c r="S32" i="12"/>
  <c r="S44" i="12"/>
  <c r="S56" i="12"/>
  <c r="S63" i="12"/>
  <c r="S70" i="12"/>
  <c r="E21" i="15"/>
  <c r="I21" i="15" s="1"/>
  <c r="F21" i="15"/>
  <c r="E22" i="15"/>
  <c r="F22" i="15"/>
  <c r="E23" i="15"/>
  <c r="I23" i="15" s="1"/>
  <c r="F23" i="15"/>
  <c r="E24" i="15"/>
  <c r="F24" i="15"/>
  <c r="E25" i="15"/>
  <c r="F25" i="15"/>
  <c r="D22" i="15"/>
  <c r="D23" i="15"/>
  <c r="H23" i="15" s="1"/>
  <c r="D24" i="15"/>
  <c r="H24" i="15" s="1"/>
  <c r="D25" i="15"/>
  <c r="H25" i="15" s="1"/>
  <c r="D21" i="15"/>
  <c r="H21" i="15" s="1"/>
  <c r="E54" i="15"/>
  <c r="F54" i="15"/>
  <c r="E55" i="15"/>
  <c r="F55" i="15"/>
  <c r="E56" i="15"/>
  <c r="F56" i="15"/>
  <c r="E57" i="15"/>
  <c r="F57" i="15"/>
  <c r="E58" i="15"/>
  <c r="F58" i="15"/>
  <c r="D55" i="15"/>
  <c r="D56" i="15"/>
  <c r="D57" i="15"/>
  <c r="D58" i="15"/>
  <c r="H58" i="15" s="1"/>
  <c r="D54" i="15"/>
  <c r="H22" i="15" l="1"/>
  <c r="I24" i="15"/>
  <c r="I22" i="15"/>
  <c r="H54" i="15"/>
  <c r="I25" i="15"/>
  <c r="I54" i="15"/>
  <c r="H56" i="15"/>
  <c r="I55" i="15"/>
  <c r="H57" i="15"/>
  <c r="I58" i="15"/>
  <c r="I56" i="15"/>
  <c r="H55" i="15"/>
  <c r="I57" i="15"/>
  <c r="O21" i="13"/>
  <c r="N21" i="13"/>
  <c r="K21" i="13"/>
  <c r="I21" i="13"/>
  <c r="H21" i="13"/>
  <c r="J21" i="13" s="1"/>
  <c r="G21" i="13"/>
  <c r="C21" i="13"/>
  <c r="L21" i="13" s="1"/>
  <c r="B21" i="13"/>
  <c r="O20" i="13"/>
  <c r="N20" i="13"/>
  <c r="P20" i="13" s="1"/>
  <c r="I20" i="13"/>
  <c r="H20" i="13"/>
  <c r="J20" i="13" s="1"/>
  <c r="G20" i="13"/>
  <c r="C20" i="13"/>
  <c r="L20" i="13" s="1"/>
  <c r="B20" i="13"/>
  <c r="O19" i="13"/>
  <c r="N19" i="13"/>
  <c r="P19" i="13" s="1"/>
  <c r="I19" i="13"/>
  <c r="H19" i="13"/>
  <c r="J19" i="13" s="1"/>
  <c r="G19" i="13"/>
  <c r="C19" i="13"/>
  <c r="B19" i="13"/>
  <c r="D19" i="13" s="1"/>
  <c r="O18" i="13"/>
  <c r="N18" i="13"/>
  <c r="P18" i="13" s="1"/>
  <c r="I18" i="13"/>
  <c r="H18" i="13"/>
  <c r="J18" i="13" s="1"/>
  <c r="G18" i="13"/>
  <c r="C18" i="13"/>
  <c r="L18" i="13" s="1"/>
  <c r="B18" i="13"/>
  <c r="K18" i="13" s="1"/>
  <c r="O17" i="13"/>
  <c r="P17" i="13" s="1"/>
  <c r="N17" i="13"/>
  <c r="I17" i="13"/>
  <c r="H17" i="13"/>
  <c r="J17" i="13" s="1"/>
  <c r="G17" i="13"/>
  <c r="C17" i="13"/>
  <c r="B17" i="13"/>
  <c r="D17" i="13" s="1"/>
  <c r="P16" i="13"/>
  <c r="O16" i="13"/>
  <c r="N16" i="13"/>
  <c r="I16" i="13"/>
  <c r="H16" i="13"/>
  <c r="G16" i="13"/>
  <c r="C16" i="13"/>
  <c r="L16" i="13" s="1"/>
  <c r="B16" i="13"/>
  <c r="K16" i="13" s="1"/>
  <c r="O15" i="13"/>
  <c r="N15" i="13"/>
  <c r="P15" i="13" s="1"/>
  <c r="I15" i="13"/>
  <c r="H15" i="13"/>
  <c r="J15" i="13" s="1"/>
  <c r="F15" i="13"/>
  <c r="E15" i="13"/>
  <c r="C15" i="13"/>
  <c r="L15" i="13" s="1"/>
  <c r="B15" i="13"/>
  <c r="O14" i="13"/>
  <c r="N14" i="13"/>
  <c r="L14" i="13"/>
  <c r="I14" i="13"/>
  <c r="H14" i="13"/>
  <c r="J14" i="13" s="1"/>
  <c r="F14" i="13"/>
  <c r="E14" i="13"/>
  <c r="C14" i="13"/>
  <c r="B14" i="13"/>
  <c r="O13" i="13"/>
  <c r="O22" i="13" s="1"/>
  <c r="N13" i="13"/>
  <c r="I13" i="13"/>
  <c r="H13" i="13"/>
  <c r="F13" i="13"/>
  <c r="E13" i="13"/>
  <c r="C13" i="13"/>
  <c r="C22" i="13" s="1"/>
  <c r="B13" i="13"/>
  <c r="J10" i="8"/>
  <c r="I10" i="8"/>
  <c r="K10" i="8" s="1"/>
  <c r="H12" i="8"/>
  <c r="K27" i="8"/>
  <c r="K24" i="8"/>
  <c r="K22" i="8"/>
  <c r="K20" i="8"/>
  <c r="K18" i="8"/>
  <c r="K16" i="8"/>
  <c r="K14" i="8"/>
  <c r="K12" i="8"/>
  <c r="H27" i="8"/>
  <c r="H24" i="8"/>
  <c r="H22" i="8"/>
  <c r="H16" i="8"/>
  <c r="H14" i="8"/>
  <c r="G10" i="8"/>
  <c r="F10" i="8"/>
  <c r="H10" i="8" s="1"/>
  <c r="R74" i="12"/>
  <c r="Q74" i="12"/>
  <c r="O74" i="12"/>
  <c r="N74" i="12"/>
  <c r="M74" i="12"/>
  <c r="J74" i="12"/>
  <c r="G74" i="12"/>
  <c r="S74" i="12" s="1"/>
  <c r="D74" i="12"/>
  <c r="P74" i="12" s="1"/>
  <c r="R73" i="12"/>
  <c r="Q73" i="12"/>
  <c r="O73" i="12"/>
  <c r="N73" i="12"/>
  <c r="M73" i="12"/>
  <c r="J73" i="12"/>
  <c r="G73" i="12"/>
  <c r="S73" i="12" s="1"/>
  <c r="D73" i="12"/>
  <c r="P73" i="12" s="1"/>
  <c r="R72" i="12"/>
  <c r="Q72" i="12"/>
  <c r="O72" i="12"/>
  <c r="N72" i="12"/>
  <c r="M72" i="12"/>
  <c r="J72" i="12"/>
  <c r="G72" i="12"/>
  <c r="S72" i="12" s="1"/>
  <c r="D72" i="12"/>
  <c r="P72" i="12" s="1"/>
  <c r="R71" i="12"/>
  <c r="Q71" i="12"/>
  <c r="O71" i="12"/>
  <c r="N71" i="12"/>
  <c r="M71" i="12"/>
  <c r="J71" i="12"/>
  <c r="G71" i="12"/>
  <c r="S71" i="12" s="1"/>
  <c r="D71" i="12"/>
  <c r="R67" i="12"/>
  <c r="Q67" i="12"/>
  <c r="O67" i="12"/>
  <c r="N67" i="12"/>
  <c r="M67" i="12"/>
  <c r="J67" i="12"/>
  <c r="G67" i="12"/>
  <c r="S67" i="12" s="1"/>
  <c r="D67" i="12"/>
  <c r="P67" i="12" s="1"/>
  <c r="R66" i="12"/>
  <c r="Q66" i="12"/>
  <c r="O66" i="12"/>
  <c r="N66" i="12"/>
  <c r="M66" i="12"/>
  <c r="J66" i="12"/>
  <c r="G66" i="12"/>
  <c r="S66" i="12" s="1"/>
  <c r="D66" i="12"/>
  <c r="R65" i="12"/>
  <c r="Q65" i="12"/>
  <c r="O65" i="12"/>
  <c r="N65" i="12"/>
  <c r="M65" i="12"/>
  <c r="J65" i="12"/>
  <c r="G65" i="12"/>
  <c r="S65" i="12" s="1"/>
  <c r="D65" i="12"/>
  <c r="P65" i="12" s="1"/>
  <c r="R64" i="12"/>
  <c r="Q64" i="12"/>
  <c r="O64" i="12"/>
  <c r="N64" i="12"/>
  <c r="M64" i="12"/>
  <c r="J64" i="12"/>
  <c r="G64" i="12"/>
  <c r="S64" i="12" s="1"/>
  <c r="D64" i="12"/>
  <c r="R60" i="12"/>
  <c r="Q60" i="12"/>
  <c r="O60" i="12"/>
  <c r="N60" i="12"/>
  <c r="M60" i="12"/>
  <c r="J60" i="12"/>
  <c r="G60" i="12"/>
  <c r="S60" i="12" s="1"/>
  <c r="D60" i="12"/>
  <c r="P60" i="12" s="1"/>
  <c r="R59" i="12"/>
  <c r="Q59" i="12"/>
  <c r="O59" i="12"/>
  <c r="N59" i="12"/>
  <c r="M59" i="12"/>
  <c r="J59" i="12"/>
  <c r="G59" i="12"/>
  <c r="S59" i="12" s="1"/>
  <c r="D59" i="12"/>
  <c r="R58" i="12"/>
  <c r="Q58" i="12"/>
  <c r="O58" i="12"/>
  <c r="N58" i="12"/>
  <c r="M58" i="12"/>
  <c r="J58" i="12"/>
  <c r="G58" i="12"/>
  <c r="S58" i="12" s="1"/>
  <c r="D58" i="12"/>
  <c r="P58" i="12" s="1"/>
  <c r="R57" i="12"/>
  <c r="Q57" i="12"/>
  <c r="O57" i="12"/>
  <c r="N57" i="12"/>
  <c r="M57" i="12"/>
  <c r="J57" i="12"/>
  <c r="G57" i="12"/>
  <c r="S57" i="12" s="1"/>
  <c r="D57" i="12"/>
  <c r="R53" i="12"/>
  <c r="Q53" i="12"/>
  <c r="O53" i="12"/>
  <c r="N53" i="12"/>
  <c r="M53" i="12"/>
  <c r="J53" i="12"/>
  <c r="G53" i="12"/>
  <c r="S53" i="12" s="1"/>
  <c r="D53" i="12"/>
  <c r="P53" i="12" s="1"/>
  <c r="R52" i="12"/>
  <c r="Q52" i="12"/>
  <c r="O52" i="12"/>
  <c r="N52" i="12"/>
  <c r="M52" i="12"/>
  <c r="J52" i="12"/>
  <c r="G52" i="12"/>
  <c r="S52" i="12" s="1"/>
  <c r="D52" i="12"/>
  <c r="R51" i="12"/>
  <c r="Q51" i="12"/>
  <c r="O51" i="12"/>
  <c r="N51" i="12"/>
  <c r="P51" i="12" s="1"/>
  <c r="M51" i="12"/>
  <c r="J51" i="12"/>
  <c r="G51" i="12"/>
  <c r="D51" i="12"/>
  <c r="R48" i="12"/>
  <c r="Q48" i="12"/>
  <c r="O48" i="12"/>
  <c r="N48" i="12"/>
  <c r="M48" i="12"/>
  <c r="J48" i="12"/>
  <c r="G48" i="12"/>
  <c r="S48" i="12" s="1"/>
  <c r="D48" i="12"/>
  <c r="R47" i="12"/>
  <c r="Q47" i="12"/>
  <c r="O47" i="12"/>
  <c r="N47" i="12"/>
  <c r="M47" i="12"/>
  <c r="J47" i="12"/>
  <c r="G47" i="12"/>
  <c r="S47" i="12" s="1"/>
  <c r="D47" i="12"/>
  <c r="P47" i="12" s="1"/>
  <c r="R46" i="12"/>
  <c r="Q46" i="12"/>
  <c r="O46" i="12"/>
  <c r="N46" i="12"/>
  <c r="M46" i="12"/>
  <c r="J46" i="12"/>
  <c r="G46" i="12"/>
  <c r="S46" i="12" s="1"/>
  <c r="D46" i="12"/>
  <c r="R45" i="12"/>
  <c r="Q45" i="12"/>
  <c r="O45" i="12"/>
  <c r="N45" i="12"/>
  <c r="M45" i="12"/>
  <c r="J45" i="12"/>
  <c r="G45" i="12"/>
  <c r="S45" i="12" s="1"/>
  <c r="D45" i="12"/>
  <c r="P45" i="12" s="1"/>
  <c r="R41" i="12"/>
  <c r="Q41" i="12"/>
  <c r="O41" i="12"/>
  <c r="N41" i="12"/>
  <c r="M41" i="12"/>
  <c r="J41" i="12"/>
  <c r="G41" i="12"/>
  <c r="S41" i="12" s="1"/>
  <c r="D41" i="12"/>
  <c r="R40" i="12"/>
  <c r="Q40" i="12"/>
  <c r="O40" i="12"/>
  <c r="N40" i="12"/>
  <c r="M40" i="12"/>
  <c r="J40" i="12"/>
  <c r="G40" i="12"/>
  <c r="S40" i="12" s="1"/>
  <c r="D40" i="12"/>
  <c r="P40" i="12" s="1"/>
  <c r="R39" i="12"/>
  <c r="Q39" i="12"/>
  <c r="S39" i="12" s="1"/>
  <c r="O39" i="12"/>
  <c r="P39" i="12" s="1"/>
  <c r="N39" i="12"/>
  <c r="M39" i="12"/>
  <c r="J39" i="12"/>
  <c r="G39" i="12"/>
  <c r="D39" i="12"/>
  <c r="R36" i="12"/>
  <c r="Q36" i="12"/>
  <c r="O36" i="12"/>
  <c r="N36" i="12"/>
  <c r="M36" i="12"/>
  <c r="J36" i="12"/>
  <c r="G36" i="12"/>
  <c r="S36" i="12" s="1"/>
  <c r="D36" i="12"/>
  <c r="R35" i="12"/>
  <c r="Q35" i="12"/>
  <c r="O35" i="12"/>
  <c r="N35" i="12"/>
  <c r="M35" i="12"/>
  <c r="J35" i="12"/>
  <c r="P35" i="12" s="1"/>
  <c r="G35" i="12"/>
  <c r="S35" i="12" s="1"/>
  <c r="D35" i="12"/>
  <c r="R34" i="12"/>
  <c r="Q34" i="12"/>
  <c r="O34" i="12"/>
  <c r="N34" i="12"/>
  <c r="M34" i="12"/>
  <c r="J34" i="12"/>
  <c r="G34" i="12"/>
  <c r="S34" i="12" s="1"/>
  <c r="D34" i="12"/>
  <c r="R33" i="12"/>
  <c r="Q33" i="12"/>
  <c r="O33" i="12"/>
  <c r="N33" i="12"/>
  <c r="M33" i="12"/>
  <c r="J33" i="12"/>
  <c r="P33" i="12" s="1"/>
  <c r="G33" i="12"/>
  <c r="S33" i="12" s="1"/>
  <c r="D33" i="12"/>
  <c r="R29" i="12"/>
  <c r="Q29" i="12"/>
  <c r="O29" i="12"/>
  <c r="N29" i="12"/>
  <c r="M29" i="12"/>
  <c r="J29" i="12"/>
  <c r="G29" i="12"/>
  <c r="S29" i="12" s="1"/>
  <c r="D29" i="12"/>
  <c r="R28" i="12"/>
  <c r="Q28" i="12"/>
  <c r="O28" i="12"/>
  <c r="N28" i="12"/>
  <c r="M28" i="12"/>
  <c r="J28" i="12"/>
  <c r="P28" i="12" s="1"/>
  <c r="G28" i="12"/>
  <c r="S28" i="12" s="1"/>
  <c r="D28" i="12"/>
  <c r="R27" i="12"/>
  <c r="O27" i="12"/>
  <c r="L27" i="12"/>
  <c r="K27" i="12"/>
  <c r="M27" i="12" s="1"/>
  <c r="H27" i="12"/>
  <c r="J27" i="12" s="1"/>
  <c r="P27" i="12" s="1"/>
  <c r="F27" i="12"/>
  <c r="E27" i="12"/>
  <c r="Q27" i="12" s="1"/>
  <c r="D27" i="12"/>
  <c r="R26" i="12"/>
  <c r="Q26" i="12"/>
  <c r="O26" i="12"/>
  <c r="N26" i="12"/>
  <c r="M26" i="12"/>
  <c r="J26" i="12"/>
  <c r="G26" i="12"/>
  <c r="D26" i="12"/>
  <c r="P26" i="12" s="1"/>
  <c r="R22" i="12"/>
  <c r="Q22" i="12"/>
  <c r="O22" i="12"/>
  <c r="N22" i="12"/>
  <c r="M22" i="12"/>
  <c r="J22" i="12"/>
  <c r="G22" i="12"/>
  <c r="D22" i="12"/>
  <c r="R21" i="12"/>
  <c r="Q21" i="12"/>
  <c r="O21" i="12"/>
  <c r="N21" i="12"/>
  <c r="M21" i="12"/>
  <c r="J21" i="12"/>
  <c r="G21" i="12"/>
  <c r="D21" i="12"/>
  <c r="P21" i="12" s="1"/>
  <c r="R20" i="12"/>
  <c r="Q20" i="12"/>
  <c r="O20" i="12"/>
  <c r="N20" i="12"/>
  <c r="M20" i="12"/>
  <c r="J20" i="12"/>
  <c r="G20" i="12"/>
  <c r="D20" i="12"/>
  <c r="R19" i="12"/>
  <c r="Q19" i="12"/>
  <c r="O19" i="12"/>
  <c r="N19" i="12"/>
  <c r="M19" i="12"/>
  <c r="J19" i="12"/>
  <c r="G19" i="12"/>
  <c r="D19" i="12"/>
  <c r="P19" i="12" s="1"/>
  <c r="R15" i="12"/>
  <c r="Q15" i="12"/>
  <c r="O15" i="12"/>
  <c r="N15" i="12"/>
  <c r="M15" i="12"/>
  <c r="J15" i="12"/>
  <c r="G15" i="12"/>
  <c r="D15" i="12"/>
  <c r="R14" i="12"/>
  <c r="Q14" i="12"/>
  <c r="O14" i="12"/>
  <c r="N14" i="12"/>
  <c r="M14" i="12"/>
  <c r="J14" i="12"/>
  <c r="G14" i="12"/>
  <c r="D14" i="12"/>
  <c r="P14" i="12" s="1"/>
  <c r="R13" i="12"/>
  <c r="Q13" i="12"/>
  <c r="O13" i="12"/>
  <c r="N13" i="12"/>
  <c r="M13" i="12"/>
  <c r="J13" i="12"/>
  <c r="G13" i="12"/>
  <c r="D13" i="12"/>
  <c r="R12" i="12"/>
  <c r="Q12" i="12"/>
  <c r="O12" i="12"/>
  <c r="N12" i="12"/>
  <c r="M12" i="12"/>
  <c r="J12" i="12"/>
  <c r="G12" i="12"/>
  <c r="D12" i="12"/>
  <c r="P12" i="12" s="1"/>
  <c r="N53" i="6"/>
  <c r="O53" i="6"/>
  <c r="K53" i="6"/>
  <c r="L53" i="6"/>
  <c r="N41" i="6"/>
  <c r="O41" i="6"/>
  <c r="K41" i="6"/>
  <c r="L41" i="6"/>
  <c r="G40" i="5"/>
  <c r="H40" i="5"/>
  <c r="G52" i="5"/>
  <c r="H52" i="5"/>
  <c r="N27" i="12" l="1"/>
  <c r="M16" i="13"/>
  <c r="E22" i="13"/>
  <c r="J13" i="13"/>
  <c r="J22" i="13" s="1"/>
  <c r="K14" i="13"/>
  <c r="M14" i="13" s="1"/>
  <c r="G14" i="13"/>
  <c r="N22" i="13"/>
  <c r="M18" i="13"/>
  <c r="S12" i="12"/>
  <c r="S13" i="12"/>
  <c r="S14" i="12"/>
  <c r="S15" i="12"/>
  <c r="S19" i="12"/>
  <c r="S20" i="12"/>
  <c r="S21" i="12"/>
  <c r="S22" i="12"/>
  <c r="S26" i="12"/>
  <c r="P41" i="12"/>
  <c r="P46" i="12"/>
  <c r="P48" i="12"/>
  <c r="P52" i="12"/>
  <c r="P57" i="12"/>
  <c r="P59" i="12"/>
  <c r="P64" i="12"/>
  <c r="P66" i="12"/>
  <c r="P71" i="12"/>
  <c r="K13" i="13"/>
  <c r="K22" i="13" s="1"/>
  <c r="K15" i="13"/>
  <c r="M15" i="13" s="1"/>
  <c r="L17" i="13"/>
  <c r="K17" i="13"/>
  <c r="K20" i="13"/>
  <c r="M20" i="13" s="1"/>
  <c r="P21" i="13"/>
  <c r="P13" i="12"/>
  <c r="P15" i="12"/>
  <c r="P20" i="12"/>
  <c r="P22" i="12"/>
  <c r="P29" i="12"/>
  <c r="P34" i="12"/>
  <c r="P36" i="12"/>
  <c r="S51" i="12"/>
  <c r="D13" i="13"/>
  <c r="G13" i="13"/>
  <c r="P13" i="13"/>
  <c r="D14" i="13"/>
  <c r="P14" i="13"/>
  <c r="J16" i="13"/>
  <c r="D18" i="13"/>
  <c r="L19" i="13"/>
  <c r="M19" i="13" s="1"/>
  <c r="K19" i="13"/>
  <c r="D21" i="13"/>
  <c r="M21" i="13"/>
  <c r="M17" i="13"/>
  <c r="H22" i="13"/>
  <c r="L13" i="13"/>
  <c r="I22" i="13"/>
  <c r="G15" i="13"/>
  <c r="G22" i="13" s="1"/>
  <c r="D16" i="13"/>
  <c r="D20" i="13"/>
  <c r="B22" i="13"/>
  <c r="F22" i="13"/>
  <c r="D15" i="13"/>
  <c r="D22" i="13" s="1"/>
  <c r="G27" i="12"/>
  <c r="S27" i="12" s="1"/>
  <c r="P22" i="13" l="1"/>
  <c r="L22" i="13"/>
  <c r="M13" i="13"/>
  <c r="M22" i="13" s="1"/>
  <c r="G181" i="9" l="1"/>
  <c r="F181" i="9"/>
  <c r="G180" i="9"/>
  <c r="F180" i="9"/>
  <c r="G179" i="9"/>
  <c r="F179" i="9"/>
  <c r="G178" i="9"/>
  <c r="F178" i="9"/>
  <c r="G177" i="9"/>
  <c r="F177" i="9"/>
  <c r="G176" i="9"/>
  <c r="F176" i="9"/>
  <c r="G175" i="9"/>
  <c r="F175" i="9"/>
  <c r="G174" i="9"/>
  <c r="F174" i="9"/>
  <c r="G173" i="9"/>
  <c r="F173" i="9"/>
  <c r="G172" i="9"/>
  <c r="F172" i="9"/>
  <c r="G161" i="9"/>
  <c r="F161" i="9"/>
  <c r="G160" i="9"/>
  <c r="F160" i="9"/>
  <c r="G159" i="9"/>
  <c r="F159" i="9"/>
  <c r="G158" i="9"/>
  <c r="F158" i="9"/>
  <c r="G157" i="9"/>
  <c r="F157" i="9"/>
  <c r="G156" i="9"/>
  <c r="F156" i="9"/>
  <c r="G155" i="9"/>
  <c r="F155" i="9"/>
  <c r="G154" i="9"/>
  <c r="F154" i="9"/>
  <c r="G153" i="9"/>
  <c r="F153" i="9"/>
  <c r="G152" i="9"/>
  <c r="F152" i="9"/>
  <c r="G144" i="9"/>
  <c r="F144" i="9"/>
  <c r="G143" i="9"/>
  <c r="F143" i="9"/>
  <c r="G142" i="9"/>
  <c r="F142" i="9"/>
  <c r="G141" i="9"/>
  <c r="F141" i="9"/>
  <c r="G140" i="9"/>
  <c r="F140" i="9"/>
  <c r="G139" i="9"/>
  <c r="F139" i="9"/>
  <c r="G138" i="9"/>
  <c r="F138" i="9"/>
  <c r="G137" i="9"/>
  <c r="F137" i="9"/>
  <c r="G136" i="9"/>
  <c r="F136" i="9"/>
  <c r="G135" i="9"/>
  <c r="F135" i="9"/>
  <c r="G127" i="9"/>
  <c r="F127" i="9"/>
  <c r="G126" i="9"/>
  <c r="F126" i="9"/>
  <c r="G125" i="9"/>
  <c r="F125" i="9"/>
  <c r="G124" i="9"/>
  <c r="F124" i="9"/>
  <c r="G123" i="9"/>
  <c r="F123" i="9"/>
  <c r="G122" i="9"/>
  <c r="F122" i="9"/>
  <c r="G121" i="9"/>
  <c r="F121" i="9"/>
  <c r="G120" i="9"/>
  <c r="F120" i="9"/>
  <c r="G119" i="9"/>
  <c r="F119" i="9"/>
  <c r="G118" i="9"/>
  <c r="F118" i="9"/>
  <c r="G110" i="9"/>
  <c r="F110" i="9"/>
  <c r="G109" i="9"/>
  <c r="F109" i="9"/>
  <c r="G108" i="9"/>
  <c r="F108" i="9"/>
  <c r="G107" i="9"/>
  <c r="F107" i="9"/>
  <c r="G106" i="9"/>
  <c r="F106" i="9"/>
  <c r="G105" i="9"/>
  <c r="F105" i="9"/>
  <c r="G104" i="9"/>
  <c r="F104" i="9"/>
  <c r="G103" i="9"/>
  <c r="F103" i="9"/>
  <c r="G102" i="9"/>
  <c r="F102" i="9"/>
  <c r="G101" i="9"/>
  <c r="F101" i="9"/>
  <c r="G93" i="9"/>
  <c r="F93" i="9"/>
  <c r="G92" i="9"/>
  <c r="F92" i="9"/>
  <c r="G91" i="9"/>
  <c r="F91" i="9"/>
  <c r="G90" i="9"/>
  <c r="F90" i="9"/>
  <c r="G89" i="9"/>
  <c r="F89" i="9"/>
  <c r="G88" i="9"/>
  <c r="F88" i="9"/>
  <c r="G87" i="9"/>
  <c r="F87" i="9"/>
  <c r="G86" i="9"/>
  <c r="F86" i="9"/>
  <c r="G85" i="9"/>
  <c r="F85" i="9"/>
  <c r="G84" i="9"/>
  <c r="F84" i="9"/>
  <c r="G76" i="9"/>
  <c r="F76" i="9"/>
  <c r="G75" i="9"/>
  <c r="F75" i="9"/>
  <c r="G74" i="9"/>
  <c r="F74" i="9"/>
  <c r="G73" i="9"/>
  <c r="F73" i="9"/>
  <c r="G72" i="9"/>
  <c r="F72" i="9"/>
  <c r="G71" i="9"/>
  <c r="F71" i="9"/>
  <c r="G70" i="9"/>
  <c r="F70" i="9"/>
  <c r="G69" i="9"/>
  <c r="F69" i="9"/>
  <c r="G68" i="9"/>
  <c r="F68" i="9"/>
  <c r="G67" i="9"/>
  <c r="F67" i="9"/>
  <c r="G56" i="9"/>
  <c r="F56" i="9"/>
  <c r="G55" i="9"/>
  <c r="F55" i="9"/>
  <c r="G54" i="9"/>
  <c r="F54" i="9"/>
  <c r="G53" i="9"/>
  <c r="F53" i="9"/>
  <c r="G52" i="9"/>
  <c r="F52" i="9"/>
  <c r="G51" i="9"/>
  <c r="F51" i="9"/>
  <c r="G50" i="9"/>
  <c r="F50" i="9"/>
  <c r="G49" i="9"/>
  <c r="F49" i="9"/>
  <c r="G48" i="9"/>
  <c r="F48" i="9"/>
  <c r="G47" i="9"/>
  <c r="F47" i="9"/>
  <c r="G39" i="9"/>
  <c r="F39" i="9"/>
  <c r="G38" i="9"/>
  <c r="F38" i="9"/>
  <c r="G37" i="9"/>
  <c r="F37" i="9"/>
  <c r="G36" i="9"/>
  <c r="F36" i="9"/>
  <c r="G35" i="9"/>
  <c r="F35" i="9"/>
  <c r="G34" i="9"/>
  <c r="F34" i="9"/>
  <c r="G33" i="9"/>
  <c r="F33" i="9"/>
  <c r="G32" i="9"/>
  <c r="F32" i="9"/>
  <c r="G31" i="9"/>
  <c r="F31" i="9"/>
  <c r="G30" i="9"/>
  <c r="F30" i="9"/>
  <c r="G22" i="9"/>
  <c r="F22" i="9"/>
  <c r="G21" i="9"/>
  <c r="F21" i="9"/>
  <c r="G20" i="9"/>
  <c r="F20" i="9"/>
  <c r="G19" i="9"/>
  <c r="F19" i="9"/>
  <c r="G18" i="9"/>
  <c r="F18" i="9"/>
  <c r="G17" i="9"/>
  <c r="F17" i="9"/>
  <c r="G16" i="9"/>
  <c r="F16" i="9"/>
  <c r="G15" i="9"/>
  <c r="F15" i="9"/>
  <c r="G14" i="9"/>
  <c r="F14" i="9"/>
  <c r="G13" i="9"/>
  <c r="F13" i="9"/>
  <c r="Q27" i="8"/>
  <c r="P27" i="8"/>
  <c r="O27" i="8"/>
  <c r="N27" i="8"/>
  <c r="Q24" i="8"/>
  <c r="P24" i="8"/>
  <c r="O24" i="8"/>
  <c r="N24" i="8"/>
  <c r="Q22" i="8"/>
  <c r="P22" i="8"/>
  <c r="O22" i="8"/>
  <c r="N22" i="8"/>
  <c r="Q20" i="8"/>
  <c r="P20" i="8"/>
  <c r="Q18" i="8"/>
  <c r="P18" i="8"/>
  <c r="Q16" i="8"/>
  <c r="P16" i="8"/>
  <c r="O16" i="8"/>
  <c r="N16" i="8"/>
  <c r="Q14" i="8"/>
  <c r="P14" i="8"/>
  <c r="O14" i="8"/>
  <c r="N14" i="8"/>
  <c r="Q12" i="8"/>
  <c r="P12" i="8"/>
  <c r="O12" i="8"/>
  <c r="N12" i="8"/>
  <c r="Q10" i="8"/>
  <c r="P10" i="8"/>
  <c r="O10" i="8"/>
  <c r="N10" i="8"/>
  <c r="N19" i="6" l="1"/>
  <c r="O19" i="6"/>
  <c r="N20" i="6"/>
  <c r="O20" i="6"/>
  <c r="N21" i="6"/>
  <c r="O21" i="6"/>
  <c r="N22" i="6"/>
  <c r="O22" i="6"/>
  <c r="N26" i="6"/>
  <c r="O26" i="6"/>
  <c r="N27" i="6"/>
  <c r="O27" i="6"/>
  <c r="N28" i="6"/>
  <c r="O28" i="6"/>
  <c r="N29" i="6"/>
  <c r="O29" i="6"/>
  <c r="N33" i="6"/>
  <c r="O33" i="6"/>
  <c r="N34" i="6"/>
  <c r="O34" i="6"/>
  <c r="N35" i="6"/>
  <c r="O35" i="6"/>
  <c r="N36" i="6"/>
  <c r="O36" i="6"/>
  <c r="N39" i="6"/>
  <c r="O39" i="6"/>
  <c r="N40" i="6"/>
  <c r="O40" i="6"/>
  <c r="N45" i="6"/>
  <c r="O45" i="6"/>
  <c r="N46" i="6"/>
  <c r="O46" i="6"/>
  <c r="N47" i="6"/>
  <c r="O47" i="6"/>
  <c r="N48" i="6"/>
  <c r="O48" i="6"/>
  <c r="N51" i="6"/>
  <c r="O51" i="6"/>
  <c r="N52" i="6"/>
  <c r="O52" i="6"/>
  <c r="N57" i="6"/>
  <c r="O57" i="6"/>
  <c r="N58" i="6"/>
  <c r="O58" i="6"/>
  <c r="N59" i="6"/>
  <c r="O59" i="6"/>
  <c r="N60" i="6"/>
  <c r="O60" i="6"/>
  <c r="N65" i="6"/>
  <c r="O65" i="6"/>
  <c r="N66" i="6"/>
  <c r="O66" i="6"/>
  <c r="N67" i="6"/>
  <c r="O67" i="6"/>
  <c r="N68" i="6"/>
  <c r="O68" i="6"/>
  <c r="N72" i="6"/>
  <c r="O72" i="6"/>
  <c r="N73" i="6"/>
  <c r="O73" i="6"/>
  <c r="N74" i="6"/>
  <c r="O74" i="6"/>
  <c r="N75" i="6"/>
  <c r="O75" i="6"/>
  <c r="O13" i="6"/>
  <c r="O14" i="6"/>
  <c r="O15" i="6"/>
  <c r="O12" i="6"/>
  <c r="N13" i="6"/>
  <c r="N14" i="6"/>
  <c r="N15" i="6"/>
  <c r="N12" i="6"/>
  <c r="K13" i="6" l="1"/>
  <c r="L13" i="6"/>
  <c r="K14" i="6"/>
  <c r="L14" i="6"/>
  <c r="K15" i="6"/>
  <c r="L15" i="6"/>
  <c r="K19" i="6"/>
  <c r="L19" i="6"/>
  <c r="K20" i="6"/>
  <c r="L20" i="6"/>
  <c r="K21" i="6"/>
  <c r="L21" i="6"/>
  <c r="K22" i="6"/>
  <c r="L22" i="6"/>
  <c r="K26" i="6"/>
  <c r="L26" i="6"/>
  <c r="K27" i="6"/>
  <c r="L27" i="6"/>
  <c r="K28" i="6"/>
  <c r="L28" i="6"/>
  <c r="K29" i="6"/>
  <c r="L29" i="6"/>
  <c r="K33" i="6"/>
  <c r="L33" i="6"/>
  <c r="K34" i="6"/>
  <c r="L34" i="6"/>
  <c r="K35" i="6"/>
  <c r="L35" i="6"/>
  <c r="K36" i="6"/>
  <c r="L36" i="6"/>
  <c r="K39" i="6"/>
  <c r="L39" i="6"/>
  <c r="K40" i="6"/>
  <c r="L40" i="6"/>
  <c r="K45" i="6"/>
  <c r="L45" i="6"/>
  <c r="K46" i="6"/>
  <c r="L46" i="6"/>
  <c r="K47" i="6"/>
  <c r="L47" i="6"/>
  <c r="K48" i="6"/>
  <c r="L48" i="6"/>
  <c r="K51" i="6"/>
  <c r="L51" i="6"/>
  <c r="K52" i="6"/>
  <c r="L52" i="6"/>
  <c r="K57" i="6"/>
  <c r="L57" i="6"/>
  <c r="K58" i="6"/>
  <c r="L58" i="6"/>
  <c r="K59" i="6"/>
  <c r="L59" i="6"/>
  <c r="K60" i="6"/>
  <c r="L60" i="6"/>
  <c r="K65" i="6"/>
  <c r="L65" i="6"/>
  <c r="K66" i="6"/>
  <c r="L66" i="6"/>
  <c r="K67" i="6"/>
  <c r="L67" i="6"/>
  <c r="K68" i="6"/>
  <c r="L68" i="6"/>
  <c r="K72" i="6"/>
  <c r="L72" i="6"/>
  <c r="K73" i="6"/>
  <c r="L73" i="6"/>
  <c r="K74" i="6"/>
  <c r="L74" i="6"/>
  <c r="K75" i="6"/>
  <c r="L75" i="6"/>
  <c r="L12" i="6"/>
  <c r="K12" i="6"/>
  <c r="G12" i="5"/>
  <c r="H12" i="5"/>
  <c r="G13" i="5"/>
  <c r="H13" i="5"/>
  <c r="G14" i="5"/>
  <c r="H14" i="5"/>
  <c r="G18" i="5"/>
  <c r="H18" i="5"/>
  <c r="G19" i="5"/>
  <c r="H19" i="5"/>
  <c r="G20" i="5"/>
  <c r="H20" i="5"/>
  <c r="G21" i="5"/>
  <c r="H21" i="5"/>
  <c r="G25" i="5"/>
  <c r="H25" i="5"/>
  <c r="G26" i="5"/>
  <c r="H26" i="5"/>
  <c r="G27" i="5"/>
  <c r="H27" i="5"/>
  <c r="G28" i="5"/>
  <c r="H28" i="5"/>
  <c r="G32" i="5"/>
  <c r="H32" i="5"/>
  <c r="G33" i="5"/>
  <c r="H33" i="5"/>
  <c r="G34" i="5"/>
  <c r="H34" i="5"/>
  <c r="G35" i="5"/>
  <c r="H35" i="5"/>
  <c r="G38" i="5"/>
  <c r="H38" i="5"/>
  <c r="G39" i="5"/>
  <c r="H39" i="5"/>
  <c r="G44" i="5"/>
  <c r="H44" i="5"/>
  <c r="G45" i="5"/>
  <c r="H45" i="5"/>
  <c r="G46" i="5"/>
  <c r="H46" i="5"/>
  <c r="G47" i="5"/>
  <c r="H47" i="5"/>
  <c r="G50" i="5"/>
  <c r="H50" i="5"/>
  <c r="G51" i="5"/>
  <c r="H51" i="5"/>
  <c r="G56" i="5"/>
  <c r="H56" i="5"/>
  <c r="G57" i="5"/>
  <c r="H57" i="5"/>
  <c r="G58" i="5"/>
  <c r="H58" i="5"/>
  <c r="G59" i="5"/>
  <c r="H59" i="5"/>
  <c r="G63" i="5"/>
  <c r="H63" i="5"/>
  <c r="G64" i="5"/>
  <c r="H64" i="5"/>
  <c r="G65" i="5"/>
  <c r="H65" i="5"/>
  <c r="G66" i="5"/>
  <c r="H66" i="5"/>
  <c r="G70" i="5"/>
  <c r="H70" i="5"/>
  <c r="G71" i="5"/>
  <c r="H71" i="5"/>
  <c r="G72" i="5"/>
  <c r="H72" i="5"/>
  <c r="G73" i="5"/>
  <c r="H73" i="5"/>
  <c r="G11" i="5"/>
  <c r="H11" i="5"/>
</calcChain>
</file>

<file path=xl/sharedStrings.xml><?xml version="1.0" encoding="utf-8"?>
<sst xmlns="http://schemas.openxmlformats.org/spreadsheetml/2006/main" count="569" uniqueCount="119">
  <si>
    <t>BESTUURS- EN ONDERWIJZEND PERSONEEL PER ONDERWIJSNIVEAU, NAARGELANG DE OPDRACHT</t>
  </si>
  <si>
    <t xml:space="preserve">Aantal personen (inclusief alle vervangingen, TBS+ en Bonus) - januari </t>
  </si>
  <si>
    <t>Aantal personen met volledige opdracht</t>
  </si>
  <si>
    <t>Aantal personen met gedeeltelijke opdracht</t>
  </si>
  <si>
    <t>Totaal</t>
  </si>
  <si>
    <t>Vastbenoemden</t>
  </si>
  <si>
    <t>Tijdelijken</t>
  </si>
  <si>
    <t>Mannen</t>
  </si>
  <si>
    <t>Vrouwen</t>
  </si>
  <si>
    <t>Gewoon basisonderwijs</t>
  </si>
  <si>
    <t xml:space="preserve">   2006-2007</t>
  </si>
  <si>
    <t xml:space="preserve">   2009-2010</t>
  </si>
  <si>
    <t>Buitengewoon basisonderwijs</t>
  </si>
  <si>
    <t>Gewoon secundair onderwijs</t>
  </si>
  <si>
    <t>Buitengewoon secundair onderwijs</t>
  </si>
  <si>
    <t>HBO5-verpleegkunde (1)</t>
  </si>
  <si>
    <t>Hogescholenonderwijs</t>
  </si>
  <si>
    <t>Basiseducatie</t>
  </si>
  <si>
    <t>Secundair volwassenenonderwijs</t>
  </si>
  <si>
    <t>Hoger beroepsonderwijs van het volwassenenonderwijs</t>
  </si>
  <si>
    <t>Deeltijds kunstonderwijs</t>
  </si>
  <si>
    <t>(1) Zie toelichting op het tweede tabblad van deze werkmap.</t>
  </si>
  <si>
    <t>Absoluut</t>
  </si>
  <si>
    <t>Procentueel</t>
  </si>
  <si>
    <t>totaal aantal personeelsleden</t>
  </si>
  <si>
    <t>BESTUURS- EN ONDERWIJZEND PERSONEEL PER ONDERWIJSNIVEAU</t>
  </si>
  <si>
    <t xml:space="preserve"> personen met een volledige opdracht</t>
  </si>
  <si>
    <t>volledig opdracht</t>
  </si>
  <si>
    <t>deeltijdse opdracht</t>
  </si>
  <si>
    <t>BESTUURSPERSONEEL PER ONDERWIJSNIVEAU (1)</t>
  </si>
  <si>
    <t>2004-2005</t>
  </si>
  <si>
    <t>absoluut</t>
  </si>
  <si>
    <t>procentueel</t>
  </si>
  <si>
    <t>Gewoon basisonderwijs (2)</t>
  </si>
  <si>
    <t>Buitengewoon basisonderwijs (3)</t>
  </si>
  <si>
    <t>Gewoon secundair onderwijs (4)</t>
  </si>
  <si>
    <t>Buitengewoon secundair onderwijs (5)</t>
  </si>
  <si>
    <t>HBO5-verpleegkunde (6)</t>
  </si>
  <si>
    <t>Basiseducatie (7)</t>
  </si>
  <si>
    <t>Secundair volwassenenonderwijs (8)</t>
  </si>
  <si>
    <t xml:space="preserve">Hoger beroepsonderwijs van het </t>
  </si>
  <si>
    <t>volwassenenonderwijs (8)</t>
  </si>
  <si>
    <t>Deeltijds kunstonderwijs (9)</t>
  </si>
  <si>
    <t>(1) De personen die omwille van een tijdelijk ander ambt van onderwijsniveau veranderen, werden niet opgenomen.</t>
  </si>
  <si>
    <t xml:space="preserve">Als bestuurspersoneel wordt beschouwd : </t>
  </si>
  <si>
    <t>(2) in het gewoon basisonderwijs : de directeur, de directeur van een kleuter-, lagere of basisschool, de adjunct-directeur.</t>
  </si>
  <si>
    <t>(3) in het buitengewoon basisonderwijs : de directeur, de directeur van een lagere school, de directeur van een MPI van</t>
  </si>
  <si>
    <t>de Vlaamse Gemeenschap, de adjunct-directeur.</t>
  </si>
  <si>
    <t xml:space="preserve">(4) in het gewoon secundair onderwijs : de directeur, de technisch adviseur, de technisch adviseur coördinator, de coördinator,  </t>
  </si>
  <si>
    <t>de adjunct-directeur.</t>
  </si>
  <si>
    <t>(5) in het buitengewoon secundair onderwijs : de directeur, de technisch adviseur, de technisch adviseur coördinator, de adjunct-directeur.</t>
  </si>
  <si>
    <t>(6) Zie toelichting onder de rubriek 'Personeel - toelichting, bft's en personen'</t>
  </si>
  <si>
    <t>(7) in de basiseducatie : de directeur en de stafmedewerker.</t>
  </si>
  <si>
    <t>(8) in het secundair volwassenenonderwijs en het hoger beroepsonderwijs van het volwassenenonderwijs : de directeur, de adjunct-directeur hoger onderwijs,</t>
  </si>
  <si>
    <t>de adjunct-directeur secundair onderwijs, de technisch adviseur, de technisch adviseur coördinator.</t>
  </si>
  <si>
    <t>(9) in het deeltijds kunstonderwijs: de directeur.</t>
  </si>
  <si>
    <t>BESTUURS- EN ONDERWIJZEND PERSONEEL NAAR LEEFTIJD EN GESLACHT</t>
  </si>
  <si>
    <t xml:space="preserve">GEWOON BASISONDERWIJS </t>
  </si>
  <si>
    <t>% van totaal</t>
  </si>
  <si>
    <t>Leeftijd</t>
  </si>
  <si>
    <t>20-24</t>
  </si>
  <si>
    <t>25-29</t>
  </si>
  <si>
    <t>30-34</t>
  </si>
  <si>
    <t>35-39</t>
  </si>
  <si>
    <t>40-44</t>
  </si>
  <si>
    <t>45-49</t>
  </si>
  <si>
    <t>50-54</t>
  </si>
  <si>
    <t>55-59</t>
  </si>
  <si>
    <t>60+</t>
  </si>
  <si>
    <t xml:space="preserve">BUITENGEWOON BASISONDERWIJS </t>
  </si>
  <si>
    <t xml:space="preserve">GEWOON SECUNDAIR ONDERWIJS </t>
  </si>
  <si>
    <t xml:space="preserve">BUITENGEWOON SECUNDAIR ONDERWIJS </t>
  </si>
  <si>
    <t>HOGESCHOLENONDERWIJS</t>
  </si>
  <si>
    <t>BASISEDUCATIE</t>
  </si>
  <si>
    <t>SECUNDAIR VOLWASSENENONDERWIJS</t>
  </si>
  <si>
    <t>HOGER BEROEPSONDERWIJS VAN HET VOLWASSENENONDERWIJS</t>
  </si>
  <si>
    <t>DEELTIJDS KUNSTONDERWIJS</t>
  </si>
  <si>
    <t>UNIVERSITAIR ONDERWIJS</t>
  </si>
  <si>
    <t>PERSONEEL AAN DE UNIVERSITEITEN BETAALD TEN LASTE VAN DE WERKINGSUITKERINGEN</t>
  </si>
  <si>
    <t xml:space="preserve">(1) Dit is een door de Stafdiensten Onderwijs en Vorming opgestelde categorie die bestaat uit de beheerders en de graden 10, 11, 12, 13, 15, 16, 17 van het administratief en technisch personeel.                             </t>
  </si>
  <si>
    <t>Bron : Vlaamse Interuniversitaire Raad (VLIR), Ravensteingalerij 27, 1000 Brussel.</t>
  </si>
  <si>
    <t>Zelfstandig academisch</t>
  </si>
  <si>
    <t>Assisterend academisch</t>
  </si>
  <si>
    <t>Administratief en technisch</t>
  </si>
  <si>
    <t xml:space="preserve">Bestuurspersoneel binnen het </t>
  </si>
  <si>
    <t>personeel</t>
  </si>
  <si>
    <t xml:space="preserve">administratief en technisch </t>
  </si>
  <si>
    <t>personeel (1)</t>
  </si>
  <si>
    <t>&lt;30</t>
  </si>
  <si>
    <t>60-64</t>
  </si>
  <si>
    <t>65 en +</t>
  </si>
  <si>
    <t xml:space="preserve">   2012-2013 </t>
  </si>
  <si>
    <t xml:space="preserve">   2013-2014</t>
  </si>
  <si>
    <t>HBO5 verpleegkunde (1)</t>
  </si>
  <si>
    <t xml:space="preserve">   2012-2013</t>
  </si>
  <si>
    <t>Schooljaar 2013-2014</t>
  </si>
  <si>
    <t>Aantal personen (inclusief alle vervangingen, TBS+ en Bonus) - januari 2014</t>
  </si>
  <si>
    <t>Aantal personen (inclusief alle vervangingen, TBS+ en Bonus) -  januari 2014 (1)</t>
  </si>
  <si>
    <t xml:space="preserve"> 2013-2014</t>
  </si>
  <si>
    <t>Schooljaar 2006-2007</t>
  </si>
  <si>
    <t>Academiejaar 2012-2013</t>
  </si>
  <si>
    <t>Aantal personen op 1 februari 2013</t>
  </si>
  <si>
    <t>Professioneel gerichte bachelor</t>
  </si>
  <si>
    <t>Kleuteronderwijs</t>
  </si>
  <si>
    <t xml:space="preserve">   2010-2011</t>
  </si>
  <si>
    <t xml:space="preserve">   2011-2012</t>
  </si>
  <si>
    <t xml:space="preserve">   2013-2014*</t>
  </si>
  <si>
    <t>Lager onderwijs</t>
  </si>
  <si>
    <t>Secundair onderwijs</t>
  </si>
  <si>
    <t>Specifieke lerarenopleiding</t>
  </si>
  <si>
    <t>na master</t>
  </si>
  <si>
    <t>na PBA</t>
  </si>
  <si>
    <t>Aantal inschrijvingen in de geïntegreerde en specifieke lerarenopleidingen per geslacht vanaf 2009-2010</t>
  </si>
  <si>
    <t>Totaal basisonderwijs</t>
  </si>
  <si>
    <t>Aantal personen (inclusief alle vervangingen, TBS+ en Bonus) - januari 20xx</t>
  </si>
  <si>
    <t xml:space="preserve">   2003-2004</t>
  </si>
  <si>
    <t>Schooljaar 2004-2005</t>
  </si>
  <si>
    <t>2006-2007</t>
  </si>
  <si>
    <t xml:space="preserve">* De cijfers van academiejaar 2013-2014 zijn nog niet officieel gevalideerd door de instellingen. Het gaat om de stand van zaken op 15/11/2014.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</si>
</sst>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quot;-&quot;"/>
    <numFmt numFmtId="165" formatCode="0.0"/>
    <numFmt numFmtId="166" formatCode="0.000000"/>
    <numFmt numFmtId="167" formatCode="#,##0.0"/>
    <numFmt numFmtId="168" formatCode="0.0%"/>
    <numFmt numFmtId="169" formatCode="0.000%"/>
    <numFmt numFmtId="170" formatCode="0.0000%"/>
    <numFmt numFmtId="171" formatCode="_-* #,##0.00\ _B_F_-;\-* #,##0.00\ _B_F_-;_-* &quot;-&quot;??\ _B_F_-;_-@_-"/>
  </numFmts>
  <fonts count="14">
    <font>
      <sz val="11"/>
      <color theme="1"/>
      <name val="Calibri"/>
      <family val="2"/>
      <scheme val="minor"/>
    </font>
    <font>
      <sz val="11"/>
      <color theme="1"/>
      <name val="Calibri"/>
      <family val="2"/>
      <scheme val="minor"/>
    </font>
    <font>
      <sz val="10"/>
      <name val="MS Sans Serif"/>
      <family val="2"/>
    </font>
    <font>
      <b/>
      <sz val="10"/>
      <name val="Arial"/>
      <family val="2"/>
    </font>
    <font>
      <sz val="10"/>
      <name val="Arial"/>
      <family val="2"/>
    </font>
    <font>
      <sz val="9"/>
      <name val="Arial"/>
      <family val="2"/>
    </font>
    <font>
      <sz val="10"/>
      <name val="Helv"/>
    </font>
    <font>
      <sz val="10"/>
      <name val="Optimum"/>
    </font>
    <font>
      <b/>
      <sz val="16"/>
      <name val="Arial"/>
      <family val="2"/>
    </font>
    <font>
      <sz val="12"/>
      <color theme="1"/>
      <name val="Calibri"/>
      <family val="2"/>
      <scheme val="minor"/>
    </font>
    <font>
      <sz val="10"/>
      <name val="MS Sans Serif"/>
    </font>
    <font>
      <sz val="10"/>
      <color theme="1"/>
      <name val="Arial"/>
      <family val="2"/>
    </font>
    <font>
      <sz val="10"/>
      <color theme="1"/>
      <name val="Tahoma"/>
      <family val="2"/>
    </font>
    <font>
      <b/>
      <sz val="10"/>
      <color theme="1"/>
      <name val="Arial"/>
      <family val="2"/>
    </font>
  </fonts>
  <fills count="2">
    <fill>
      <patternFill patternType="none"/>
    </fill>
    <fill>
      <patternFill patternType="gray125"/>
    </fill>
  </fills>
  <borders count="20">
    <border>
      <left/>
      <right/>
      <top/>
      <bottom/>
      <diagonal/>
    </border>
    <border>
      <left/>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style="medium">
        <color indexed="64"/>
      </top>
      <bottom/>
      <diagonal/>
    </border>
  </borders>
  <cellStyleXfs count="29">
    <xf numFmtId="0" fontId="0" fillId="0" borderId="0"/>
    <xf numFmtId="9" fontId="1" fillId="0" borderId="0" applyFont="0" applyFill="0" applyBorder="0" applyAlignment="0" applyProtection="0"/>
    <xf numFmtId="0" fontId="2" fillId="0" borderId="0"/>
    <xf numFmtId="0" fontId="4" fillId="0" borderId="0"/>
    <xf numFmtId="0" fontId="2" fillId="0" borderId="0"/>
    <xf numFmtId="1" fontId="6" fillId="0" borderId="0" applyFont="0" applyFill="0" applyBorder="0" applyAlignment="0" applyProtection="0"/>
    <xf numFmtId="165" fontId="7" fillId="0" borderId="0" applyFont="0" applyFill="0" applyBorder="0" applyAlignment="0" applyProtection="0">
      <protection locked="0"/>
    </xf>
    <xf numFmtId="166" fontId="7" fillId="0" borderId="0" applyFont="0" applyFill="0" applyBorder="0" applyAlignment="0" applyProtection="0">
      <protection locked="0"/>
    </xf>
    <xf numFmtId="3" fontId="2" fillId="0" borderId="0" applyFont="0" applyFill="0" applyBorder="0" applyAlignment="0" applyProtection="0"/>
    <xf numFmtId="4" fontId="6" fillId="0" borderId="0" applyFont="0" applyFill="0" applyBorder="0" applyAlignment="0" applyProtection="0"/>
    <xf numFmtId="167" fontId="2" fillId="0" borderId="0" applyFont="0" applyFill="0" applyBorder="0" applyAlignment="0" applyProtection="0"/>
    <xf numFmtId="2" fontId="2" fillId="0" borderId="0" applyFont="0" applyFill="0" applyBorder="0" applyAlignment="0" applyProtection="0">
      <protection locked="0"/>
    </xf>
    <xf numFmtId="4" fontId="6" fillId="0" borderId="0" applyFont="0" applyFill="0" applyBorder="0" applyAlignment="0" applyProtection="0"/>
    <xf numFmtId="168" fontId="2" fillId="0" borderId="0" applyFont="0" applyFill="0" applyBorder="0" applyAlignment="0" applyProtection="0"/>
    <xf numFmtId="10" fontId="2" fillId="0" borderId="0"/>
    <xf numFmtId="169" fontId="2" fillId="0" borderId="0" applyFont="0" applyFill="0" applyBorder="0" applyAlignment="0" applyProtection="0"/>
    <xf numFmtId="170" fontId="7" fillId="0" borderId="0" applyFont="0" applyFill="0" applyBorder="0" applyAlignment="0" applyProtection="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1" fontId="4" fillId="0" borderId="0" applyFont="0" applyFill="0" applyBorder="0" applyAlignment="0" applyProtection="0"/>
    <xf numFmtId="0" fontId="10" fillId="0" borderId="0"/>
    <xf numFmtId="0" fontId="12" fillId="0" borderId="0"/>
  </cellStyleXfs>
  <cellXfs count="376">
    <xf numFmtId="0" fontId="0" fillId="0" borderId="0" xfId="0"/>
    <xf numFmtId="3" fontId="3" fillId="0" borderId="0" xfId="2" applyNumberFormat="1" applyFont="1"/>
    <xf numFmtId="3" fontId="4" fillId="0" borderId="0" xfId="2" applyNumberFormat="1" applyFont="1"/>
    <xf numFmtId="3" fontId="4" fillId="0" borderId="0" xfId="2" applyNumberFormat="1" applyFont="1" applyBorder="1"/>
    <xf numFmtId="0" fontId="4" fillId="0" borderId="0" xfId="2" applyFont="1"/>
    <xf numFmtId="3" fontId="3" fillId="0" borderId="0" xfId="2" applyNumberFormat="1" applyFont="1" applyAlignment="1">
      <alignment horizontal="centerContinuous"/>
    </xf>
    <xf numFmtId="3" fontId="4" fillId="0" borderId="0" xfId="2" applyNumberFormat="1" applyFont="1" applyAlignment="1">
      <alignment horizontal="centerContinuous"/>
    </xf>
    <xf numFmtId="3" fontId="4" fillId="0" borderId="0" xfId="2" applyNumberFormat="1" applyFont="1" applyBorder="1" applyAlignment="1">
      <alignment horizontal="centerContinuous"/>
    </xf>
    <xf numFmtId="0" fontId="4" fillId="0" borderId="0" xfId="2" applyFont="1" applyAlignment="1">
      <alignment horizontal="centerContinuous"/>
    </xf>
    <xf numFmtId="3" fontId="4" fillId="0" borderId="1" xfId="2" applyNumberFormat="1" applyFont="1" applyBorder="1"/>
    <xf numFmtId="3" fontId="4" fillId="0" borderId="2" xfId="2" applyNumberFormat="1" applyFont="1" applyBorder="1" applyAlignment="1">
      <alignment horizontal="centerContinuous"/>
    </xf>
    <xf numFmtId="3" fontId="4" fillId="0" borderId="1" xfId="2" applyNumberFormat="1" applyFont="1" applyBorder="1" applyAlignment="1">
      <alignment horizontal="centerContinuous"/>
    </xf>
    <xf numFmtId="3" fontId="4" fillId="0" borderId="3" xfId="2" applyNumberFormat="1" applyFont="1" applyBorder="1" applyAlignment="1">
      <alignment horizontal="centerContinuous"/>
    </xf>
    <xf numFmtId="3" fontId="4" fillId="0" borderId="4" xfId="2" applyNumberFormat="1" applyFont="1" applyBorder="1" applyAlignment="1">
      <alignment horizontal="centerContinuous"/>
    </xf>
    <xf numFmtId="3" fontId="4" fillId="0" borderId="5" xfId="2" applyNumberFormat="1" applyFont="1" applyBorder="1" applyAlignment="1">
      <alignment horizontal="center"/>
    </xf>
    <xf numFmtId="3" fontId="4" fillId="0" borderId="6" xfId="2" applyNumberFormat="1" applyFont="1" applyBorder="1" applyAlignment="1">
      <alignment horizontal="center"/>
    </xf>
    <xf numFmtId="3" fontId="4" fillId="0" borderId="7" xfId="2" applyNumberFormat="1" applyFont="1" applyBorder="1" applyAlignment="1">
      <alignment horizontal="center"/>
    </xf>
    <xf numFmtId="0" fontId="4" fillId="0" borderId="0" xfId="2" applyFont="1" applyAlignment="1">
      <alignment horizontal="center"/>
    </xf>
    <xf numFmtId="3" fontId="3" fillId="0" borderId="8" xfId="2" applyNumberFormat="1" applyFont="1" applyBorder="1"/>
    <xf numFmtId="3" fontId="4" fillId="0" borderId="8" xfId="2" applyNumberFormat="1" applyFont="1" applyBorder="1"/>
    <xf numFmtId="164" fontId="4" fillId="0" borderId="8" xfId="2" applyNumberFormat="1" applyFont="1" applyBorder="1"/>
    <xf numFmtId="164" fontId="4" fillId="0" borderId="0" xfId="2" applyNumberFormat="1" applyFont="1"/>
    <xf numFmtId="164" fontId="4" fillId="0" borderId="8" xfId="2" applyNumberFormat="1" applyFont="1" applyBorder="1" applyAlignment="1">
      <alignment horizontal="right"/>
    </xf>
    <xf numFmtId="164" fontId="4" fillId="0" borderId="8" xfId="4" applyNumberFormat="1" applyFont="1" applyBorder="1"/>
    <xf numFmtId="164" fontId="4" fillId="0" borderId="0" xfId="4" applyNumberFormat="1" applyFont="1" applyBorder="1"/>
    <xf numFmtId="164" fontId="4" fillId="0" borderId="0" xfId="2" applyNumberFormat="1" applyFont="1" applyBorder="1"/>
    <xf numFmtId="164" fontId="4" fillId="0" borderId="9" xfId="2" applyNumberFormat="1" applyFont="1" applyBorder="1"/>
    <xf numFmtId="3" fontId="3" fillId="0" borderId="0" xfId="3" applyNumberFormat="1" applyFont="1"/>
    <xf numFmtId="0" fontId="5" fillId="0" borderId="0" xfId="2" applyFont="1"/>
    <xf numFmtId="168" fontId="4" fillId="0" borderId="0" xfId="1" applyNumberFormat="1" applyFont="1"/>
    <xf numFmtId="3" fontId="4" fillId="0" borderId="10" xfId="2" applyNumberFormat="1" applyFont="1" applyBorder="1" applyAlignment="1">
      <alignment horizontal="center"/>
    </xf>
    <xf numFmtId="0" fontId="4" fillId="0" borderId="0" xfId="2" applyFont="1" applyBorder="1" applyAlignment="1">
      <alignment horizontal="center"/>
    </xf>
    <xf numFmtId="3" fontId="4" fillId="0" borderId="0" xfId="2" applyNumberFormat="1" applyFont="1" applyBorder="1" applyAlignment="1">
      <alignment horizontal="center"/>
    </xf>
    <xf numFmtId="0" fontId="4" fillId="0" borderId="8" xfId="2" applyFont="1" applyBorder="1"/>
    <xf numFmtId="0" fontId="4" fillId="0" borderId="0" xfId="2" applyFont="1" applyBorder="1"/>
    <xf numFmtId="0" fontId="4" fillId="0" borderId="9" xfId="2" applyFont="1" applyBorder="1"/>
    <xf numFmtId="164" fontId="4" fillId="0" borderId="8" xfId="3" applyNumberFormat="1" applyBorder="1"/>
    <xf numFmtId="164" fontId="4" fillId="0" borderId="0" xfId="3" applyNumberFormat="1" applyBorder="1"/>
    <xf numFmtId="164" fontId="4" fillId="0" borderId="11" xfId="3" applyNumberFormat="1" applyBorder="1"/>
    <xf numFmtId="164" fontId="4" fillId="0" borderId="5" xfId="3" applyNumberFormat="1" applyBorder="1"/>
    <xf numFmtId="164" fontId="4" fillId="0" borderId="12" xfId="2" applyNumberFormat="1" applyFont="1" applyBorder="1"/>
    <xf numFmtId="164" fontId="4" fillId="0" borderId="11" xfId="2" applyNumberFormat="1" applyFont="1" applyBorder="1"/>
    <xf numFmtId="164" fontId="4" fillId="0" borderId="5" xfId="2" applyNumberFormat="1" applyFont="1" applyBorder="1"/>
    <xf numFmtId="9" fontId="4" fillId="0" borderId="8" xfId="1" applyFont="1" applyBorder="1"/>
    <xf numFmtId="9" fontId="4" fillId="0" borderId="9" xfId="1" applyFont="1" applyBorder="1"/>
    <xf numFmtId="9" fontId="4" fillId="0" borderId="11" xfId="1" applyFont="1" applyBorder="1"/>
    <xf numFmtId="9" fontId="4" fillId="0" borderId="12" xfId="1" applyFont="1" applyBorder="1"/>
    <xf numFmtId="168" fontId="4" fillId="0" borderId="8" xfId="1" applyNumberFormat="1" applyFont="1" applyBorder="1"/>
    <xf numFmtId="168" fontId="4" fillId="0" borderId="9" xfId="1" applyNumberFormat="1" applyFont="1" applyBorder="1"/>
    <xf numFmtId="168" fontId="4" fillId="0" borderId="11" xfId="1" applyNumberFormat="1" applyFont="1" applyBorder="1"/>
    <xf numFmtId="168" fontId="4" fillId="0" borderId="12" xfId="1" applyNumberFormat="1" applyFont="1" applyBorder="1"/>
    <xf numFmtId="0" fontId="4" fillId="0" borderId="0" xfId="0" applyFont="1"/>
    <xf numFmtId="3" fontId="4" fillId="0" borderId="0" xfId="0" applyNumberFormat="1" applyFont="1"/>
    <xf numFmtId="3" fontId="4" fillId="0" borderId="0" xfId="0" applyNumberFormat="1" applyFont="1" applyAlignment="1">
      <alignment horizontal="centerContinuous"/>
    </xf>
    <xf numFmtId="3" fontId="4" fillId="0" borderId="13" xfId="0" applyNumberFormat="1" applyFont="1" applyBorder="1"/>
    <xf numFmtId="3" fontId="4" fillId="0" borderId="14" xfId="0" applyNumberFormat="1" applyFont="1" applyBorder="1"/>
    <xf numFmtId="3" fontId="4" fillId="0" borderId="15" xfId="0" applyNumberFormat="1"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4" xfId="0" applyFont="1" applyBorder="1"/>
    <xf numFmtId="164" fontId="4" fillId="0" borderId="0" xfId="0" applyNumberFormat="1" applyFont="1" applyBorder="1"/>
    <xf numFmtId="164" fontId="4" fillId="0" borderId="0" xfId="0" applyNumberFormat="1" applyFont="1"/>
    <xf numFmtId="164" fontId="4" fillId="0" borderId="8" xfId="0" applyNumberFormat="1" applyFont="1" applyBorder="1"/>
    <xf numFmtId="0" fontId="4" fillId="0" borderId="3" xfId="0" applyFont="1" applyBorder="1"/>
    <xf numFmtId="0" fontId="4" fillId="0" borderId="16" xfId="0" applyFont="1" applyBorder="1"/>
    <xf numFmtId="164" fontId="4" fillId="0" borderId="4" xfId="0" applyNumberFormat="1" applyFont="1" applyBorder="1" applyAlignment="1">
      <alignment horizontal="right"/>
    </xf>
    <xf numFmtId="164" fontId="4" fillId="0" borderId="3" xfId="0" applyNumberFormat="1" applyFont="1" applyBorder="1" applyAlignment="1">
      <alignment horizontal="right"/>
    </xf>
    <xf numFmtId="10" fontId="4" fillId="0" borderId="3" xfId="0" applyNumberFormat="1" applyFont="1" applyBorder="1"/>
    <xf numFmtId="10" fontId="4" fillId="0" borderId="16" xfId="0" applyNumberFormat="1" applyFont="1" applyBorder="1"/>
    <xf numFmtId="0" fontId="3" fillId="0" borderId="0" xfId="0" applyFont="1" applyAlignment="1">
      <alignment horizontal="right"/>
    </xf>
    <xf numFmtId="164" fontId="4" fillId="0" borderId="11" xfId="0" applyNumberFormat="1" applyFont="1" applyBorder="1"/>
    <xf numFmtId="164" fontId="4" fillId="0" borderId="5" xfId="0" applyNumberFormat="1" applyFont="1" applyBorder="1"/>
    <xf numFmtId="164" fontId="4" fillId="0" borderId="12" xfId="0" applyNumberFormat="1" applyFont="1" applyBorder="1"/>
    <xf numFmtId="10" fontId="4" fillId="0" borderId="8" xfId="0" applyNumberFormat="1" applyFont="1" applyBorder="1"/>
    <xf numFmtId="10" fontId="4" fillId="0" borderId="9" xfId="0" applyNumberFormat="1" applyFont="1" applyBorder="1"/>
    <xf numFmtId="3" fontId="4" fillId="0" borderId="14" xfId="0" applyNumberFormat="1" applyFont="1" applyBorder="1" applyAlignment="1">
      <alignment horizontal="right"/>
    </xf>
    <xf numFmtId="164" fontId="4" fillId="0" borderId="0" xfId="0" applyNumberFormat="1" applyFont="1" applyBorder="1" applyAlignment="1">
      <alignment horizontal="right"/>
    </xf>
    <xf numFmtId="164" fontId="4" fillId="0" borderId="8" xfId="0" applyNumberFormat="1" applyFont="1" applyBorder="1" applyAlignment="1">
      <alignment horizontal="right"/>
    </xf>
    <xf numFmtId="3" fontId="4" fillId="0" borderId="14" xfId="0" applyNumberFormat="1" applyFont="1" applyBorder="1" applyAlignment="1">
      <alignment horizontal="left"/>
    </xf>
    <xf numFmtId="10" fontId="4" fillId="0" borderId="11" xfId="0" applyNumberFormat="1" applyFont="1" applyBorder="1"/>
    <xf numFmtId="10" fontId="4" fillId="0" borderId="12" xfId="0" applyNumberFormat="1" applyFont="1" applyBorder="1"/>
    <xf numFmtId="10" fontId="4" fillId="0" borderId="4" xfId="0" applyNumberFormat="1" applyFont="1" applyBorder="1"/>
    <xf numFmtId="3" fontId="4" fillId="0" borderId="15" xfId="0" applyNumberFormat="1" applyFont="1" applyBorder="1"/>
    <xf numFmtId="164" fontId="4" fillId="0" borderId="5" xfId="0" applyNumberFormat="1" applyFont="1" applyBorder="1" applyAlignment="1">
      <alignment horizontal="right"/>
    </xf>
    <xf numFmtId="164" fontId="4" fillId="0" borderId="11" xfId="0" applyNumberFormat="1" applyFont="1" applyBorder="1" applyAlignment="1">
      <alignment horizontal="right"/>
    </xf>
    <xf numFmtId="164" fontId="4" fillId="0" borderId="12" xfId="0" applyNumberFormat="1" applyFont="1" applyBorder="1" applyAlignment="1">
      <alignment horizontal="right"/>
    </xf>
    <xf numFmtId="10" fontId="4" fillId="0" borderId="5" xfId="0" applyNumberFormat="1" applyFont="1" applyBorder="1"/>
    <xf numFmtId="3" fontId="4" fillId="0" borderId="0" xfId="0" applyNumberFormat="1" applyFont="1" applyBorder="1"/>
    <xf numFmtId="3" fontId="5" fillId="0" borderId="0" xfId="0" applyNumberFormat="1" applyFont="1" applyAlignment="1">
      <alignment horizontal="left"/>
    </xf>
    <xf numFmtId="49" fontId="5" fillId="0" borderId="0" xfId="0" applyNumberFormat="1" applyFont="1"/>
    <xf numFmtId="49" fontId="5" fillId="0" borderId="0" xfId="0" quotePrefix="1" applyNumberFormat="1" applyFont="1"/>
    <xf numFmtId="0" fontId="5" fillId="0" borderId="0" xfId="0" applyFont="1"/>
    <xf numFmtId="0" fontId="4" fillId="0" borderId="0" xfId="0" applyFont="1" applyBorder="1"/>
    <xf numFmtId="3" fontId="4" fillId="0" borderId="0" xfId="17" applyNumberFormat="1" applyFont="1" applyAlignment="1">
      <alignment horizontal="centerContinuous"/>
    </xf>
    <xf numFmtId="3" fontId="3" fillId="0" borderId="0" xfId="17" applyNumberFormat="1" applyFont="1" applyAlignment="1">
      <alignment horizontal="centerContinuous"/>
    </xf>
    <xf numFmtId="3" fontId="4" fillId="0" borderId="0" xfId="17" applyNumberFormat="1" applyFont="1"/>
    <xf numFmtId="3" fontId="4" fillId="0" borderId="1" xfId="17" applyNumberFormat="1" applyFont="1" applyBorder="1" applyAlignment="1">
      <alignment horizontal="center"/>
    </xf>
    <xf numFmtId="3" fontId="4" fillId="0" borderId="2" xfId="17" applyNumberFormat="1" applyFont="1" applyBorder="1" applyAlignment="1">
      <alignment horizontal="centerContinuous"/>
    </xf>
    <xf numFmtId="3" fontId="4" fillId="0" borderId="1" xfId="17" applyNumberFormat="1" applyFont="1" applyBorder="1" applyAlignment="1">
      <alignment horizontal="centerContinuous"/>
    </xf>
    <xf numFmtId="3" fontId="4" fillId="0" borderId="5" xfId="17" applyNumberFormat="1" applyFont="1" applyBorder="1" applyAlignment="1">
      <alignment horizontal="left"/>
    </xf>
    <xf numFmtId="3" fontId="4" fillId="0" borderId="6" xfId="17" applyNumberFormat="1" applyFont="1" applyBorder="1" applyAlignment="1">
      <alignment horizontal="center"/>
    </xf>
    <xf numFmtId="3" fontId="4" fillId="0" borderId="7" xfId="17" applyNumberFormat="1" applyFont="1" applyBorder="1" applyAlignment="1">
      <alignment horizontal="center"/>
    </xf>
    <xf numFmtId="0" fontId="0" fillId="0" borderId="6" xfId="0" applyBorder="1"/>
    <xf numFmtId="0" fontId="0" fillId="0" borderId="10" xfId="0" applyBorder="1"/>
    <xf numFmtId="3" fontId="4" fillId="0" borderId="0" xfId="17" applyNumberFormat="1" applyFont="1" applyBorder="1" applyAlignment="1">
      <alignment horizontal="right"/>
    </xf>
    <xf numFmtId="3" fontId="4" fillId="0" borderId="8" xfId="17" applyNumberFormat="1" applyFont="1" applyBorder="1" applyAlignment="1">
      <alignment horizontal="right"/>
    </xf>
    <xf numFmtId="0" fontId="0" fillId="0" borderId="8" xfId="0" applyBorder="1"/>
    <xf numFmtId="0" fontId="0" fillId="0" borderId="0" xfId="0" applyBorder="1"/>
    <xf numFmtId="164" fontId="4" fillId="0" borderId="8" xfId="17" applyNumberFormat="1" applyFont="1" applyBorder="1"/>
    <xf numFmtId="164" fontId="4" fillId="0" borderId="0" xfId="17" applyNumberFormat="1" applyFont="1"/>
    <xf numFmtId="10" fontId="0" fillId="0" borderId="8" xfId="0" applyNumberFormat="1" applyBorder="1"/>
    <xf numFmtId="10" fontId="0" fillId="0" borderId="0" xfId="0" applyNumberFormat="1" applyBorder="1"/>
    <xf numFmtId="164" fontId="4" fillId="0" borderId="5" xfId="17" applyNumberFormat="1" applyFont="1" applyBorder="1"/>
    <xf numFmtId="3" fontId="3" fillId="0" borderId="0" xfId="17" applyNumberFormat="1" applyFont="1" applyAlignment="1">
      <alignment horizontal="right"/>
    </xf>
    <xf numFmtId="164" fontId="3" fillId="0" borderId="3" xfId="17" applyNumberFormat="1" applyFont="1" applyBorder="1"/>
    <xf numFmtId="164" fontId="3" fillId="0" borderId="4" xfId="17" applyNumberFormat="1" applyFont="1" applyBorder="1"/>
    <xf numFmtId="10" fontId="0" fillId="0" borderId="3" xfId="0" applyNumberFormat="1" applyBorder="1"/>
    <xf numFmtId="10" fontId="0" fillId="0" borderId="4" xfId="0" applyNumberFormat="1" applyBorder="1"/>
    <xf numFmtId="0" fontId="4" fillId="0" borderId="18" xfId="18" applyBorder="1"/>
    <xf numFmtId="10" fontId="0" fillId="0" borderId="18" xfId="0" applyNumberFormat="1" applyBorder="1"/>
    <xf numFmtId="3" fontId="4" fillId="0" borderId="1" xfId="18" applyNumberFormat="1" applyFont="1" applyBorder="1" applyAlignment="1">
      <alignment horizontal="center"/>
    </xf>
    <xf numFmtId="3" fontId="4" fillId="0" borderId="2" xfId="18" applyNumberFormat="1" applyFont="1" applyBorder="1" applyAlignment="1">
      <alignment horizontal="centerContinuous"/>
    </xf>
    <xf numFmtId="3" fontId="4" fillId="0" borderId="1" xfId="18" applyNumberFormat="1" applyFont="1" applyBorder="1" applyAlignment="1">
      <alignment horizontal="centerContinuous"/>
    </xf>
    <xf numFmtId="3" fontId="4" fillId="0" borderId="5" xfId="18" applyNumberFormat="1" applyFont="1" applyBorder="1" applyAlignment="1">
      <alignment horizontal="left"/>
    </xf>
    <xf numFmtId="3" fontId="4" fillId="0" borderId="6" xfId="18" applyNumberFormat="1" applyFont="1" applyBorder="1" applyAlignment="1">
      <alignment horizontal="centerContinuous"/>
    </xf>
    <xf numFmtId="3" fontId="4" fillId="0" borderId="7" xfId="18" applyNumberFormat="1" applyFont="1" applyBorder="1" applyAlignment="1">
      <alignment horizontal="centerContinuous"/>
    </xf>
    <xf numFmtId="3" fontId="4" fillId="0" borderId="0" xfId="18" applyNumberFormat="1" applyFont="1" applyBorder="1" applyAlignment="1">
      <alignment horizontal="right"/>
    </xf>
    <xf numFmtId="3" fontId="4" fillId="0" borderId="8" xfId="18" applyNumberFormat="1" applyFont="1" applyBorder="1" applyAlignment="1">
      <alignment horizontal="right"/>
    </xf>
    <xf numFmtId="3" fontId="4" fillId="0" borderId="0" xfId="18" applyNumberFormat="1" applyFont="1"/>
    <xf numFmtId="164" fontId="4" fillId="0" borderId="8" xfId="18" applyNumberFormat="1" applyFont="1" applyBorder="1"/>
    <xf numFmtId="164" fontId="4" fillId="0" borderId="0" xfId="18" applyNumberFormat="1" applyFont="1"/>
    <xf numFmtId="164" fontId="4" fillId="0" borderId="5" xfId="18" applyNumberFormat="1" applyFont="1" applyBorder="1"/>
    <xf numFmtId="3" fontId="3" fillId="0" borderId="0" xfId="18" applyNumberFormat="1" applyFont="1" applyAlignment="1">
      <alignment horizontal="right"/>
    </xf>
    <xf numFmtId="164" fontId="3" fillId="0" borderId="3" xfId="18" applyNumberFormat="1" applyFont="1" applyBorder="1"/>
    <xf numFmtId="164" fontId="3" fillId="0" borderId="4" xfId="18" applyNumberFormat="1" applyFont="1" applyBorder="1"/>
    <xf numFmtId="3" fontId="4" fillId="0" borderId="18" xfId="24" applyNumberFormat="1" applyFont="1" applyBorder="1"/>
    <xf numFmtId="164" fontId="4" fillId="0" borderId="18" xfId="24" applyNumberFormat="1" applyFont="1" applyBorder="1"/>
    <xf numFmtId="3" fontId="4" fillId="0" borderId="1" xfId="24" applyNumberFormat="1" applyFont="1" applyBorder="1" applyAlignment="1">
      <alignment horizontal="center"/>
    </xf>
    <xf numFmtId="164" fontId="4" fillId="0" borderId="2" xfId="24" applyNumberFormat="1" applyFont="1" applyBorder="1" applyAlignment="1">
      <alignment horizontal="centerContinuous"/>
    </xf>
    <xf numFmtId="164" fontId="4" fillId="0" borderId="1" xfId="24" applyNumberFormat="1" applyFont="1" applyBorder="1" applyAlignment="1">
      <alignment horizontal="centerContinuous"/>
    </xf>
    <xf numFmtId="3" fontId="4" fillId="0" borderId="5" xfId="24" applyNumberFormat="1" applyFont="1" applyBorder="1" applyAlignment="1">
      <alignment horizontal="left"/>
    </xf>
    <xf numFmtId="164" fontId="4" fillId="0" borderId="6" xfId="24" applyNumberFormat="1" applyFont="1" applyBorder="1" applyAlignment="1">
      <alignment horizontal="centerContinuous"/>
    </xf>
    <xf numFmtId="164" fontId="4" fillId="0" borderId="7" xfId="24" applyNumberFormat="1" applyFont="1" applyBorder="1" applyAlignment="1">
      <alignment horizontal="centerContinuous"/>
    </xf>
    <xf numFmtId="3" fontId="4" fillId="0" borderId="0" xfId="24" applyNumberFormat="1" applyFont="1" applyBorder="1" applyAlignment="1">
      <alignment horizontal="right"/>
    </xf>
    <xf numFmtId="164" fontId="4" fillId="0" borderId="8" xfId="24" applyNumberFormat="1" applyFont="1" applyBorder="1" applyAlignment="1">
      <alignment horizontal="right"/>
    </xf>
    <xf numFmtId="164" fontId="4" fillId="0" borderId="0" xfId="24" applyNumberFormat="1" applyFont="1" applyBorder="1" applyAlignment="1">
      <alignment horizontal="right"/>
    </xf>
    <xf numFmtId="3" fontId="4" fillId="0" borderId="0" xfId="24" applyNumberFormat="1" applyFont="1"/>
    <xf numFmtId="164" fontId="4" fillId="0" borderId="8" xfId="24" applyNumberFormat="1" applyFont="1" applyBorder="1"/>
    <xf numFmtId="164" fontId="4" fillId="0" borderId="0" xfId="24" applyNumberFormat="1" applyFont="1"/>
    <xf numFmtId="164" fontId="4" fillId="0" borderId="5" xfId="24" applyNumberFormat="1" applyFont="1" applyBorder="1"/>
    <xf numFmtId="3" fontId="3" fillId="0" borderId="0" xfId="24" applyNumberFormat="1" applyFont="1" applyAlignment="1">
      <alignment horizontal="right"/>
    </xf>
    <xf numFmtId="164" fontId="3" fillId="0" borderId="3" xfId="24" applyNumberFormat="1" applyFont="1" applyBorder="1"/>
    <xf numFmtId="164" fontId="3" fillId="0" borderId="4" xfId="24" applyNumberFormat="1" applyFont="1" applyBorder="1"/>
    <xf numFmtId="3" fontId="3" fillId="0" borderId="0" xfId="25" applyNumberFormat="1" applyFont="1" applyBorder="1" applyAlignment="1">
      <alignment horizontal="centerContinuous"/>
    </xf>
    <xf numFmtId="164" fontId="4" fillId="0" borderId="0" xfId="25" applyNumberFormat="1" applyFont="1" applyBorder="1" applyAlignment="1">
      <alignment horizontal="centerContinuous"/>
    </xf>
    <xf numFmtId="3" fontId="3" fillId="0" borderId="0" xfId="25" applyNumberFormat="1" applyFont="1" applyBorder="1" applyAlignment="1">
      <alignment horizontal="center" wrapText="1" shrinkToFit="1"/>
    </xf>
    <xf numFmtId="0" fontId="0" fillId="0" borderId="0" xfId="0" applyBorder="1" applyAlignment="1">
      <alignment horizontal="center" wrapText="1" shrinkToFit="1"/>
    </xf>
    <xf numFmtId="3" fontId="4" fillId="0" borderId="18" xfId="25" applyNumberFormat="1" applyFont="1" applyBorder="1"/>
    <xf numFmtId="164" fontId="4" fillId="0" borderId="18" xfId="25" applyNumberFormat="1" applyFont="1" applyBorder="1"/>
    <xf numFmtId="3" fontId="4" fillId="0" borderId="1" xfId="25" applyNumberFormat="1" applyFont="1" applyBorder="1" applyAlignment="1">
      <alignment horizontal="center"/>
    </xf>
    <xf numFmtId="164" fontId="4" fillId="0" borderId="2" xfId="25" applyNumberFormat="1" applyFont="1" applyBorder="1" applyAlignment="1">
      <alignment horizontal="centerContinuous"/>
    </xf>
    <xf numFmtId="164" fontId="4" fillId="0" borderId="1" xfId="25" applyNumberFormat="1" applyFont="1" applyBorder="1" applyAlignment="1">
      <alignment horizontal="centerContinuous"/>
    </xf>
    <xf numFmtId="3" fontId="4" fillId="0" borderId="5" xfId="25" applyNumberFormat="1" applyFont="1" applyBorder="1" applyAlignment="1">
      <alignment horizontal="left"/>
    </xf>
    <xf numFmtId="164" fontId="4" fillId="0" borderId="6" xfId="25" applyNumberFormat="1" applyFont="1" applyBorder="1" applyAlignment="1">
      <alignment horizontal="centerContinuous"/>
    </xf>
    <xf numFmtId="164" fontId="4" fillId="0" borderId="7" xfId="25" applyNumberFormat="1" applyFont="1" applyBorder="1" applyAlignment="1">
      <alignment horizontal="centerContinuous"/>
    </xf>
    <xf numFmtId="3" fontId="4" fillId="0" borderId="0" xfId="25" applyNumberFormat="1" applyFont="1" applyBorder="1" applyAlignment="1">
      <alignment horizontal="right"/>
    </xf>
    <xf numFmtId="164" fontId="4" fillId="0" borderId="8" xfId="25" applyNumberFormat="1" applyFont="1" applyBorder="1" applyAlignment="1">
      <alignment horizontal="right"/>
    </xf>
    <xf numFmtId="164" fontId="4" fillId="0" borderId="0" xfId="25" applyNumberFormat="1" applyFont="1" applyBorder="1" applyAlignment="1">
      <alignment horizontal="right"/>
    </xf>
    <xf numFmtId="3" fontId="4" fillId="0" borderId="0" xfId="25" applyNumberFormat="1" applyFont="1"/>
    <xf numFmtId="164" fontId="4" fillId="0" borderId="8" xfId="25" applyNumberFormat="1" applyFont="1" applyBorder="1"/>
    <xf numFmtId="164" fontId="4" fillId="0" borderId="0" xfId="25" applyNumberFormat="1" applyFont="1"/>
    <xf numFmtId="164" fontId="4" fillId="0" borderId="5" xfId="25" applyNumberFormat="1" applyFont="1" applyBorder="1"/>
    <xf numFmtId="3" fontId="3" fillId="0" borderId="0" xfId="25" applyNumberFormat="1" applyFont="1" applyAlignment="1">
      <alignment horizontal="right"/>
    </xf>
    <xf numFmtId="164" fontId="3" fillId="0" borderId="3" xfId="25" applyNumberFormat="1" applyFont="1" applyBorder="1"/>
    <xf numFmtId="164" fontId="3" fillId="0" borderId="4" xfId="25" applyNumberFormat="1" applyFont="1" applyBorder="1"/>
    <xf numFmtId="164" fontId="4" fillId="0" borderId="0" xfId="24" applyNumberFormat="1" applyFont="1" applyBorder="1"/>
    <xf numFmtId="164" fontId="4" fillId="0" borderId="11" xfId="24" applyNumberFormat="1" applyFont="1" applyBorder="1"/>
    <xf numFmtId="164" fontId="3" fillId="0" borderId="0" xfId="24" applyNumberFormat="1" applyFont="1" applyBorder="1"/>
    <xf numFmtId="3" fontId="4" fillId="0" borderId="18" xfId="20" applyNumberFormat="1" applyFont="1" applyBorder="1"/>
    <xf numFmtId="164" fontId="4" fillId="0" borderId="18" xfId="20" applyNumberFormat="1" applyFont="1" applyBorder="1"/>
    <xf numFmtId="3" fontId="4" fillId="0" borderId="1" xfId="20" applyNumberFormat="1" applyFont="1" applyBorder="1" applyAlignment="1">
      <alignment horizontal="center"/>
    </xf>
    <xf numFmtId="164" fontId="4" fillId="0" borderId="2" xfId="20" applyNumberFormat="1" applyFont="1" applyBorder="1" applyAlignment="1">
      <alignment horizontal="centerContinuous"/>
    </xf>
    <xf numFmtId="164" fontId="4" fillId="0" borderId="1" xfId="20" applyNumberFormat="1" applyFont="1" applyBorder="1" applyAlignment="1">
      <alignment horizontal="centerContinuous"/>
    </xf>
    <xf numFmtId="3" fontId="4" fillId="0" borderId="5" xfId="20" applyNumberFormat="1" applyFont="1" applyBorder="1" applyAlignment="1">
      <alignment horizontal="left"/>
    </xf>
    <xf numFmtId="164" fontId="4" fillId="0" borderId="6" xfId="20" applyNumberFormat="1" applyFont="1" applyBorder="1" applyAlignment="1">
      <alignment horizontal="centerContinuous"/>
    </xf>
    <xf numFmtId="164" fontId="4" fillId="0" borderId="7" xfId="20" applyNumberFormat="1" applyFont="1" applyBorder="1" applyAlignment="1">
      <alignment horizontal="centerContinuous"/>
    </xf>
    <xf numFmtId="3" fontId="4" fillId="0" borderId="0" xfId="20" applyNumberFormat="1" applyFont="1" applyBorder="1" applyAlignment="1">
      <alignment horizontal="right"/>
    </xf>
    <xf numFmtId="164" fontId="4" fillId="0" borderId="8" xfId="20" applyNumberFormat="1" applyFont="1" applyBorder="1" applyAlignment="1">
      <alignment horizontal="right"/>
    </xf>
    <xf numFmtId="164" fontId="4" fillId="0" borderId="0" xfId="20" applyNumberFormat="1" applyFont="1" applyBorder="1" applyAlignment="1">
      <alignment horizontal="right"/>
    </xf>
    <xf numFmtId="3" fontId="4" fillId="0" borderId="0" xfId="20" applyNumberFormat="1" applyFont="1"/>
    <xf numFmtId="164" fontId="4" fillId="0" borderId="8" xfId="20" applyNumberFormat="1" applyFont="1" applyBorder="1"/>
    <xf numFmtId="164" fontId="4" fillId="0" borderId="0" xfId="20" applyNumberFormat="1" applyFont="1"/>
    <xf numFmtId="164" fontId="4" fillId="0" borderId="5" xfId="20" applyNumberFormat="1" applyFont="1" applyBorder="1"/>
    <xf numFmtId="3" fontId="3" fillId="0" borderId="0" xfId="20" applyNumberFormat="1" applyFont="1" applyAlignment="1">
      <alignment horizontal="right"/>
    </xf>
    <xf numFmtId="164" fontId="3" fillId="0" borderId="3" xfId="20" applyNumberFormat="1" applyFont="1" applyBorder="1"/>
    <xf numFmtId="164" fontId="3" fillId="0" borderId="4" xfId="20" applyNumberFormat="1" applyFont="1" applyBorder="1"/>
    <xf numFmtId="164" fontId="3" fillId="0" borderId="0" xfId="20" applyNumberFormat="1" applyFont="1" applyBorder="1"/>
    <xf numFmtId="164" fontId="3" fillId="0" borderId="0" xfId="19" applyNumberFormat="1" applyFont="1" applyAlignment="1">
      <alignment horizontal="center"/>
    </xf>
    <xf numFmtId="3" fontId="4" fillId="0" borderId="0" xfId="19" applyNumberFormat="1" applyFont="1"/>
    <xf numFmtId="164" fontId="4" fillId="0" borderId="0" xfId="19" applyNumberFormat="1" applyFont="1"/>
    <xf numFmtId="3" fontId="4" fillId="0" borderId="1" xfId="19" applyNumberFormat="1" applyFont="1" applyBorder="1" applyAlignment="1">
      <alignment horizontal="center"/>
    </xf>
    <xf numFmtId="164" fontId="4" fillId="0" borderId="2" xfId="19" applyNumberFormat="1" applyFont="1" applyBorder="1" applyAlignment="1">
      <alignment horizontal="centerContinuous"/>
    </xf>
    <xf numFmtId="164" fontId="4" fillId="0" borderId="1" xfId="19" applyNumberFormat="1" applyFont="1" applyBorder="1" applyAlignment="1">
      <alignment horizontal="centerContinuous"/>
    </xf>
    <xf numFmtId="3" fontId="4" fillId="0" borderId="5" xfId="19" applyNumberFormat="1" applyFont="1" applyBorder="1" applyAlignment="1">
      <alignment horizontal="left"/>
    </xf>
    <xf numFmtId="164" fontId="4" fillId="0" borderId="6" xfId="19" applyNumberFormat="1" applyFont="1" applyBorder="1" applyAlignment="1">
      <alignment horizontal="centerContinuous"/>
    </xf>
    <xf numFmtId="164" fontId="4" fillId="0" borderId="7" xfId="19" applyNumberFormat="1" applyFont="1" applyBorder="1" applyAlignment="1">
      <alignment horizontal="centerContinuous"/>
    </xf>
    <xf numFmtId="3" fontId="4" fillId="0" borderId="0" xfId="19" applyNumberFormat="1" applyFont="1" applyBorder="1" applyAlignment="1">
      <alignment horizontal="right"/>
    </xf>
    <xf numFmtId="164" fontId="4" fillId="0" borderId="3" xfId="19" applyNumberFormat="1" applyFont="1" applyBorder="1" applyAlignment="1">
      <alignment horizontal="right"/>
    </xf>
    <xf numFmtId="164" fontId="4" fillId="0" borderId="4" xfId="19" applyNumberFormat="1" applyFont="1" applyBorder="1" applyAlignment="1">
      <alignment horizontal="right"/>
    </xf>
    <xf numFmtId="164" fontId="4" fillId="0" borderId="0" xfId="19" applyNumberFormat="1" applyFont="1" applyBorder="1" applyAlignment="1">
      <alignment horizontal="right"/>
    </xf>
    <xf numFmtId="164" fontId="4" fillId="0" borderId="8" xfId="19" applyNumberFormat="1" applyFont="1" applyBorder="1"/>
    <xf numFmtId="164" fontId="4" fillId="0" borderId="0" xfId="19" applyNumberFormat="1" applyFont="1" applyBorder="1"/>
    <xf numFmtId="164" fontId="4" fillId="0" borderId="11" xfId="19" applyNumberFormat="1" applyFont="1" applyBorder="1"/>
    <xf numFmtId="164" fontId="4" fillId="0" borderId="5" xfId="19" applyNumberFormat="1" applyFont="1" applyBorder="1"/>
    <xf numFmtId="3" fontId="3" fillId="0" borderId="0" xfId="19" applyNumberFormat="1" applyFont="1" applyAlignment="1">
      <alignment horizontal="right"/>
    </xf>
    <xf numFmtId="164" fontId="3" fillId="0" borderId="3" xfId="19" applyNumberFormat="1" applyFont="1" applyBorder="1"/>
    <xf numFmtId="164" fontId="3" fillId="0" borderId="4" xfId="19" applyNumberFormat="1" applyFont="1" applyBorder="1"/>
    <xf numFmtId="3" fontId="3" fillId="0" borderId="0" xfId="21" applyNumberFormat="1" applyFont="1" applyBorder="1" applyAlignment="1">
      <alignment horizontal="centerContinuous"/>
    </xf>
    <xf numFmtId="164" fontId="4" fillId="0" borderId="0" xfId="21" applyNumberFormat="1" applyFont="1" applyBorder="1" applyAlignment="1">
      <alignment horizontal="centerContinuous"/>
    </xf>
    <xf numFmtId="3" fontId="4" fillId="0" borderId="18" xfId="21" applyNumberFormat="1" applyFont="1" applyBorder="1"/>
    <xf numFmtId="164" fontId="4" fillId="0" borderId="18" xfId="21" applyNumberFormat="1" applyFont="1" applyBorder="1"/>
    <xf numFmtId="3" fontId="4" fillId="0" borderId="1" xfId="21" applyNumberFormat="1" applyFont="1" applyBorder="1" applyAlignment="1">
      <alignment horizontal="center"/>
    </xf>
    <xf numFmtId="164" fontId="4" fillId="0" borderId="2" xfId="21" applyNumberFormat="1" applyFont="1" applyBorder="1" applyAlignment="1">
      <alignment horizontal="centerContinuous"/>
    </xf>
    <xf numFmtId="164" fontId="4" fillId="0" borderId="1" xfId="21" applyNumberFormat="1" applyFont="1" applyBorder="1" applyAlignment="1">
      <alignment horizontal="centerContinuous"/>
    </xf>
    <xf numFmtId="3" fontId="4" fillId="0" borderId="5" xfId="21" applyNumberFormat="1" applyFont="1" applyBorder="1" applyAlignment="1">
      <alignment horizontal="left"/>
    </xf>
    <xf numFmtId="164" fontId="4" fillId="0" borderId="6" xfId="21" applyNumberFormat="1" applyFont="1" applyBorder="1" applyAlignment="1">
      <alignment horizontal="centerContinuous"/>
    </xf>
    <xf numFmtId="164" fontId="4" fillId="0" borderId="7" xfId="21" applyNumberFormat="1" applyFont="1" applyBorder="1" applyAlignment="1">
      <alignment horizontal="centerContinuous"/>
    </xf>
    <xf numFmtId="3" fontId="4" fillId="0" borderId="0" xfId="21" applyNumberFormat="1" applyFont="1" applyBorder="1" applyAlignment="1">
      <alignment horizontal="right"/>
    </xf>
    <xf numFmtId="164" fontId="4" fillId="0" borderId="8" xfId="21" applyNumberFormat="1" applyFont="1" applyBorder="1" applyAlignment="1">
      <alignment horizontal="right"/>
    </xf>
    <xf numFmtId="164" fontId="4" fillId="0" borderId="0" xfId="21" applyNumberFormat="1" applyFont="1" applyBorder="1" applyAlignment="1">
      <alignment horizontal="right"/>
    </xf>
    <xf numFmtId="3" fontId="4" fillId="0" borderId="0" xfId="21" applyNumberFormat="1" applyFont="1"/>
    <xf numFmtId="164" fontId="4" fillId="0" borderId="8" xfId="21" applyNumberFormat="1" applyFont="1" applyBorder="1"/>
    <xf numFmtId="164" fontId="4" fillId="0" borderId="0" xfId="21" applyNumberFormat="1" applyFont="1"/>
    <xf numFmtId="164" fontId="4" fillId="0" borderId="5" xfId="21" applyNumberFormat="1" applyFont="1" applyBorder="1"/>
    <xf numFmtId="3" fontId="3" fillId="0" borderId="0" xfId="21" applyNumberFormat="1" applyFont="1" applyAlignment="1">
      <alignment horizontal="right"/>
    </xf>
    <xf numFmtId="164" fontId="3" fillId="0" borderId="3" xfId="21" applyNumberFormat="1" applyFont="1" applyBorder="1"/>
    <xf numFmtId="164" fontId="3" fillId="0" borderId="4" xfId="21" applyNumberFormat="1" applyFont="1" applyBorder="1"/>
    <xf numFmtId="3" fontId="3" fillId="0" borderId="0" xfId="23" applyNumberFormat="1" applyFont="1" applyBorder="1" applyAlignment="1">
      <alignment horizontal="centerContinuous"/>
    </xf>
    <xf numFmtId="164" fontId="4" fillId="0" borderId="0" xfId="23" applyNumberFormat="1" applyFont="1" applyBorder="1" applyAlignment="1">
      <alignment horizontal="centerContinuous"/>
    </xf>
    <xf numFmtId="3" fontId="4" fillId="0" borderId="18" xfId="23" applyNumberFormat="1" applyFont="1" applyBorder="1"/>
    <xf numFmtId="164" fontId="4" fillId="0" borderId="18" xfId="23" applyNumberFormat="1" applyFont="1" applyBorder="1"/>
    <xf numFmtId="3" fontId="4" fillId="0" borderId="1" xfId="23" applyNumberFormat="1" applyFont="1" applyBorder="1" applyAlignment="1">
      <alignment horizontal="center"/>
    </xf>
    <xf numFmtId="164" fontId="4" fillId="0" borderId="2" xfId="23" applyNumberFormat="1" applyFont="1" applyBorder="1" applyAlignment="1">
      <alignment horizontal="centerContinuous"/>
    </xf>
    <xf numFmtId="164" fontId="4" fillId="0" borderId="1" xfId="23" applyNumberFormat="1" applyFont="1" applyBorder="1" applyAlignment="1">
      <alignment horizontal="centerContinuous"/>
    </xf>
    <xf numFmtId="3" fontId="4" fillId="0" borderId="5" xfId="23" applyNumberFormat="1" applyFont="1" applyBorder="1" applyAlignment="1">
      <alignment horizontal="left"/>
    </xf>
    <xf numFmtId="164" fontId="4" fillId="0" borderId="6" xfId="23" applyNumberFormat="1" applyFont="1" applyBorder="1" applyAlignment="1">
      <alignment horizontal="centerContinuous"/>
    </xf>
    <xf numFmtId="164" fontId="4" fillId="0" borderId="7" xfId="23" applyNumberFormat="1" applyFont="1" applyBorder="1" applyAlignment="1">
      <alignment horizontal="centerContinuous"/>
    </xf>
    <xf numFmtId="3" fontId="4" fillId="0" borderId="0" xfId="23" applyNumberFormat="1" applyFont="1" applyBorder="1" applyAlignment="1">
      <alignment horizontal="right"/>
    </xf>
    <xf numFmtId="164" fontId="4" fillId="0" borderId="8" xfId="23" applyNumberFormat="1" applyFont="1" applyBorder="1" applyAlignment="1">
      <alignment horizontal="right"/>
    </xf>
    <xf numFmtId="164" fontId="4" fillId="0" borderId="0" xfId="23" applyNumberFormat="1" applyFont="1" applyBorder="1" applyAlignment="1">
      <alignment horizontal="right"/>
    </xf>
    <xf numFmtId="3" fontId="4" fillId="0" borderId="0" xfId="23" applyNumberFormat="1" applyFont="1"/>
    <xf numFmtId="164" fontId="4" fillId="0" borderId="8" xfId="23" applyNumberFormat="1" applyFont="1" applyBorder="1"/>
    <xf numFmtId="164" fontId="4" fillId="0" borderId="0" xfId="23" applyNumberFormat="1" applyFont="1"/>
    <xf numFmtId="164" fontId="4" fillId="0" borderId="5" xfId="23" applyNumberFormat="1" applyFont="1" applyBorder="1"/>
    <xf numFmtId="3" fontId="3" fillId="0" borderId="0" xfId="23" applyNumberFormat="1" applyFont="1" applyAlignment="1">
      <alignment horizontal="right"/>
    </xf>
    <xf numFmtId="164" fontId="3" fillId="0" borderId="3" xfId="23" applyNumberFormat="1" applyFont="1" applyBorder="1"/>
    <xf numFmtId="164" fontId="3" fillId="0" borderId="4" xfId="23" applyNumberFormat="1" applyFont="1" applyBorder="1"/>
    <xf numFmtId="3" fontId="3" fillId="0" borderId="0" xfId="19" applyNumberFormat="1" applyFont="1" applyBorder="1" applyAlignment="1">
      <alignment horizontal="centerContinuous"/>
    </xf>
    <xf numFmtId="164" fontId="4" fillId="0" borderId="0" xfId="19" applyNumberFormat="1" applyFont="1" applyBorder="1" applyAlignment="1">
      <alignment horizontal="centerContinuous"/>
    </xf>
    <xf numFmtId="3" fontId="3" fillId="0" borderId="0" xfId="19" applyNumberFormat="1" applyFont="1" applyBorder="1" applyAlignment="1">
      <alignment horizontal="center" wrapText="1" shrinkToFit="1"/>
    </xf>
    <xf numFmtId="3" fontId="4" fillId="0" borderId="18" xfId="19" applyNumberFormat="1" applyFont="1" applyBorder="1"/>
    <xf numFmtId="164" fontId="4" fillId="0" borderId="18" xfId="19" applyNumberFormat="1" applyFont="1" applyBorder="1"/>
    <xf numFmtId="164" fontId="4" fillId="0" borderId="8" xfId="19" applyNumberFormat="1" applyFont="1" applyBorder="1" applyAlignment="1">
      <alignment horizontal="right"/>
    </xf>
    <xf numFmtId="164" fontId="0" fillId="0" borderId="0" xfId="0" applyNumberFormat="1"/>
    <xf numFmtId="3" fontId="3" fillId="0" borderId="0" xfId="20" applyNumberFormat="1" applyFont="1" applyFill="1"/>
    <xf numFmtId="3" fontId="4" fillId="0" borderId="0" xfId="20" applyNumberFormat="1" applyFont="1" applyFill="1"/>
    <xf numFmtId="0" fontId="4" fillId="0" borderId="0" xfId="20" applyFont="1" applyFill="1"/>
    <xf numFmtId="3" fontId="4" fillId="0" borderId="0" xfId="20" applyNumberFormat="1" applyFont="1" applyFill="1" applyAlignment="1">
      <alignment horizontal="centerContinuous"/>
    </xf>
    <xf numFmtId="164" fontId="4" fillId="0" borderId="0" xfId="20" applyNumberFormat="1" applyFont="1" applyFill="1"/>
    <xf numFmtId="1" fontId="4" fillId="0" borderId="0" xfId="26" applyNumberFormat="1" applyFont="1" applyFill="1"/>
    <xf numFmtId="0" fontId="3" fillId="0" borderId="0" xfId="20" applyFont="1" applyFill="1"/>
    <xf numFmtId="0" fontId="4" fillId="0" borderId="0" xfId="20" applyFill="1"/>
    <xf numFmtId="3" fontId="3" fillId="0" borderId="0" xfId="20" applyNumberFormat="1" applyFont="1" applyFill="1" applyBorder="1" applyAlignment="1">
      <alignment horizontal="right"/>
    </xf>
    <xf numFmtId="0" fontId="4" fillId="0" borderId="1" xfId="20" applyFill="1" applyBorder="1"/>
    <xf numFmtId="0" fontId="4" fillId="0" borderId="2" xfId="20" applyFont="1" applyFill="1" applyBorder="1" applyAlignment="1">
      <alignment horizontal="centerContinuous"/>
    </xf>
    <xf numFmtId="0" fontId="4" fillId="0" borderId="1" xfId="20" applyFont="1" applyFill="1" applyBorder="1" applyAlignment="1">
      <alignment horizontal="centerContinuous"/>
    </xf>
    <xf numFmtId="0" fontId="4" fillId="0" borderId="19" xfId="20" applyFont="1" applyFill="1" applyBorder="1" applyAlignment="1">
      <alignment horizontal="centerContinuous"/>
    </xf>
    <xf numFmtId="0" fontId="4" fillId="0" borderId="0" xfId="20" applyFill="1" applyBorder="1"/>
    <xf numFmtId="0" fontId="4" fillId="0" borderId="8" xfId="20" applyFont="1" applyFill="1" applyBorder="1" applyAlignment="1">
      <alignment horizontal="centerContinuous"/>
    </xf>
    <xf numFmtId="0" fontId="4" fillId="0" borderId="0" xfId="20" applyFont="1" applyFill="1" applyBorder="1" applyAlignment="1">
      <alignment horizontal="centerContinuous"/>
    </xf>
    <xf numFmtId="0" fontId="4" fillId="0" borderId="9" xfId="20" applyFont="1" applyFill="1" applyBorder="1" applyAlignment="1">
      <alignment horizontal="centerContinuous"/>
    </xf>
    <xf numFmtId="0" fontId="4" fillId="0" borderId="0" xfId="20" applyFont="1" applyFill="1" applyBorder="1" applyAlignment="1"/>
    <xf numFmtId="0" fontId="4" fillId="0" borderId="11" xfId="20" applyFont="1" applyFill="1" applyBorder="1" applyAlignment="1">
      <alignment horizontal="centerContinuous"/>
    </xf>
    <xf numFmtId="0" fontId="4" fillId="0" borderId="5" xfId="20" applyFont="1" applyFill="1" applyBorder="1" applyAlignment="1">
      <alignment horizontal="centerContinuous"/>
    </xf>
    <xf numFmtId="0" fontId="4" fillId="0" borderId="12" xfId="20" applyFont="1" applyFill="1" applyBorder="1" applyAlignment="1">
      <alignment horizontal="centerContinuous"/>
    </xf>
    <xf numFmtId="0" fontId="4" fillId="0" borderId="12" xfId="20" applyFill="1" applyBorder="1" applyAlignment="1">
      <alignment horizontal="center"/>
    </xf>
    <xf numFmtId="0" fontId="4" fillId="0" borderId="6" xfId="20" applyFont="1" applyFill="1" applyBorder="1" applyAlignment="1">
      <alignment horizontal="center"/>
    </xf>
    <xf numFmtId="0" fontId="4" fillId="0" borderId="7" xfId="20" applyFont="1" applyFill="1" applyBorder="1" applyAlignment="1">
      <alignment horizontal="center"/>
    </xf>
    <xf numFmtId="0" fontId="4" fillId="0" borderId="10" xfId="20" applyFont="1" applyFill="1" applyBorder="1" applyAlignment="1">
      <alignment horizontal="center"/>
    </xf>
    <xf numFmtId="0" fontId="4" fillId="0" borderId="0" xfId="20" applyFill="1" applyAlignment="1">
      <alignment horizontal="center"/>
    </xf>
    <xf numFmtId="0" fontId="4" fillId="0" borderId="3" xfId="20" applyFont="1" applyFill="1" applyBorder="1" applyAlignment="1">
      <alignment horizontal="center"/>
    </xf>
    <xf numFmtId="0" fontId="4" fillId="0" borderId="4" xfId="20" applyFont="1" applyFill="1" applyBorder="1" applyAlignment="1">
      <alignment horizontal="center"/>
    </xf>
    <xf numFmtId="0" fontId="4" fillId="0" borderId="16" xfId="20" applyFont="1" applyFill="1" applyBorder="1" applyAlignment="1">
      <alignment horizontal="center"/>
    </xf>
    <xf numFmtId="3" fontId="4" fillId="0" borderId="0" xfId="20" applyNumberFormat="1" applyFont="1" applyFill="1" applyBorder="1"/>
    <xf numFmtId="164" fontId="4" fillId="0" borderId="8" xfId="20" applyNumberFormat="1" applyFill="1" applyBorder="1"/>
    <xf numFmtId="164" fontId="4" fillId="0" borderId="0" xfId="20" applyNumberFormat="1" applyFill="1" applyBorder="1"/>
    <xf numFmtId="164" fontId="4" fillId="0" borderId="9" xfId="20" applyNumberFormat="1" applyFill="1" applyBorder="1"/>
    <xf numFmtId="164" fontId="4" fillId="0" borderId="0" xfId="20" applyNumberFormat="1" applyFill="1"/>
    <xf numFmtId="164" fontId="3" fillId="0" borderId="3" xfId="20" applyNumberFormat="1" applyFont="1" applyFill="1" applyBorder="1"/>
    <xf numFmtId="164" fontId="3" fillId="0" borderId="4" xfId="20" applyNumberFormat="1" applyFont="1" applyFill="1" applyBorder="1"/>
    <xf numFmtId="164" fontId="3" fillId="0" borderId="16" xfId="20" applyNumberFormat="1" applyFont="1" applyFill="1" applyBorder="1"/>
    <xf numFmtId="3" fontId="3" fillId="0" borderId="0" xfId="3" applyNumberFormat="1" applyFont="1" applyAlignment="1">
      <alignment wrapText="1"/>
    </xf>
    <xf numFmtId="3" fontId="4" fillId="0" borderId="7" xfId="0" applyNumberFormat="1" applyFont="1" applyBorder="1" applyAlignment="1">
      <alignment horizontal="center"/>
    </xf>
    <xf numFmtId="3" fontId="11" fillId="0" borderId="0" xfId="2" applyNumberFormat="1" applyFont="1"/>
    <xf numFmtId="3" fontId="4" fillId="0" borderId="19" xfId="2" applyNumberFormat="1" applyFont="1" applyBorder="1" applyAlignment="1">
      <alignment horizontal="centerContinuous"/>
    </xf>
    <xf numFmtId="3" fontId="4" fillId="0" borderId="16" xfId="2" applyNumberFormat="1" applyFont="1" applyBorder="1" applyAlignment="1">
      <alignment horizontal="centerContinuous"/>
    </xf>
    <xf numFmtId="3" fontId="4" fillId="0" borderId="9" xfId="2" applyNumberFormat="1" applyFont="1" applyBorder="1"/>
    <xf numFmtId="164" fontId="4" fillId="0" borderId="9" xfId="4" applyNumberFormat="1" applyFont="1" applyBorder="1"/>
    <xf numFmtId="164" fontId="4" fillId="0" borderId="0" xfId="2" applyNumberFormat="1" applyFont="1" applyBorder="1" applyAlignment="1">
      <alignment horizontal="right"/>
    </xf>
    <xf numFmtId="0" fontId="4" fillId="0" borderId="0" xfId="0" applyFont="1" applyAlignment="1">
      <alignment horizontal="right"/>
    </xf>
    <xf numFmtId="0" fontId="0" fillId="0" borderId="0" xfId="0" applyFont="1"/>
    <xf numFmtId="0" fontId="4" fillId="0" borderId="0" xfId="3" applyFill="1"/>
    <xf numFmtId="0" fontId="4" fillId="0" borderId="6" xfId="0" applyFont="1" applyBorder="1" applyAlignment="1">
      <alignment horizontal="center"/>
    </xf>
    <xf numFmtId="0" fontId="4" fillId="0" borderId="10" xfId="0" applyFont="1" applyBorder="1" applyAlignment="1">
      <alignment horizontal="center"/>
    </xf>
    <xf numFmtId="3" fontId="4" fillId="0" borderId="6" xfId="0" applyNumberFormat="1" applyFont="1" applyBorder="1" applyAlignment="1">
      <alignment horizontal="center"/>
    </xf>
    <xf numFmtId="3" fontId="4" fillId="0" borderId="7" xfId="0" applyNumberFormat="1" applyFont="1" applyBorder="1" applyAlignment="1">
      <alignment horizontal="center"/>
    </xf>
    <xf numFmtId="3" fontId="4" fillId="0" borderId="10" xfId="0" applyNumberFormat="1" applyFont="1" applyBorder="1" applyAlignment="1">
      <alignment horizontal="center"/>
    </xf>
    <xf numFmtId="0" fontId="11" fillId="0" borderId="0" xfId="0" applyFont="1"/>
    <xf numFmtId="0" fontId="13" fillId="0" borderId="0" xfId="0" applyFont="1"/>
    <xf numFmtId="0" fontId="11" fillId="0" borderId="8" xfId="0" applyFont="1" applyBorder="1"/>
    <xf numFmtId="0" fontId="11" fillId="0" borderId="0" xfId="0" applyFont="1" applyBorder="1"/>
    <xf numFmtId="0" fontId="11" fillId="0" borderId="9" xfId="0" applyFont="1" applyBorder="1"/>
    <xf numFmtId="3" fontId="11" fillId="0" borderId="8" xfId="0" applyNumberFormat="1" applyFont="1" applyBorder="1"/>
    <xf numFmtId="3" fontId="11" fillId="0" borderId="0" xfId="0" applyNumberFormat="1" applyFont="1" applyBorder="1"/>
    <xf numFmtId="3" fontId="11" fillId="0" borderId="9" xfId="0" applyNumberFormat="1" applyFont="1" applyBorder="1"/>
    <xf numFmtId="168" fontId="11" fillId="0" borderId="8" xfId="0" applyNumberFormat="1" applyFont="1" applyBorder="1"/>
    <xf numFmtId="168" fontId="11" fillId="0" borderId="9" xfId="0" applyNumberFormat="1" applyFont="1" applyBorder="1"/>
    <xf numFmtId="3" fontId="11" fillId="0" borderId="11" xfId="0" applyNumberFormat="1" applyFont="1" applyBorder="1"/>
    <xf numFmtId="3" fontId="11" fillId="0" borderId="5" xfId="0" applyNumberFormat="1" applyFont="1" applyBorder="1"/>
    <xf numFmtId="3" fontId="11" fillId="0" borderId="12" xfId="0" applyNumberFormat="1" applyFont="1" applyBorder="1"/>
    <xf numFmtId="168" fontId="11" fillId="0" borderId="11" xfId="0" applyNumberFormat="1" applyFont="1" applyBorder="1"/>
    <xf numFmtId="168" fontId="11" fillId="0" borderId="12" xfId="0" applyNumberFormat="1" applyFont="1" applyBorder="1"/>
    <xf numFmtId="168" fontId="4" fillId="0" borderId="0" xfId="1" applyNumberFormat="1" applyFont="1" applyBorder="1"/>
    <xf numFmtId="0" fontId="4" fillId="0" borderId="0" xfId="3" applyFont="1"/>
    <xf numFmtId="164" fontId="4" fillId="0" borderId="9" xfId="0" applyNumberFormat="1" applyFont="1" applyBorder="1"/>
    <xf numFmtId="164" fontId="4" fillId="0" borderId="16" xfId="0" applyNumberFormat="1" applyFont="1" applyBorder="1" applyAlignment="1">
      <alignment horizontal="right"/>
    </xf>
    <xf numFmtId="164" fontId="4" fillId="0" borderId="9" xfId="0" applyNumberFormat="1" applyFont="1" applyBorder="1" applyAlignment="1">
      <alignment horizontal="right"/>
    </xf>
    <xf numFmtId="0" fontId="4" fillId="0" borderId="7" xfId="0" applyFont="1" applyBorder="1" applyAlignment="1">
      <alignment horizontal="center"/>
    </xf>
    <xf numFmtId="0" fontId="4" fillId="0" borderId="4" xfId="0" applyFont="1" applyBorder="1"/>
    <xf numFmtId="10" fontId="4" fillId="0" borderId="0" xfId="0" applyNumberFormat="1" applyFont="1" applyBorder="1"/>
    <xf numFmtId="9" fontId="4" fillId="0" borderId="0" xfId="2" applyNumberFormat="1" applyFont="1"/>
    <xf numFmtId="0" fontId="4" fillId="0" borderId="6" xfId="2" applyFont="1" applyBorder="1" applyAlignment="1">
      <alignment horizontal="center"/>
    </xf>
    <xf numFmtId="0" fontId="4" fillId="0" borderId="10" xfId="2" applyFont="1" applyBorder="1" applyAlignment="1">
      <alignment horizontal="center"/>
    </xf>
    <xf numFmtId="0" fontId="4" fillId="0" borderId="7" xfId="2" applyFont="1" applyBorder="1" applyAlignment="1">
      <alignment horizontal="center"/>
    </xf>
    <xf numFmtId="3" fontId="3" fillId="0" borderId="0" xfId="2" applyNumberFormat="1" applyFont="1" applyAlignment="1">
      <alignment horizontal="center"/>
    </xf>
    <xf numFmtId="3" fontId="3" fillId="0" borderId="0" xfId="3" applyNumberFormat="1" applyFont="1" applyAlignment="1">
      <alignment wrapText="1"/>
    </xf>
    <xf numFmtId="0" fontId="0" fillId="0" borderId="0" xfId="0" applyAlignment="1">
      <alignment wrapText="1"/>
    </xf>
    <xf numFmtId="0" fontId="0" fillId="0" borderId="17" xfId="0" applyBorder="1" applyAlignment="1">
      <alignment horizontal="center" shrinkToFit="1"/>
    </xf>
    <xf numFmtId="3" fontId="3" fillId="0" borderId="0" xfId="20" applyNumberFormat="1" applyFont="1" applyBorder="1" applyAlignment="1">
      <alignment horizontal="center" wrapText="1" shrinkToFit="1"/>
    </xf>
    <xf numFmtId="0" fontId="0" fillId="0" borderId="0" xfId="0" applyBorder="1" applyAlignment="1">
      <alignment horizontal="center" wrapText="1" shrinkToFit="1"/>
    </xf>
    <xf numFmtId="164" fontId="3" fillId="0" borderId="0" xfId="19" applyNumberFormat="1" applyFont="1" applyAlignment="1">
      <alignment horizontal="center" wrapText="1" shrinkToFit="1"/>
    </xf>
    <xf numFmtId="0" fontId="0" fillId="0" borderId="0" xfId="0" applyAlignment="1">
      <alignment horizontal="center" wrapText="1" shrinkToFit="1"/>
    </xf>
    <xf numFmtId="3" fontId="3" fillId="0" borderId="0" xfId="0" applyNumberFormat="1" applyFont="1" applyBorder="1" applyAlignment="1">
      <alignment horizontal="center" wrapText="1" shrinkToFit="1"/>
    </xf>
    <xf numFmtId="3" fontId="3" fillId="0" borderId="0" xfId="22" applyNumberFormat="1" applyFont="1" applyBorder="1" applyAlignment="1">
      <alignment horizontal="center" wrapText="1" shrinkToFit="1"/>
    </xf>
    <xf numFmtId="3" fontId="3" fillId="0" borderId="0" xfId="19" applyNumberFormat="1" applyFont="1" applyBorder="1" applyAlignment="1">
      <alignment horizontal="center" wrapText="1" shrinkToFit="1"/>
    </xf>
    <xf numFmtId="0" fontId="9" fillId="0" borderId="0" xfId="0" applyFont="1" applyAlignment="1">
      <alignment horizontal="center"/>
    </xf>
    <xf numFmtId="3" fontId="3" fillId="0" borderId="0" xfId="17" applyNumberFormat="1" applyFont="1" applyAlignment="1">
      <alignment horizontal="center" wrapText="1" shrinkToFit="1"/>
    </xf>
    <xf numFmtId="0" fontId="3" fillId="0" borderId="0" xfId="18" applyFont="1" applyBorder="1" applyAlignment="1">
      <alignment horizontal="center" wrapText="1" shrinkToFit="1"/>
    </xf>
    <xf numFmtId="3" fontId="3" fillId="0" borderId="0" xfId="24" applyNumberFormat="1" applyFont="1" applyBorder="1" applyAlignment="1">
      <alignment horizontal="center" wrapText="1" shrinkToFit="1"/>
    </xf>
    <xf numFmtId="3" fontId="3" fillId="0" borderId="0" xfId="25" applyNumberFormat="1" applyFont="1" applyBorder="1" applyAlignment="1">
      <alignment horizontal="center" wrapText="1" shrinkToFit="1"/>
    </xf>
    <xf numFmtId="0" fontId="4" fillId="0" borderId="5" xfId="0" applyFont="1" applyBorder="1" applyAlignment="1">
      <alignment horizontal="center"/>
    </xf>
    <xf numFmtId="3" fontId="4" fillId="0" borderId="11" xfId="0" applyNumberFormat="1" applyFont="1" applyBorder="1" applyAlignment="1">
      <alignment horizontal="center"/>
    </xf>
    <xf numFmtId="3" fontId="4" fillId="0" borderId="5" xfId="0" applyNumberFormat="1" applyFont="1" applyBorder="1" applyAlignment="1">
      <alignment horizontal="center"/>
    </xf>
    <xf numFmtId="3" fontId="4" fillId="0" borderId="12" xfId="0" applyNumberFormat="1" applyFont="1" applyBorder="1" applyAlignment="1">
      <alignment horizontal="center"/>
    </xf>
    <xf numFmtId="0" fontId="4" fillId="0" borderId="6"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3" fontId="8" fillId="0" borderId="0" xfId="0" applyNumberFormat="1" applyFont="1" applyAlignment="1">
      <alignment horizontal="center"/>
    </xf>
    <xf numFmtId="3" fontId="3" fillId="0" borderId="0" xfId="0" applyNumberFormat="1" applyFont="1" applyAlignment="1">
      <alignment horizontal="center"/>
    </xf>
    <xf numFmtId="3" fontId="4" fillId="0" borderId="7" xfId="0" applyNumberFormat="1" applyFont="1" applyBorder="1" applyAlignment="1">
      <alignment horizontal="center"/>
    </xf>
    <xf numFmtId="3" fontId="4" fillId="0" borderId="6" xfId="0" applyNumberFormat="1" applyFont="1" applyBorder="1" applyAlignment="1">
      <alignment horizontal="center"/>
    </xf>
    <xf numFmtId="3" fontId="4" fillId="0" borderId="10" xfId="0" applyNumberFormat="1"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3" fontId="3" fillId="0" borderId="0" xfId="20" applyNumberFormat="1" applyFont="1" applyFill="1" applyAlignment="1">
      <alignment horizontal="center"/>
    </xf>
    <xf numFmtId="1" fontId="3" fillId="0" borderId="0" xfId="26" applyNumberFormat="1" applyFont="1" applyFill="1" applyAlignment="1">
      <alignment horizontal="center"/>
    </xf>
  </cellXfs>
  <cellStyles count="29">
    <cellStyle name="0" xfId="5"/>
    <cellStyle name="0.0" xfId="6"/>
    <cellStyle name="0.0000" xfId="7"/>
    <cellStyle name="decimalen" xfId="8"/>
    <cellStyle name="decimalenpunt2" xfId="9"/>
    <cellStyle name="Komma_pers_un" xfId="26"/>
    <cellStyle name="komma1nul" xfId="10"/>
    <cellStyle name="komma2nul" xfId="11"/>
    <cellStyle name="nieuw" xfId="12"/>
    <cellStyle name="perc1nul" xfId="13"/>
    <cellStyle name="perc2nul" xfId="14"/>
    <cellStyle name="perc3nul" xfId="15"/>
    <cellStyle name="perc4" xfId="16"/>
    <cellStyle name="Procent" xfId="1" builtinId="5"/>
    <cellStyle name="Standaard" xfId="0" builtinId="0"/>
    <cellStyle name="Standaard 2" xfId="3"/>
    <cellStyle name="Standaard 2 2" xfId="28"/>
    <cellStyle name="Standaard 3" xfId="27"/>
    <cellStyle name="Standaard_96palg06" xfId="4"/>
    <cellStyle name="Standaard_96palg07" xfId="2"/>
    <cellStyle name="Standaard_96PBAS04" xfId="17"/>
    <cellStyle name="Standaard_96PBAS05" xfId="18"/>
    <cellStyle name="Standaard_96PDKO04" xfId="19"/>
    <cellStyle name="Standaard_96PHOG03" xfId="20"/>
    <cellStyle name="Standaard_96POSP04" xfId="21"/>
    <cellStyle name="Standaard_96POSP07" xfId="22"/>
    <cellStyle name="Standaard_96POSP10" xfId="23"/>
    <cellStyle name="Standaard_96PSEC04" xfId="24"/>
    <cellStyle name="Standaard_96PSEC05"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10582</xdr:colOff>
      <xdr:row>0</xdr:row>
      <xdr:rowOff>1</xdr:rowOff>
    </xdr:from>
    <xdr:to>
      <xdr:col>14</xdr:col>
      <xdr:colOff>323850</xdr:colOff>
      <xdr:row>119</xdr:row>
      <xdr:rowOff>133350</xdr:rowOff>
    </xdr:to>
    <xdr:sp macro="" textlink="">
      <xdr:nvSpPr>
        <xdr:cNvPr id="2" name="Tekst 1"/>
        <xdr:cNvSpPr txBox="1">
          <a:spLocks noChangeArrowheads="1"/>
        </xdr:cNvSpPr>
      </xdr:nvSpPr>
      <xdr:spPr bwMode="auto">
        <a:xfrm>
          <a:off x="10582" y="1"/>
          <a:ext cx="8580968" cy="19402424"/>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txBody>
        <a:bodyPr vertOverflow="clip" wrap="square" lIns="27432" tIns="22860" rIns="0" bIns="0" anchor="ctr" upright="1"/>
        <a:lstStyle/>
        <a:p>
          <a:pPr algn="l" rtl="0">
            <a:lnSpc>
              <a:spcPts val="1500"/>
            </a:lnSpc>
            <a:defRPr sz="1000"/>
          </a:pPr>
          <a:r>
            <a:rPr lang="nl-BE" sz="1000" b="0" i="0" u="none" strike="noStrike" baseline="0">
              <a:solidFill>
                <a:sysClr val="windowText" lastClr="000000"/>
              </a:solidFill>
              <a:latin typeface="Arial"/>
              <a:cs typeface="Arial"/>
            </a:rPr>
            <a:t>  </a:t>
          </a:r>
          <a:r>
            <a:rPr lang="nl-BE" sz="1400" b="1" i="0" u="none" strike="noStrike" baseline="0">
              <a:solidFill>
                <a:sysClr val="windowText" lastClr="000000"/>
              </a:solidFill>
              <a:latin typeface="Arial"/>
              <a:cs typeface="Arial"/>
            </a:rPr>
            <a:t>TOELICHTING ONDERWIJSPERSONEEL</a:t>
          </a:r>
        </a:p>
        <a:p>
          <a:pPr algn="l" rtl="0">
            <a:lnSpc>
              <a:spcPts val="1100"/>
            </a:lnSpc>
            <a:defRPr sz="1000"/>
          </a:pPr>
          <a:endParaRPr lang="nl-BE" sz="1000" b="0" i="0" u="none" strike="noStrike" baseline="0">
            <a:solidFill>
              <a:sysClr val="windowText" lastClr="000000"/>
            </a:solidFill>
            <a:latin typeface="Arial"/>
            <a:cs typeface="Arial"/>
          </a:endParaRPr>
        </a:p>
        <a:p>
          <a:pPr algn="l" rtl="0">
            <a:lnSpc>
              <a:spcPts val="1100"/>
            </a:lnSpc>
            <a:defRPr sz="1000"/>
          </a:pPr>
          <a:r>
            <a:rPr lang="nl-BE" sz="1000" b="0" i="0" u="none" strike="noStrike" baseline="0">
              <a:solidFill>
                <a:sysClr val="windowText" lastClr="000000"/>
              </a:solidFill>
              <a:latin typeface="Arial"/>
              <a:cs typeface="Arial"/>
            </a:rPr>
            <a:t>  In de personeelsstatistieken wordt enkel het personeel geregistreerd dat ofwel rechtstreeks door het Beleidsdomein Onderwijs en </a:t>
          </a:r>
        </a:p>
        <a:p>
          <a:pPr algn="l" rtl="0">
            <a:lnSpc>
              <a:spcPts val="1100"/>
            </a:lnSpc>
            <a:defRPr sz="1000"/>
          </a:pPr>
          <a:r>
            <a:rPr lang="nl-BE" sz="1000" b="0" i="0" u="none" strike="noStrike" baseline="0">
              <a:solidFill>
                <a:sysClr val="windowText" lastClr="000000"/>
              </a:solidFill>
              <a:latin typeface="Arial"/>
              <a:cs typeface="Arial"/>
            </a:rPr>
            <a:t>  Vorming wordt betaald, ofwel waarvan de lonen ten laste zijn van de werkingsenveloppe van het hoger onderwijs. Dit impliceert dat </a:t>
          </a:r>
        </a:p>
        <a:p>
          <a:pPr algn="l" rtl="0">
            <a:lnSpc>
              <a:spcPts val="1100"/>
            </a:lnSpc>
            <a:defRPr sz="1000"/>
          </a:pPr>
          <a:r>
            <a:rPr lang="nl-BE" sz="1000" b="0" i="0" u="none" strike="noStrike" baseline="0">
              <a:solidFill>
                <a:sysClr val="windowText" lastClr="000000"/>
              </a:solidFill>
              <a:latin typeface="Arial"/>
              <a:cs typeface="Arial"/>
            </a:rPr>
            <a:t>  het meester-, vak- en dienstpersoneel van het gesubsidieerd onderwijs niet opgenomen is in de statistieken. De gesubsidieerde </a:t>
          </a:r>
        </a:p>
        <a:p>
          <a:pPr algn="l" rtl="0">
            <a:lnSpc>
              <a:spcPts val="1100"/>
            </a:lnSpc>
            <a:defRPr sz="1000"/>
          </a:pPr>
          <a:r>
            <a:rPr lang="nl-BE" sz="1000" b="0" i="0" u="none" strike="noStrike" baseline="0">
              <a:solidFill>
                <a:sysClr val="windowText" lastClr="000000"/>
              </a:solidFill>
              <a:latin typeface="Arial"/>
              <a:cs typeface="Arial"/>
            </a:rPr>
            <a:t>  contractuelen worden ook buiten beschouwing gelaten, omdat deze personeelsleden niet volledig door het Beleidsdomein Onderwijs </a:t>
          </a:r>
        </a:p>
        <a:p>
          <a:pPr algn="l" rtl="0">
            <a:lnSpc>
              <a:spcPts val="1100"/>
            </a:lnSpc>
            <a:defRPr sz="1000"/>
          </a:pPr>
          <a:r>
            <a:rPr lang="nl-BE" sz="1000" b="0" i="0" u="none" strike="noStrike" baseline="0">
              <a:solidFill>
                <a:sysClr val="windowText" lastClr="000000"/>
              </a:solidFill>
              <a:latin typeface="Arial"/>
              <a:cs typeface="Arial"/>
            </a:rPr>
            <a:t>  en Vorming worden betaald. </a:t>
          </a:r>
        </a:p>
        <a:p>
          <a:pPr algn="l" rtl="0">
            <a:lnSpc>
              <a:spcPts val="1100"/>
            </a:lnSpc>
            <a:defRPr sz="1000"/>
          </a:pPr>
          <a:endParaRPr lang="nl-BE" sz="1000" b="0" i="0" u="none" strike="noStrike" baseline="0">
            <a:solidFill>
              <a:sysClr val="windowText" lastClr="000000"/>
            </a:solidFill>
            <a:latin typeface="Arial"/>
            <a:cs typeface="Arial"/>
          </a:endParaRPr>
        </a:p>
        <a:p>
          <a:pPr algn="l" rtl="0">
            <a:lnSpc>
              <a:spcPts val="1100"/>
            </a:lnSpc>
            <a:defRPr sz="1000"/>
          </a:pPr>
          <a:r>
            <a:rPr lang="nl-BE" sz="1000" b="0" i="0" u="none" strike="noStrike" baseline="0">
              <a:solidFill>
                <a:sysClr val="windowText" lastClr="000000"/>
              </a:solidFill>
              <a:latin typeface="Arial"/>
              <a:cs typeface="Arial"/>
            </a:rPr>
            <a:t>  Het personeel dat geniet van het stelsel 'terbeschikkingstelling voorafgaand aan het rustpensioen' (TBS+) is opgenomen in deze </a:t>
          </a:r>
        </a:p>
        <a:p>
          <a:pPr algn="l" rtl="0">
            <a:lnSpc>
              <a:spcPts val="1100"/>
            </a:lnSpc>
            <a:defRPr sz="1000"/>
          </a:pPr>
          <a:r>
            <a:rPr lang="nl-BE" sz="1000" b="0" i="0" u="none" strike="noStrike" baseline="0">
              <a:solidFill>
                <a:sysClr val="windowText" lastClr="000000"/>
              </a:solidFill>
              <a:latin typeface="Arial"/>
              <a:cs typeface="Arial"/>
            </a:rPr>
            <a:t>  statistieken. Alle personeelsgegevens hebben betrekking op de maand januari, zoals gekend in juni 2013.</a:t>
          </a:r>
        </a:p>
        <a:p>
          <a:pPr algn="l" rtl="0">
            <a:lnSpc>
              <a:spcPts val="1100"/>
            </a:lnSpc>
            <a:defRPr sz="1000"/>
          </a:pPr>
          <a:endParaRPr lang="nl-BE" sz="1000" b="0" i="0" u="none" strike="noStrike" baseline="0">
            <a:solidFill>
              <a:sysClr val="windowText" lastClr="000000"/>
            </a:solidFill>
            <a:latin typeface="Arial"/>
            <a:cs typeface="Arial"/>
          </a:endParaRPr>
        </a:p>
        <a:p>
          <a:pPr algn="l" rtl="0">
            <a:lnSpc>
              <a:spcPts val="1100"/>
            </a:lnSpc>
            <a:defRPr sz="1000"/>
          </a:pPr>
          <a:r>
            <a:rPr lang="nl-BE" sz="1000" b="0" i="0" u="none" strike="noStrike" baseline="0">
              <a:solidFill>
                <a:sysClr val="windowText" lastClr="000000"/>
              </a:solidFill>
              <a:latin typeface="Arial"/>
              <a:cs typeface="Arial"/>
            </a:rPr>
            <a:t>  De tabel met betrekking tot de 'professionele  bachelors voor het onderwijs' en de 'masters'  wordt gebaseerd op de door de </a:t>
          </a:r>
        </a:p>
        <a:p>
          <a:pPr algn="l" rtl="0">
            <a:lnSpc>
              <a:spcPts val="1100"/>
            </a:lnSpc>
            <a:defRPr sz="1000"/>
          </a:pPr>
          <a:r>
            <a:rPr lang="nl-BE" sz="1000" b="0" i="0" u="none" strike="noStrike" baseline="0">
              <a:solidFill>
                <a:sysClr val="windowText" lastClr="000000"/>
              </a:solidFill>
              <a:latin typeface="Arial"/>
              <a:cs typeface="Arial"/>
            </a:rPr>
            <a:t>  betrokkenen behaalde diploma's.  (Zie deel 4 Personeel, hoofdstuk 3 Secundair onderwijs, 3.1 Budgettaire fulltime-equivalenten). </a:t>
          </a:r>
        </a:p>
        <a:p>
          <a:pPr algn="l" rtl="0">
            <a:lnSpc>
              <a:spcPts val="1100"/>
            </a:lnSpc>
            <a:defRPr sz="1000"/>
          </a:pPr>
          <a:r>
            <a:rPr lang="nl-BE" sz="1000" b="0" i="0" u="none" strike="noStrike" baseline="0">
              <a:solidFill>
                <a:sysClr val="windowText" lastClr="000000"/>
              </a:solidFill>
              <a:latin typeface="Arial"/>
              <a:cs typeface="Arial"/>
            </a:rPr>
            <a:t> </a:t>
          </a:r>
        </a:p>
        <a:p>
          <a:pPr algn="l" rtl="0">
            <a:lnSpc>
              <a:spcPts val="1100"/>
            </a:lnSpc>
            <a:defRPr sz="1000"/>
          </a:pPr>
          <a:r>
            <a:rPr lang="nl-BE" sz="1000" b="0" i="1" u="none" strike="noStrike" baseline="0">
              <a:solidFill>
                <a:sysClr val="windowText" lastClr="000000"/>
              </a:solidFill>
              <a:latin typeface="Arial"/>
              <a:cs typeface="Arial"/>
            </a:rPr>
            <a:t> </a:t>
          </a:r>
          <a:r>
            <a:rPr lang="nl-BE" sz="1000" b="0" i="1" u="sng" strike="noStrike" baseline="0">
              <a:solidFill>
                <a:sysClr val="windowText" lastClr="000000"/>
              </a:solidFill>
              <a:latin typeface="Arial"/>
              <a:cs typeface="Arial"/>
            </a:rPr>
            <a:t> </a:t>
          </a:r>
          <a:r>
            <a:rPr lang="nl-BE" sz="1000" b="1" i="1" u="sng" strike="noStrike" baseline="0">
              <a:solidFill>
                <a:sysClr val="windowText" lastClr="000000"/>
              </a:solidFill>
              <a:latin typeface="Arial"/>
              <a:cs typeface="Arial"/>
            </a:rPr>
            <a:t>Bestuurs- en onderwijzend personeel</a:t>
          </a:r>
          <a:r>
            <a:rPr lang="nl-BE" sz="1000" b="1" i="0" u="sng" strike="noStrike" baseline="0">
              <a:solidFill>
                <a:sysClr val="windowText" lastClr="000000"/>
              </a:solidFill>
              <a:latin typeface="Arial"/>
              <a:cs typeface="Arial"/>
            </a:rPr>
            <a:t> en</a:t>
          </a:r>
          <a:r>
            <a:rPr lang="nl-BE" sz="1000" b="1" i="1" u="sng" strike="noStrike" baseline="0">
              <a:solidFill>
                <a:sysClr val="windowText" lastClr="000000"/>
              </a:solidFill>
              <a:latin typeface="Arial"/>
              <a:cs typeface="Arial"/>
            </a:rPr>
            <a:t> andere personeelscategorieën</a:t>
          </a:r>
          <a:endParaRPr lang="nl-BE" sz="1000" b="1" i="0" u="none" strike="noStrike" baseline="0">
            <a:solidFill>
              <a:sysClr val="windowText" lastClr="000000"/>
            </a:solidFill>
            <a:latin typeface="Arial"/>
            <a:cs typeface="Arial"/>
          </a:endParaRPr>
        </a:p>
        <a:p>
          <a:pPr algn="l" rtl="0">
            <a:lnSpc>
              <a:spcPts val="1100"/>
            </a:lnSpc>
            <a:defRPr sz="1000"/>
          </a:pPr>
          <a:r>
            <a:rPr lang="nl-BE" sz="1000" b="0" i="0" u="none" strike="noStrike" baseline="0">
              <a:solidFill>
                <a:sysClr val="windowText" lastClr="000000"/>
              </a:solidFill>
              <a:latin typeface="Arial"/>
              <a:cs typeface="Arial"/>
            </a:rPr>
            <a:t>  Binnen het onderwijspersoneel wordt een onderscheid gemaakt tussen enerzijds het </a:t>
          </a:r>
          <a:r>
            <a:rPr lang="nl-BE" sz="1000" b="0" i="1" u="none" strike="noStrike" baseline="0">
              <a:solidFill>
                <a:sysClr val="windowText" lastClr="000000"/>
              </a:solidFill>
              <a:latin typeface="Arial"/>
              <a:cs typeface="Arial"/>
            </a:rPr>
            <a:t>bestuurs- en onderwijzend personeel</a:t>
          </a:r>
          <a:r>
            <a:rPr lang="nl-BE" sz="1000" b="0" i="0" u="none" strike="noStrike" baseline="0">
              <a:solidFill>
                <a:sysClr val="windowText" lastClr="000000"/>
              </a:solidFill>
              <a:latin typeface="Arial"/>
              <a:cs typeface="Arial"/>
            </a:rPr>
            <a:t> en   </a:t>
          </a:r>
        </a:p>
        <a:p>
          <a:pPr algn="l" rtl="0">
            <a:lnSpc>
              <a:spcPts val="1100"/>
            </a:lnSpc>
            <a:defRPr sz="1000"/>
          </a:pPr>
          <a:r>
            <a:rPr lang="nl-BE" sz="1000" b="0" i="0" u="none" strike="noStrike" baseline="0">
              <a:solidFill>
                <a:sysClr val="windowText" lastClr="000000"/>
              </a:solidFill>
              <a:latin typeface="Arial"/>
              <a:cs typeface="Arial"/>
            </a:rPr>
            <a:t>  anderzijds </a:t>
          </a:r>
          <a:r>
            <a:rPr lang="nl-BE" sz="1000" b="0" i="1" u="none" strike="noStrike" baseline="0">
              <a:solidFill>
                <a:sysClr val="windowText" lastClr="000000"/>
              </a:solidFill>
              <a:latin typeface="Arial"/>
              <a:cs typeface="Arial"/>
            </a:rPr>
            <a:t>andere personeelscategorieën</a:t>
          </a:r>
          <a:r>
            <a:rPr lang="nl-BE" sz="1000" b="0" i="0" u="none" strike="noStrike" baseline="0">
              <a:solidFill>
                <a:sysClr val="windowText" lastClr="000000"/>
              </a:solidFill>
              <a:latin typeface="Arial"/>
              <a:cs typeface="Arial"/>
            </a:rPr>
            <a:t>. </a:t>
          </a:r>
        </a:p>
        <a:p>
          <a:pPr algn="l" rtl="0">
            <a:lnSpc>
              <a:spcPts val="1100"/>
            </a:lnSpc>
            <a:defRPr sz="1000"/>
          </a:pPr>
          <a:r>
            <a:rPr lang="nl-BE" sz="1000" b="0" i="0" u="none" strike="noStrike" baseline="0">
              <a:solidFill>
                <a:sysClr val="windowText" lastClr="000000"/>
              </a:solidFill>
              <a:latin typeface="Arial"/>
              <a:cs typeface="Arial"/>
            </a:rPr>
            <a:t>  Het </a:t>
          </a:r>
          <a:r>
            <a:rPr lang="nl-BE" sz="1000" b="0" i="1" u="none" strike="noStrike" baseline="0">
              <a:solidFill>
                <a:sysClr val="windowText" lastClr="000000"/>
              </a:solidFill>
              <a:latin typeface="Arial"/>
              <a:cs typeface="Arial"/>
            </a:rPr>
            <a:t>bestuurspersoneel </a:t>
          </a:r>
          <a:r>
            <a:rPr lang="nl-BE" sz="1000" b="0" i="0" u="none" strike="noStrike" baseline="0">
              <a:solidFill>
                <a:sysClr val="windowText" lastClr="000000"/>
              </a:solidFill>
              <a:latin typeface="Arial"/>
              <a:cs typeface="Arial"/>
            </a:rPr>
            <a:t>bestaat uit directeurs en adjunct-directeurs en nog enkele andere ambten. Het </a:t>
          </a:r>
          <a:r>
            <a:rPr lang="nl-BE" sz="1000" b="0" i="1" u="none" strike="noStrike" baseline="0">
              <a:solidFill>
                <a:sysClr val="windowText" lastClr="000000"/>
              </a:solidFill>
              <a:latin typeface="Arial"/>
              <a:cs typeface="Arial"/>
            </a:rPr>
            <a:t>onderwijzend personeel </a:t>
          </a:r>
          <a:endParaRPr lang="nl-BE" sz="1000" b="0" i="0" u="none" strike="noStrike" baseline="0">
            <a:solidFill>
              <a:sysClr val="windowText" lastClr="000000"/>
            </a:solidFill>
            <a:latin typeface="Arial"/>
            <a:cs typeface="Arial"/>
          </a:endParaRPr>
        </a:p>
        <a:p>
          <a:pPr algn="l" rtl="0">
            <a:lnSpc>
              <a:spcPts val="1100"/>
            </a:lnSpc>
            <a:defRPr sz="1000"/>
          </a:pPr>
          <a:r>
            <a:rPr lang="nl-BE" sz="1000" b="0" i="0" u="none" strike="noStrike" baseline="0">
              <a:solidFill>
                <a:sysClr val="windowText" lastClr="000000"/>
              </a:solidFill>
              <a:latin typeface="Arial"/>
              <a:cs typeface="Arial"/>
            </a:rPr>
            <a:t>  vervult effectief een lesopdracht of is terbeschikkinggesteld voorafgaand aan het rustpensioen of neemt een bonus. </a:t>
          </a:r>
        </a:p>
        <a:p>
          <a:pPr algn="l" rtl="0">
            <a:lnSpc>
              <a:spcPts val="1100"/>
            </a:lnSpc>
            <a:defRPr sz="1000"/>
          </a:pPr>
          <a:r>
            <a:rPr lang="nl-BE" sz="1000" b="0" i="0" u="none" strike="noStrike" baseline="0">
              <a:solidFill>
                <a:sysClr val="windowText" lastClr="000000"/>
              </a:solidFill>
              <a:latin typeface="Arial"/>
              <a:cs typeface="Arial"/>
            </a:rPr>
            <a:t>  De </a:t>
          </a:r>
          <a:r>
            <a:rPr lang="nl-BE" sz="1000" b="0" i="1" u="none" strike="noStrike" baseline="0">
              <a:solidFill>
                <a:sysClr val="windowText" lastClr="000000"/>
              </a:solidFill>
              <a:latin typeface="Arial"/>
              <a:cs typeface="Arial"/>
            </a:rPr>
            <a:t>andere personeelscategorieën</a:t>
          </a:r>
          <a:r>
            <a:rPr lang="nl-BE" sz="1000" b="0" i="0" u="none" strike="noStrike" baseline="0">
              <a:solidFill>
                <a:sysClr val="windowText" lastClr="000000"/>
              </a:solidFill>
              <a:latin typeface="Arial"/>
              <a:cs typeface="Arial"/>
            </a:rPr>
            <a:t> bestaan uit het administratief personeel, het werkliedenpersoneel van het gemeenschaps-</a:t>
          </a:r>
        </a:p>
        <a:p>
          <a:pPr algn="l" rtl="0">
            <a:lnSpc>
              <a:spcPts val="1100"/>
            </a:lnSpc>
            <a:defRPr sz="1000"/>
          </a:pPr>
          <a:r>
            <a:rPr lang="nl-BE" sz="1000" b="0" i="0" u="none" strike="noStrike" baseline="0">
              <a:solidFill>
                <a:sysClr val="windowText" lastClr="000000"/>
              </a:solidFill>
              <a:latin typeface="Arial"/>
              <a:cs typeface="Arial"/>
            </a:rPr>
            <a:t>  onderwijs, het opvoedend hulppersoneel, het paramedisch personeel, het CLB- personeel, het inspectiepersoneel, het personeel </a:t>
          </a:r>
        </a:p>
        <a:p>
          <a:pPr algn="l" rtl="0">
            <a:lnSpc>
              <a:spcPts val="1100"/>
            </a:lnSpc>
            <a:defRPr sz="1000"/>
          </a:pPr>
          <a:r>
            <a:rPr lang="nl-BE" sz="1000" b="0" i="0" u="none" strike="noStrike" baseline="0">
              <a:solidFill>
                <a:sysClr val="windowText" lastClr="000000"/>
              </a:solidFill>
              <a:latin typeface="Arial"/>
              <a:cs typeface="Arial"/>
            </a:rPr>
            <a:t>  pedagogische begeleiding en het personeel van de internaten. Vanaf het schooljaar 2001-2002 bevat deze categorie ook de </a:t>
          </a:r>
        </a:p>
        <a:p>
          <a:pPr algn="l" rtl="0">
            <a:lnSpc>
              <a:spcPts val="1100"/>
            </a:lnSpc>
            <a:defRPr sz="1000"/>
          </a:pPr>
          <a:r>
            <a:rPr lang="nl-BE" sz="1000" b="0" i="0" u="none" strike="noStrike" baseline="0">
              <a:solidFill>
                <a:sysClr val="windowText" lastClr="000000"/>
              </a:solidFill>
              <a:latin typeface="Arial"/>
              <a:cs typeface="Arial"/>
            </a:rPr>
            <a:t>  kinderverzorgsters van het kleuteronderwijs.</a:t>
          </a:r>
        </a:p>
        <a:p>
          <a:pPr algn="l" rtl="0">
            <a:lnSpc>
              <a:spcPts val="1100"/>
            </a:lnSpc>
            <a:defRPr sz="1000"/>
          </a:pPr>
          <a:endParaRPr lang="nl-BE" sz="1000" b="0" i="0" u="none" strike="noStrike" baseline="0">
            <a:solidFill>
              <a:sysClr val="windowText" lastClr="000000"/>
            </a:solidFill>
            <a:latin typeface="Arial"/>
            <a:cs typeface="Arial"/>
          </a:endParaRPr>
        </a:p>
        <a:p>
          <a:pPr algn="l" rtl="0">
            <a:lnSpc>
              <a:spcPts val="1100"/>
            </a:lnSpc>
            <a:defRPr sz="1000"/>
          </a:pPr>
          <a:r>
            <a:rPr lang="nl-BE" sz="1000" b="0" i="0" u="none" strike="noStrike" baseline="0">
              <a:solidFill>
                <a:sysClr val="windowText" lastClr="000000"/>
              </a:solidFill>
              <a:latin typeface="Arial"/>
              <a:cs typeface="Arial"/>
            </a:rPr>
            <a:t>  In het basisonderwijs komen voor het </a:t>
          </a:r>
          <a:r>
            <a:rPr lang="nl-BE" sz="1000" b="0" i="1" u="none" strike="noStrike" baseline="0">
              <a:solidFill>
                <a:sysClr val="windowText" lastClr="000000"/>
              </a:solidFill>
              <a:latin typeface="Arial"/>
              <a:cs typeface="Arial"/>
            </a:rPr>
            <a:t>bestuurs- en onderwijzend personeel </a:t>
          </a:r>
          <a:r>
            <a:rPr lang="nl-BE" sz="1000" b="0" i="0" u="none" strike="noStrike" baseline="0">
              <a:solidFill>
                <a:sysClr val="windowText" lastClr="000000"/>
              </a:solidFill>
              <a:latin typeface="Arial"/>
              <a:cs typeface="Arial"/>
            </a:rPr>
            <a:t>vanaf het schooljaar 2003-2004 ook de </a:t>
          </a:r>
        </a:p>
        <a:p>
          <a:pPr algn="l" rtl="0">
            <a:lnSpc>
              <a:spcPts val="1100"/>
            </a:lnSpc>
            <a:defRPr sz="1000"/>
          </a:pPr>
          <a:r>
            <a:rPr lang="nl-BE" sz="1000" b="0" i="0" u="none" strike="noStrike" baseline="0">
              <a:solidFill>
                <a:sysClr val="windowText" lastClr="000000"/>
              </a:solidFill>
              <a:latin typeface="Arial"/>
              <a:cs typeface="Arial"/>
            </a:rPr>
            <a:t>  leraars LO (kleuteronderwijs) in aanmerking alsook de zorgcoördinatoren.  Eveneens in het basisonderwijs is er bij </a:t>
          </a:r>
        </a:p>
        <a:p>
          <a:pPr algn="l" rtl="0">
            <a:lnSpc>
              <a:spcPts val="1100"/>
            </a:lnSpc>
            <a:defRPr sz="1000"/>
          </a:pPr>
          <a:r>
            <a:rPr lang="nl-BE" sz="1000" b="0" i="0" u="none" strike="noStrike" baseline="0">
              <a:solidFill>
                <a:sysClr val="windowText" lastClr="000000"/>
              </a:solidFill>
              <a:latin typeface="Arial"/>
              <a:cs typeface="Arial"/>
            </a:rPr>
            <a:t>  de </a:t>
          </a:r>
          <a:r>
            <a:rPr lang="nl-BE" sz="1000" b="0" i="1" u="none" strike="noStrike" baseline="0">
              <a:solidFill>
                <a:sysClr val="windowText" lastClr="000000"/>
              </a:solidFill>
              <a:latin typeface="Arial"/>
              <a:cs typeface="Arial"/>
            </a:rPr>
            <a:t>andere personeelscategorieën</a:t>
          </a:r>
          <a:r>
            <a:rPr lang="nl-BE" sz="1000" b="0" i="0" u="none" strike="noStrike" baseline="0">
              <a:solidFill>
                <a:sysClr val="windowText" lastClr="000000"/>
              </a:solidFill>
              <a:latin typeface="Arial"/>
              <a:cs typeface="Arial"/>
            </a:rPr>
            <a:t> een aanzienlijke uitbreiding van het administratief personeel vanaf 2003-2004. De </a:t>
          </a:r>
        </a:p>
        <a:p>
          <a:pPr algn="l" rtl="0">
            <a:lnSpc>
              <a:spcPts val="1100"/>
            </a:lnSpc>
            <a:defRPr sz="1000"/>
          </a:pPr>
          <a:r>
            <a:rPr lang="nl-BE" sz="1000" b="0" i="0" u="none" strike="noStrike" baseline="0">
              <a:solidFill>
                <a:sysClr val="windowText" lastClr="000000"/>
              </a:solidFill>
              <a:latin typeface="Arial"/>
              <a:cs typeface="Arial"/>
            </a:rPr>
            <a:t>  invoering van het onderwijslandschap in het basisonderwijs op 1 september 2003 was een ingrijpende maatregel. Op </a:t>
          </a:r>
        </a:p>
        <a:p>
          <a:pPr algn="l" rtl="0">
            <a:lnSpc>
              <a:spcPts val="1100"/>
            </a:lnSpc>
            <a:defRPr sz="1000"/>
          </a:pPr>
          <a:r>
            <a:rPr lang="nl-BE" sz="1000" b="0" i="0" u="none" strike="noStrike" baseline="0">
              <a:solidFill>
                <a:sysClr val="windowText" lastClr="000000"/>
              </a:solidFill>
              <a:latin typeface="Arial"/>
              <a:cs typeface="Arial"/>
            </a:rPr>
            <a:t>  personeelsvlak was het gevolg dat er een nieuwe personeelscategorie werd ingevoerd in het basisonderwijs, namelijk </a:t>
          </a:r>
        </a:p>
        <a:p>
          <a:pPr algn="l" rtl="0">
            <a:lnSpc>
              <a:spcPts val="1100"/>
            </a:lnSpc>
            <a:defRPr sz="1000"/>
          </a:pPr>
          <a:r>
            <a:rPr lang="nl-BE" sz="1000" b="0" i="0" u="none" strike="noStrike" baseline="0">
              <a:solidFill>
                <a:sysClr val="windowText" lastClr="000000"/>
              </a:solidFill>
              <a:latin typeface="Arial"/>
              <a:cs typeface="Arial"/>
            </a:rPr>
            <a:t>  die van het </a:t>
          </a:r>
          <a:r>
            <a:rPr lang="nl-BE" sz="1000" b="0" i="1" u="none" strike="noStrike" baseline="0">
              <a:solidFill>
                <a:sysClr val="windowText" lastClr="000000"/>
              </a:solidFill>
              <a:latin typeface="Arial"/>
              <a:cs typeface="Arial"/>
            </a:rPr>
            <a:t>beleids-en ondersteunend personeel.</a:t>
          </a:r>
        </a:p>
        <a:p>
          <a:pPr algn="l" rtl="0">
            <a:lnSpc>
              <a:spcPts val="1100"/>
            </a:lnSpc>
            <a:defRPr sz="1000"/>
          </a:pPr>
          <a:endParaRPr lang="nl-BE" sz="1000" b="0" i="1" u="none" strike="noStrike" baseline="0">
            <a:solidFill>
              <a:sysClr val="windowText" lastClr="000000"/>
            </a:solidFill>
            <a:latin typeface="Arial"/>
            <a:cs typeface="Arial"/>
          </a:endParaRPr>
        </a:p>
        <a:p>
          <a:pPr algn="l" rtl="0">
            <a:lnSpc>
              <a:spcPts val="1100"/>
            </a:lnSpc>
            <a:defRPr sz="1000"/>
          </a:pPr>
          <a:r>
            <a:rPr lang="nl-BE" sz="1000" b="0" i="1" u="none" strike="noStrike" baseline="0">
              <a:solidFill>
                <a:sysClr val="windowText" lastClr="000000"/>
              </a:solidFill>
              <a:latin typeface="Arial"/>
              <a:cs typeface="Arial"/>
            </a:rPr>
            <a:t>  Bij het personeel naar onderwijsniveau is bij de categorie 'andere' vanaf het schooljaar 2008-2009 een fikse toename</a:t>
          </a:r>
        </a:p>
        <a:p>
          <a:pPr algn="l" rtl="0">
            <a:lnSpc>
              <a:spcPts val="1100"/>
            </a:lnSpc>
            <a:defRPr sz="1000"/>
          </a:pPr>
          <a:r>
            <a:rPr lang="nl-BE" sz="1000" b="0" i="1" u="none" strike="noStrike" baseline="0">
              <a:solidFill>
                <a:sysClr val="windowText" lastClr="000000"/>
              </a:solidFill>
              <a:latin typeface="Arial"/>
              <a:cs typeface="Arial"/>
            </a:rPr>
            <a:t>  vast te stellen. Dit is te wijten aan een hercodering van de personeelsleden van de internaten. In het verleden werden</a:t>
          </a:r>
        </a:p>
        <a:p>
          <a:pPr algn="l" rtl="0">
            <a:lnSpc>
              <a:spcPts val="1100"/>
            </a:lnSpc>
            <a:defRPr sz="1000"/>
          </a:pPr>
          <a:r>
            <a:rPr lang="nl-BE" sz="1000" b="0" i="1" u="none" strike="noStrike" baseline="0">
              <a:solidFill>
                <a:sysClr val="windowText" lastClr="000000"/>
              </a:solidFill>
              <a:latin typeface="Arial"/>
              <a:cs typeface="Arial"/>
            </a:rPr>
            <a:t>  deze personeelsleden in rekening gebracht bij het onderwijsniveau van de school waaraan het internaat verbonden </a:t>
          </a:r>
        </a:p>
        <a:p>
          <a:pPr algn="l" rtl="0">
            <a:lnSpc>
              <a:spcPts val="1100"/>
            </a:lnSpc>
            <a:defRPr sz="1000"/>
          </a:pPr>
          <a:r>
            <a:rPr lang="nl-BE" sz="1000" b="0" i="1" u="none" strike="noStrike" baseline="0">
              <a:solidFill>
                <a:sysClr val="windowText" lastClr="000000"/>
              </a:solidFill>
              <a:latin typeface="Arial"/>
              <a:cs typeface="Arial"/>
            </a:rPr>
            <a:t>  was. Vanaf dit schooljaar worden deze personeelsleden toegewezen aan de categorie 'andere'. Dit heeft enkel een </a:t>
          </a:r>
        </a:p>
        <a:p>
          <a:pPr algn="l" rtl="0">
            <a:lnSpc>
              <a:spcPts val="1100"/>
            </a:lnSpc>
            <a:defRPr sz="1000"/>
          </a:pPr>
          <a:r>
            <a:rPr lang="nl-BE" sz="1000" b="0" i="1" u="none" strike="noStrike" baseline="0">
              <a:solidFill>
                <a:sysClr val="windowText" lastClr="000000"/>
              </a:solidFill>
              <a:latin typeface="Arial"/>
              <a:cs typeface="Arial"/>
            </a:rPr>
            <a:t>  impact op de 'andere personeelscategorieën'. (En dus niet op het cijfermateriaal inzake bestuurs-en onderwijzend personeel). </a:t>
          </a:r>
        </a:p>
        <a:p>
          <a:pPr algn="l" rtl="0">
            <a:lnSpc>
              <a:spcPts val="1100"/>
            </a:lnSpc>
            <a:defRPr sz="1000"/>
          </a:pPr>
          <a:endParaRPr lang="nl-BE" sz="1000" b="0" i="1" u="none" strike="noStrike" baseline="0">
            <a:solidFill>
              <a:sysClr val="windowText" lastClr="000000"/>
            </a:solidFill>
            <a:latin typeface="Arial"/>
            <a:cs typeface="Arial"/>
          </a:endParaRPr>
        </a:p>
        <a:p>
          <a:pPr algn="l" rtl="0">
            <a:lnSpc>
              <a:spcPts val="1100"/>
            </a:lnSpc>
            <a:defRPr sz="1000"/>
          </a:pPr>
          <a:r>
            <a:rPr lang="nl-BE" sz="1000" b="0" i="1" u="none" strike="noStrike" baseline="0">
              <a:solidFill>
                <a:sysClr val="windowText" lastClr="000000"/>
              </a:solidFill>
              <a:latin typeface="Arial"/>
              <a:cs typeface="Arial"/>
            </a:rPr>
            <a:t> </a:t>
          </a:r>
          <a:r>
            <a:rPr lang="nl-BE" sz="1000" b="0" i="0" u="none" strike="noStrike" baseline="0">
              <a:solidFill>
                <a:sysClr val="windowText" lastClr="000000"/>
              </a:solidFill>
              <a:latin typeface="Arial"/>
              <a:cs typeface="Arial"/>
            </a:rPr>
            <a:t>Vanaf 1 september 2008 wordt de betaling van de personeelsleden van de Centra voor Basiseducatie overgenomen door het         </a:t>
          </a:r>
          <a:r>
            <a:rPr lang="nl-BE" sz="1000" b="0" i="1" u="none" strike="noStrike" baseline="0">
              <a:solidFill>
                <a:sysClr val="windowText" lastClr="000000"/>
              </a:solidFill>
              <a:latin typeface="Arial"/>
              <a:cs typeface="Arial"/>
            </a:rPr>
            <a:t>                </a:t>
          </a:r>
          <a:endParaRPr lang="nl-BE" sz="1000" b="0" i="0" u="none" strike="noStrike" baseline="0">
            <a:solidFill>
              <a:sysClr val="windowText" lastClr="000000"/>
            </a:solidFill>
            <a:latin typeface="Arial"/>
            <a:cs typeface="Arial"/>
          </a:endParaRPr>
        </a:p>
        <a:p>
          <a:pPr algn="l" rtl="0">
            <a:lnSpc>
              <a:spcPts val="1100"/>
            </a:lnSpc>
            <a:defRPr sz="1000"/>
          </a:pPr>
          <a:r>
            <a:rPr lang="nl-BE" sz="1000" b="0" i="0" u="none" strike="noStrike" baseline="0">
              <a:solidFill>
                <a:sysClr val="windowText" lastClr="000000"/>
              </a:solidFill>
              <a:latin typeface="Arial"/>
              <a:cs typeface="Arial"/>
            </a:rPr>
            <a:t>  Beleidsdomein Onderwijs en Vorming. Vanaf die datum treedt het Beleidsdomein op als 'derde betaler' voor die      </a:t>
          </a:r>
        </a:p>
        <a:p>
          <a:pPr algn="l" rtl="0">
            <a:lnSpc>
              <a:spcPts val="1100"/>
            </a:lnSpc>
            <a:defRPr sz="1000"/>
          </a:pPr>
          <a:r>
            <a:rPr lang="nl-BE" sz="1000" b="0" i="0" u="none" strike="noStrike" baseline="0">
              <a:solidFill>
                <a:sysClr val="windowText" lastClr="000000"/>
              </a:solidFill>
              <a:latin typeface="Arial"/>
              <a:cs typeface="Arial"/>
            </a:rPr>
            <a:t>  personeelsleden die met een arbeidsovereenkomst verbonden zijn aan een Centrum voor Basiseducatie (Contractueel door </a:t>
          </a:r>
        </a:p>
        <a:p>
          <a:pPr algn="l" rtl="0">
            <a:lnSpc>
              <a:spcPts val="1100"/>
            </a:lnSpc>
            <a:defRPr sz="1000"/>
          </a:pPr>
          <a:r>
            <a:rPr lang="nl-BE" sz="1000" b="0" i="0" u="none" strike="noStrike" baseline="0">
              <a:solidFill>
                <a:sysClr val="windowText" lastClr="000000"/>
              </a:solidFill>
              <a:latin typeface="Arial"/>
              <a:cs typeface="Arial"/>
            </a:rPr>
            <a:t>  Onderwijs) en die niet op een andere wijze worden betaald. Op basis van de invoering van het decreet op het  Volwassenenonderwijs</a:t>
          </a:r>
        </a:p>
        <a:p>
          <a:pPr algn="l" rtl="0">
            <a:lnSpc>
              <a:spcPts val="1100"/>
            </a:lnSpc>
            <a:defRPr sz="1000"/>
          </a:pPr>
          <a:r>
            <a:rPr lang="nl-BE" sz="1000" b="0" i="0" u="none" strike="noStrike" baseline="0">
              <a:solidFill>
                <a:sysClr val="windowText" lastClr="000000"/>
              </a:solidFill>
              <a:latin typeface="Arial"/>
              <a:cs typeface="Arial"/>
            </a:rPr>
            <a:t>  van 15 juni 2007 wordt dit derdebetalersysteem ingevoerd.</a:t>
          </a:r>
        </a:p>
        <a:p>
          <a:pPr algn="l" rtl="0">
            <a:lnSpc>
              <a:spcPts val="1100"/>
            </a:lnSpc>
            <a:defRPr sz="1000"/>
          </a:pPr>
          <a:endParaRPr lang="nl-BE" sz="1000" b="0" i="0" u="none" strike="noStrike" baseline="0">
            <a:solidFill>
              <a:sysClr val="windowText" lastClr="000000"/>
            </a:solidFill>
            <a:latin typeface="Arial"/>
            <a:cs typeface="Arial"/>
          </a:endParaRPr>
        </a:p>
        <a:p>
          <a:pPr algn="l" rtl="0">
            <a:lnSpc>
              <a:spcPts val="1100"/>
            </a:lnSpc>
            <a:defRPr sz="1000"/>
          </a:pPr>
          <a:r>
            <a:rPr lang="nl-BE" sz="1000" b="0" i="0" u="none" strike="noStrike" baseline="0">
              <a:solidFill>
                <a:sysClr val="windowText" lastClr="000000"/>
              </a:solidFill>
              <a:latin typeface="Arial"/>
              <a:cs typeface="Arial"/>
            </a:rPr>
            <a:t>  Het hoger beroepsonderwijs behoort juridisch tot het hoger onderwijs. Hoger beroepsonderwijs kan worden ingericht door </a:t>
          </a:r>
        </a:p>
        <a:p>
          <a:pPr algn="l" rtl="0">
            <a:lnSpc>
              <a:spcPts val="1100"/>
            </a:lnSpc>
            <a:defRPr sz="1000"/>
          </a:pPr>
          <a:r>
            <a:rPr lang="nl-BE" sz="1000" b="0" i="0" u="none" strike="noStrike" baseline="0">
              <a:solidFill>
                <a:sysClr val="windowText" lastClr="000000"/>
              </a:solidFill>
              <a:latin typeface="Arial"/>
              <a:cs typeface="Arial"/>
            </a:rPr>
            <a:t>  centra voor volwassenenonderwijs, hogescholen en scholen voor voltijds secundair onderwijs (HBO5-verpleegkunde). In </a:t>
          </a:r>
        </a:p>
        <a:p>
          <a:pPr algn="l" rtl="0">
            <a:lnSpc>
              <a:spcPts val="1100"/>
            </a:lnSpc>
            <a:defRPr sz="1000"/>
          </a:pPr>
          <a:r>
            <a:rPr lang="nl-BE" sz="1000" b="0" i="0" u="none" strike="noStrike" baseline="0">
              <a:solidFill>
                <a:sysClr val="windowText" lastClr="000000"/>
              </a:solidFill>
              <a:latin typeface="Arial"/>
              <a:cs typeface="Arial"/>
            </a:rPr>
            <a:t>  2012-2013 werd nog geen hoger beroepsonderwijs ingericht in de hogescholen. </a:t>
          </a:r>
        </a:p>
        <a:p>
          <a:pPr algn="l" rtl="0">
            <a:lnSpc>
              <a:spcPts val="1100"/>
            </a:lnSpc>
            <a:defRPr sz="1000"/>
          </a:pPr>
          <a:r>
            <a:rPr lang="nl-BE" sz="1000" b="0" i="0" u="none" strike="noStrike" baseline="0">
              <a:solidFill>
                <a:sysClr val="windowText" lastClr="000000"/>
              </a:solidFill>
              <a:latin typeface="Arial"/>
              <a:cs typeface="Arial"/>
            </a:rPr>
            <a:t> </a:t>
          </a:r>
        </a:p>
        <a:p>
          <a:pPr algn="l" rtl="0">
            <a:lnSpc>
              <a:spcPts val="1100"/>
            </a:lnSpc>
            <a:defRPr sz="1000"/>
          </a:pPr>
          <a:r>
            <a:rPr lang="nl-BE" sz="1000" b="0" i="0" u="none" strike="noStrike" baseline="0">
              <a:solidFill>
                <a:sysClr val="windowText" lastClr="000000"/>
              </a:solidFill>
              <a:latin typeface="Arial"/>
              <a:cs typeface="Arial"/>
            </a:rPr>
            <a:t>  Op 1 september 2009 werd de vierde graad verpleegkunde afgesplitst van het secundair onderwijs en ondergebracht in het </a:t>
          </a:r>
        </a:p>
        <a:p>
          <a:pPr algn="l" rtl="0">
            <a:lnSpc>
              <a:spcPts val="1100"/>
            </a:lnSpc>
            <a:defRPr sz="1000"/>
          </a:pPr>
          <a:r>
            <a:rPr lang="nl-BE" sz="1000" b="0" i="0" u="none" strike="noStrike" baseline="0">
              <a:solidFill>
                <a:sysClr val="windowText" lastClr="000000"/>
              </a:solidFill>
              <a:latin typeface="Arial"/>
              <a:cs typeface="Arial"/>
            </a:rPr>
            <a:t>  hoger beroepsonderwijs (HBO5). In 2012-2013 waren er 20 secundaire scholen die HBO5-verpleegkunde inrichtten. Vier </a:t>
          </a:r>
        </a:p>
        <a:p>
          <a:pPr algn="l" rtl="0">
            <a:lnSpc>
              <a:spcPts val="1100"/>
            </a:lnSpc>
            <a:defRPr sz="1000"/>
          </a:pPr>
          <a:r>
            <a:rPr lang="nl-BE" sz="1000" b="0" i="0" u="none" strike="noStrike" baseline="0">
              <a:solidFill>
                <a:sysClr val="windowText" lastClr="000000"/>
              </a:solidFill>
              <a:latin typeface="Arial"/>
              <a:cs typeface="Arial"/>
            </a:rPr>
            <a:t>  daarvan richtten enkel HBO5-verpleegkunde in. De overige zestien scholen richtten, naast HBO5-verpleegkunde, ook (en </a:t>
          </a:r>
        </a:p>
        <a:p>
          <a:pPr algn="l" rtl="0">
            <a:lnSpc>
              <a:spcPts val="1100"/>
            </a:lnSpc>
            <a:defRPr sz="1000"/>
          </a:pPr>
          <a:r>
            <a:rPr lang="nl-BE" sz="1000" b="0" i="0" u="none" strike="noStrike" baseline="0">
              <a:solidFill>
                <a:sysClr val="windowText" lastClr="000000"/>
              </a:solidFill>
              <a:latin typeface="Arial"/>
              <a:cs typeface="Arial"/>
            </a:rPr>
            <a:t>  hoofdzakelijk) voltijds gewoon secundair onderwijs in. </a:t>
          </a:r>
        </a:p>
        <a:p>
          <a:pPr algn="l" rtl="0">
            <a:lnSpc>
              <a:spcPts val="1100"/>
            </a:lnSpc>
            <a:defRPr sz="1000"/>
          </a:pPr>
          <a:r>
            <a:rPr lang="nl-BE" sz="1000" b="0" i="0" u="none" strike="noStrike" baseline="0">
              <a:solidFill>
                <a:sysClr val="windowText" lastClr="000000"/>
              </a:solidFill>
              <a:latin typeface="Arial"/>
              <a:cs typeface="Arial"/>
            </a:rPr>
            <a:t> </a:t>
          </a:r>
        </a:p>
        <a:p>
          <a:pPr algn="l" rtl="0">
            <a:lnSpc>
              <a:spcPts val="1100"/>
            </a:lnSpc>
            <a:defRPr sz="1000"/>
          </a:pPr>
          <a:r>
            <a:rPr lang="nl-BE" sz="1000" b="0" i="0" u="none" strike="noStrike" baseline="0">
              <a:solidFill>
                <a:sysClr val="windowText" lastClr="000000"/>
              </a:solidFill>
              <a:latin typeface="Arial"/>
              <a:cs typeface="Arial"/>
            </a:rPr>
            <a:t>  Niet voor alle personeelscategorieën kan een onderscheid gemaakt worden tussen 'secundair onderwijs' en 'HBO5-</a:t>
          </a:r>
        </a:p>
        <a:p>
          <a:pPr algn="l" rtl="0">
            <a:lnSpc>
              <a:spcPts val="1100"/>
            </a:lnSpc>
            <a:defRPr sz="1000"/>
          </a:pPr>
          <a:r>
            <a:rPr lang="nl-BE" sz="1000" b="0" i="0" u="none" strike="noStrike" baseline="0">
              <a:solidFill>
                <a:sysClr val="windowText" lastClr="000000"/>
              </a:solidFill>
              <a:latin typeface="Arial"/>
              <a:cs typeface="Arial"/>
            </a:rPr>
            <a:t>  verpleegkunde'. In de tabellen betekent dit het volgende:</a:t>
          </a:r>
        </a:p>
        <a:p>
          <a:pPr algn="l" rtl="0">
            <a:lnSpc>
              <a:spcPts val="1100"/>
            </a:lnSpc>
            <a:defRPr sz="1000"/>
          </a:pPr>
          <a:r>
            <a:rPr lang="nl-BE" sz="1000" b="0" i="0" u="none" strike="noStrike" baseline="0">
              <a:solidFill>
                <a:sysClr val="windowText" lastClr="000000"/>
              </a:solidFill>
              <a:latin typeface="Arial"/>
              <a:cs typeface="Arial"/>
            </a:rPr>
            <a:t>  -bestuurs- en onderwijzend personeel :</a:t>
          </a:r>
        </a:p>
        <a:p>
          <a:pPr algn="l" rtl="0">
            <a:lnSpc>
              <a:spcPts val="1100"/>
            </a:lnSpc>
            <a:defRPr sz="1000"/>
          </a:pPr>
          <a:r>
            <a:rPr lang="nl-BE" sz="1000" b="0" i="0" u="none" strike="noStrike" baseline="0">
              <a:solidFill>
                <a:sysClr val="windowText" lastClr="000000"/>
              </a:solidFill>
              <a:latin typeface="Arial"/>
              <a:cs typeface="Arial"/>
            </a:rPr>
            <a:t>  het bestuurs- en onderwijzend personeel van de 4 scholen + het onderwijzend personeel van de 16 scholen waar zowel </a:t>
          </a:r>
        </a:p>
        <a:p>
          <a:pPr algn="l" rtl="0">
            <a:lnSpc>
              <a:spcPts val="1100"/>
            </a:lnSpc>
            <a:defRPr sz="1000"/>
          </a:pPr>
          <a:r>
            <a:rPr lang="nl-BE" sz="1000" b="0" i="0" u="none" strike="noStrike" baseline="0">
              <a:solidFill>
                <a:sysClr val="windowText" lastClr="000000"/>
              </a:solidFill>
              <a:latin typeface="Arial"/>
              <a:cs typeface="Arial"/>
            </a:rPr>
            <a:t>  voltijds secundair onderwijs als HBO5-verpleegkunde werd ingericht, zijn in de data van HBO5-verpleegkunde vervat. Het </a:t>
          </a:r>
        </a:p>
        <a:p>
          <a:pPr algn="l" rtl="0">
            <a:lnSpc>
              <a:spcPts val="1100"/>
            </a:lnSpc>
            <a:defRPr sz="1000"/>
          </a:pPr>
          <a:r>
            <a:rPr lang="nl-BE" sz="1000" b="0" i="0" u="none" strike="noStrike" baseline="0">
              <a:solidFill>
                <a:sysClr val="windowText" lastClr="000000"/>
              </a:solidFill>
              <a:latin typeface="Arial"/>
              <a:cs typeface="Arial"/>
            </a:rPr>
            <a:t>  bestuurspersoneel van deze 16 scholen is inbegrepen in de data van het voltijds gewoon secundair onderwijs.</a:t>
          </a:r>
        </a:p>
        <a:p>
          <a:pPr algn="l" rtl="0">
            <a:lnSpc>
              <a:spcPts val="1100"/>
            </a:lnSpc>
            <a:defRPr sz="1000"/>
          </a:pPr>
          <a:r>
            <a:rPr lang="nl-BE" sz="1000" b="0" i="0" u="none" strike="noStrike" baseline="0">
              <a:solidFill>
                <a:sysClr val="windowText" lastClr="000000"/>
              </a:solidFill>
              <a:latin typeface="Arial"/>
              <a:cs typeface="Arial"/>
            </a:rPr>
            <a:t>  - andere personeelscategorieën :</a:t>
          </a:r>
        </a:p>
        <a:p>
          <a:pPr algn="l" rtl="0">
            <a:lnSpc>
              <a:spcPts val="1100"/>
            </a:lnSpc>
            <a:defRPr sz="1000"/>
          </a:pPr>
          <a:r>
            <a:rPr lang="nl-BE" sz="1000" b="0" i="0" u="none" strike="noStrike" baseline="0">
              <a:solidFill>
                <a:sysClr val="windowText" lastClr="000000"/>
              </a:solidFill>
              <a:latin typeface="Arial"/>
              <a:cs typeface="Arial"/>
            </a:rPr>
            <a:t>  'andere personeelscategorieën' bevat voor HBO5-verpleegkunde enkel de gegevens van de 4 scholen die alleen HBO5-</a:t>
          </a:r>
        </a:p>
        <a:p>
          <a:pPr algn="l" rtl="0">
            <a:lnSpc>
              <a:spcPts val="1100"/>
            </a:lnSpc>
            <a:defRPr sz="1000"/>
          </a:pPr>
          <a:r>
            <a:rPr lang="nl-BE" sz="1000" b="0" i="0" u="none" strike="noStrike" baseline="0">
              <a:solidFill>
                <a:sysClr val="windowText" lastClr="000000"/>
              </a:solidFill>
              <a:latin typeface="Arial"/>
              <a:cs typeface="Arial"/>
            </a:rPr>
            <a:t>  verpleegkunde inrichtten . De 'andere personeelscategorieën' van de 16 scholen waar zowel voltijds secundair </a:t>
          </a:r>
        </a:p>
        <a:p>
          <a:pPr algn="l" rtl="0">
            <a:lnSpc>
              <a:spcPts val="1100"/>
            </a:lnSpc>
            <a:defRPr sz="1000"/>
          </a:pPr>
          <a:r>
            <a:rPr lang="nl-BE" sz="1000" b="0" i="0" u="none" strike="noStrike" baseline="0">
              <a:solidFill>
                <a:sysClr val="windowText" lastClr="000000"/>
              </a:solidFill>
              <a:latin typeface="Arial"/>
              <a:cs typeface="Arial"/>
            </a:rPr>
            <a:t>  onderwijs als HBO5-verpleegkunde werd ingericht, zijn meegeteld in de tabellen van het secundair onderwijs.</a:t>
          </a:r>
        </a:p>
        <a:p>
          <a:pPr algn="l" rtl="0">
            <a:lnSpc>
              <a:spcPts val="1100"/>
            </a:lnSpc>
            <a:defRPr sz="1000"/>
          </a:pPr>
          <a:r>
            <a:rPr lang="nl-BE" sz="1000" b="0" i="0" u="none" strike="noStrike" baseline="0">
              <a:solidFill>
                <a:sysClr val="windowText" lastClr="000000"/>
              </a:solidFill>
              <a:latin typeface="Arial"/>
              <a:cs typeface="Arial"/>
            </a:rPr>
            <a:t> </a:t>
          </a:r>
          <a:endParaRPr lang="nl-BE" sz="1000" b="0" i="1" u="none" strike="noStrike" baseline="0">
            <a:solidFill>
              <a:sysClr val="windowText" lastClr="000000"/>
            </a:solidFill>
            <a:latin typeface="Arial"/>
            <a:cs typeface="Arial"/>
          </a:endParaRPr>
        </a:p>
        <a:p>
          <a:pPr algn="l" rtl="0">
            <a:lnSpc>
              <a:spcPts val="1100"/>
            </a:lnSpc>
            <a:defRPr sz="1000"/>
          </a:pPr>
          <a:r>
            <a:rPr lang="nl-BE" sz="1000" b="1" i="1" u="none" strike="noStrike" baseline="0">
              <a:solidFill>
                <a:sysClr val="windowText" lastClr="000000"/>
              </a:solidFill>
              <a:latin typeface="Arial"/>
              <a:cs typeface="Arial"/>
            </a:rPr>
            <a:t>  </a:t>
          </a:r>
          <a:r>
            <a:rPr lang="nl-BE" sz="1000" b="1" i="1" u="sng" strike="noStrike" baseline="0">
              <a:solidFill>
                <a:sysClr val="windowText" lastClr="000000"/>
              </a:solidFill>
              <a:latin typeface="Arial"/>
              <a:cs typeface="Arial"/>
            </a:rPr>
            <a:t>Fysieke personen</a:t>
          </a:r>
          <a:r>
            <a:rPr lang="nl-BE" sz="1000" b="1" i="0" u="sng" strike="noStrike" baseline="0">
              <a:solidFill>
                <a:sysClr val="windowText" lastClr="000000"/>
              </a:solidFill>
              <a:latin typeface="Arial"/>
              <a:cs typeface="Arial"/>
            </a:rPr>
            <a:t> en </a:t>
          </a:r>
          <a:r>
            <a:rPr lang="nl-BE" sz="1000" b="1" i="1" u="sng" strike="noStrike" baseline="0">
              <a:solidFill>
                <a:sysClr val="windowText" lastClr="000000"/>
              </a:solidFill>
              <a:latin typeface="Arial"/>
              <a:cs typeface="Arial"/>
            </a:rPr>
            <a:t>budgettaire fulltime-equivalenten</a:t>
          </a:r>
          <a:endParaRPr lang="nl-BE" sz="1000" b="1" i="0" u="none" strike="noStrike" baseline="0">
            <a:solidFill>
              <a:sysClr val="windowText" lastClr="000000"/>
            </a:solidFill>
            <a:latin typeface="Arial"/>
            <a:cs typeface="Arial"/>
          </a:endParaRPr>
        </a:p>
        <a:p>
          <a:pPr algn="l" rtl="0">
            <a:lnSpc>
              <a:spcPts val="1100"/>
            </a:lnSpc>
            <a:defRPr sz="1000"/>
          </a:pPr>
          <a:r>
            <a:rPr lang="nl-BE" sz="1000" b="0" i="0" u="none" strike="noStrike" baseline="0">
              <a:solidFill>
                <a:sysClr val="windowText" lastClr="000000"/>
              </a:solidFill>
              <a:latin typeface="Arial"/>
              <a:cs typeface="Arial"/>
            </a:rPr>
            <a:t>  De personeelsleden worden uitgedrukt in </a:t>
          </a:r>
          <a:r>
            <a:rPr lang="nl-BE" sz="1000" b="0" i="1" u="none" strike="noStrike" baseline="0">
              <a:solidFill>
                <a:sysClr val="windowText" lastClr="000000"/>
              </a:solidFill>
              <a:latin typeface="Arial"/>
              <a:cs typeface="Arial"/>
            </a:rPr>
            <a:t>aantal fysieke personen</a:t>
          </a:r>
          <a:r>
            <a:rPr lang="nl-BE" sz="1000" b="0" i="0" u="none" strike="noStrike" baseline="0">
              <a:solidFill>
                <a:sysClr val="windowText" lastClr="000000"/>
              </a:solidFill>
              <a:latin typeface="Arial"/>
              <a:cs typeface="Arial"/>
            </a:rPr>
            <a:t> en in </a:t>
          </a:r>
          <a:r>
            <a:rPr lang="nl-BE" sz="1000" b="0" i="1" u="none" strike="noStrike" baseline="0">
              <a:solidFill>
                <a:sysClr val="windowText" lastClr="000000"/>
              </a:solidFill>
              <a:latin typeface="Arial"/>
              <a:cs typeface="Arial"/>
            </a:rPr>
            <a:t>budgettaire fulltime-equivalenten</a:t>
          </a:r>
          <a:r>
            <a:rPr lang="nl-BE" sz="1000" b="0" i="0" u="none" strike="noStrike" baseline="0">
              <a:solidFill>
                <a:sysClr val="windowText" lastClr="000000"/>
              </a:solidFill>
              <a:latin typeface="Arial"/>
              <a:cs typeface="Arial"/>
            </a:rPr>
            <a:t>.  De fysieke personen </a:t>
          </a:r>
        </a:p>
        <a:p>
          <a:pPr algn="l" rtl="0">
            <a:lnSpc>
              <a:spcPts val="1100"/>
            </a:lnSpc>
            <a:defRPr sz="1000"/>
          </a:pPr>
          <a:r>
            <a:rPr lang="nl-BE" sz="1000" b="0" i="0" u="none" strike="noStrike" baseline="0">
              <a:solidFill>
                <a:sysClr val="windowText" lastClr="000000"/>
              </a:solidFill>
              <a:latin typeface="Arial"/>
              <a:cs typeface="Arial"/>
            </a:rPr>
            <a:t>  worden geregistreerd in het onderwijsniveau en -net waar zij de grootste lesopdracht hebben. Er wordt rekening gehouden met korte                                        </a:t>
          </a:r>
        </a:p>
        <a:p>
          <a:pPr algn="l" rtl="0">
            <a:lnSpc>
              <a:spcPts val="1100"/>
            </a:lnSpc>
            <a:defRPr sz="1000"/>
          </a:pPr>
          <a:r>
            <a:rPr lang="nl-BE" sz="1000" b="0" i="0" u="none" strike="noStrike" baseline="0">
              <a:solidFill>
                <a:sysClr val="windowText" lastClr="000000"/>
              </a:solidFill>
              <a:latin typeface="Arial"/>
              <a:cs typeface="Arial"/>
            </a:rPr>
            <a:t>  vervangingen. </a:t>
          </a:r>
          <a:r>
            <a:rPr lang="nl-BE" sz="1000" b="0" i="0" u="sng" strike="noStrike" baseline="0">
              <a:solidFill>
                <a:sysClr val="windowText" lastClr="000000"/>
              </a:solidFill>
              <a:latin typeface="Arial"/>
              <a:cs typeface="Arial"/>
            </a:rPr>
            <a:t>Alle</a:t>
          </a:r>
          <a:r>
            <a:rPr lang="nl-BE" sz="1000" b="0" i="0" u="none" strike="noStrike" baseline="0">
              <a:solidFill>
                <a:sysClr val="windowText" lastClr="000000"/>
              </a:solidFill>
              <a:latin typeface="Arial"/>
              <a:cs typeface="Arial"/>
            </a:rPr>
            <a:t> vervangingen zitten dus in de tabellen</a:t>
          </a:r>
          <a:r>
            <a:rPr lang="nl-BE" sz="1000" b="0" i="1" u="none" strike="noStrike" baseline="0">
              <a:solidFill>
                <a:sysClr val="windowText" lastClr="000000"/>
              </a:solidFill>
              <a:latin typeface="Arial"/>
              <a:cs typeface="Arial"/>
            </a:rPr>
            <a:t> fysieke personen</a:t>
          </a:r>
          <a:r>
            <a:rPr lang="nl-BE" sz="1000" b="0" i="0" u="none" strike="noStrike" baseline="0">
              <a:solidFill>
                <a:sysClr val="windowText" lastClr="000000"/>
              </a:solidFill>
              <a:latin typeface="Arial"/>
              <a:cs typeface="Arial"/>
            </a:rPr>
            <a:t> en</a:t>
          </a:r>
          <a:r>
            <a:rPr lang="nl-BE" sz="1000" b="0" i="1" u="none" strike="noStrike" baseline="0">
              <a:solidFill>
                <a:sysClr val="windowText" lastClr="000000"/>
              </a:solidFill>
              <a:latin typeface="Arial"/>
              <a:cs typeface="Arial"/>
            </a:rPr>
            <a:t> budgettaire fulltime-equivalenten.</a:t>
          </a:r>
        </a:p>
        <a:p>
          <a:pPr algn="l" rtl="0">
            <a:lnSpc>
              <a:spcPts val="1100"/>
            </a:lnSpc>
            <a:defRPr sz="1000"/>
          </a:pPr>
          <a:r>
            <a:rPr lang="nl-BE" sz="1000" b="0" i="1" u="none" strike="noStrike" baseline="0">
              <a:solidFill>
                <a:sysClr val="windowText" lastClr="000000"/>
              </a:solidFill>
              <a:latin typeface="Arial"/>
              <a:cs typeface="Arial"/>
            </a:rPr>
            <a:t>  </a:t>
          </a:r>
          <a:r>
            <a:rPr lang="nl-BE" sz="1000" b="0" i="0" u="none" strike="noStrike" baseline="0">
              <a:solidFill>
                <a:sysClr val="windowText" lastClr="000000"/>
              </a:solidFill>
              <a:latin typeface="Arial"/>
              <a:cs typeface="Arial"/>
            </a:rPr>
            <a:t>Voor het universitair onderwijs zijn de gastprofessoren en vervroegd gepensioneerden in het cijfermateriaal opgenomen voor wat </a:t>
          </a:r>
        </a:p>
        <a:p>
          <a:pPr algn="l" rtl="0">
            <a:lnSpc>
              <a:spcPts val="1100"/>
            </a:lnSpc>
            <a:defRPr sz="1000"/>
          </a:pPr>
          <a:r>
            <a:rPr lang="nl-BE" sz="1000" b="0" i="0" u="none" strike="noStrike" baseline="0">
              <a:solidFill>
                <a:sysClr val="windowText" lastClr="000000"/>
              </a:solidFill>
              <a:latin typeface="Arial"/>
              <a:cs typeface="Arial"/>
            </a:rPr>
            <a:t>  betreft het aantal personeelsleden en niet voor de budgettaire fulltime-equivalenten.</a:t>
          </a:r>
        </a:p>
        <a:p>
          <a:pPr algn="l" rtl="0">
            <a:lnSpc>
              <a:spcPts val="1100"/>
            </a:lnSpc>
            <a:defRPr sz="1000"/>
          </a:pPr>
          <a:endParaRPr lang="nl-BE" sz="1000" b="0" i="0" u="none" strike="noStrike" baseline="0">
            <a:solidFill>
              <a:sysClr val="windowText" lastClr="000000"/>
            </a:solidFill>
            <a:latin typeface="Arial"/>
            <a:cs typeface="Arial"/>
          </a:endParaRPr>
        </a:p>
        <a:p>
          <a:pPr algn="l" rtl="0">
            <a:lnSpc>
              <a:spcPts val="1100"/>
            </a:lnSpc>
            <a:defRPr sz="1000"/>
          </a:pPr>
          <a:r>
            <a:rPr lang="nl-BE" sz="1000" b="0" i="0" u="none" strike="noStrike" baseline="0">
              <a:solidFill>
                <a:sysClr val="windowText" lastClr="000000"/>
              </a:solidFill>
              <a:latin typeface="Arial"/>
              <a:cs typeface="Arial"/>
            </a:rPr>
            <a:t>  De </a:t>
          </a:r>
          <a:r>
            <a:rPr lang="nl-BE" sz="1000" b="0" i="1" u="none" strike="noStrike" baseline="0">
              <a:solidFill>
                <a:sysClr val="windowText" lastClr="000000"/>
              </a:solidFill>
              <a:latin typeface="Arial"/>
              <a:cs typeface="Arial"/>
            </a:rPr>
            <a:t>budgettaire fulltimes</a:t>
          </a:r>
          <a:r>
            <a:rPr lang="nl-BE" sz="1000" b="0" i="0" u="none" strike="noStrike" baseline="0">
              <a:solidFill>
                <a:sysClr val="windowText" lastClr="000000"/>
              </a:solidFill>
              <a:latin typeface="Arial"/>
              <a:cs typeface="Arial"/>
            </a:rPr>
            <a:t> zijn het resultaat van de sommatie van alle deelopdrachten van alle personeelsleden (m.a.w. met inbegrip </a:t>
          </a:r>
        </a:p>
        <a:p>
          <a:pPr algn="l" rtl="0">
            <a:lnSpc>
              <a:spcPts val="1100"/>
            </a:lnSpc>
            <a:defRPr sz="1000"/>
          </a:pPr>
          <a:r>
            <a:rPr lang="nl-BE" sz="1000" b="0" i="0" u="none" strike="noStrike" baseline="0">
              <a:solidFill>
                <a:sysClr val="windowText" lastClr="000000"/>
              </a:solidFill>
              <a:latin typeface="Arial"/>
              <a:cs typeface="Arial"/>
            </a:rPr>
            <a:t>  van de vervangingen van minder dan een jaar). Bij het hogescholenonderwijs zijn de lesopdrachten van de gastprofessoren en de </a:t>
          </a:r>
        </a:p>
        <a:p>
          <a:pPr algn="l" rtl="0">
            <a:lnSpc>
              <a:spcPts val="1100"/>
            </a:lnSpc>
            <a:defRPr sz="1000"/>
          </a:pPr>
          <a:r>
            <a:rPr lang="nl-BE" sz="1000" b="0" i="0" u="none" strike="noStrike" baseline="0">
              <a:solidFill>
                <a:sysClr val="windowText" lastClr="000000"/>
              </a:solidFill>
              <a:latin typeface="Arial"/>
              <a:cs typeface="Arial"/>
            </a:rPr>
            <a:t>  mandaatsvergoedingen niet opgenomen in de budgettaire fulltimes. Dit geldt vanaf het academiejaar 1995-1996. Naast de </a:t>
          </a:r>
        </a:p>
        <a:p>
          <a:pPr algn="l" rtl="0">
            <a:lnSpc>
              <a:spcPts val="1100"/>
            </a:lnSpc>
            <a:defRPr sz="1000"/>
          </a:pPr>
          <a:r>
            <a:rPr lang="nl-BE" sz="1000" b="0" i="0" u="none" strike="noStrike" baseline="0">
              <a:solidFill>
                <a:sysClr val="windowText" lastClr="000000"/>
              </a:solidFill>
              <a:latin typeface="Arial"/>
              <a:cs typeface="Arial"/>
            </a:rPr>
            <a:t>  detailgegevens voor het schooljaar 2012-2013 is er ook een historische reeks weergegeven vanaf het schooljaar 2005-2006.Door een                </a:t>
          </a:r>
        </a:p>
        <a:p>
          <a:pPr algn="l" rtl="0">
            <a:lnSpc>
              <a:spcPts val="1100"/>
            </a:lnSpc>
            <a:defRPr sz="1000"/>
          </a:pPr>
          <a:r>
            <a:rPr lang="nl-BE" sz="1000" b="0" i="0" u="none" strike="noStrike" baseline="0">
              <a:solidFill>
                <a:sysClr val="windowText" lastClr="000000"/>
              </a:solidFill>
              <a:latin typeface="Arial"/>
              <a:cs typeface="Arial"/>
            </a:rPr>
            <a:t>  staking in de maand januari 2012 kunnen de vermelde budgettaire fulltime-equivalenten voor januari 2012 lager uitvallen dan normaal.</a:t>
          </a:r>
        </a:p>
        <a:p>
          <a:pPr algn="l" rtl="0">
            <a:lnSpc>
              <a:spcPts val="1100"/>
            </a:lnSpc>
            <a:defRPr sz="1000"/>
          </a:pPr>
          <a:endParaRPr lang="nl-BE" sz="1000" b="0" i="0" u="none" strike="noStrike" baseline="0">
            <a:solidFill>
              <a:sysClr val="windowText" lastClr="000000"/>
            </a:solidFill>
            <a:latin typeface="Arial"/>
            <a:cs typeface="Arial"/>
          </a:endParaRPr>
        </a:p>
        <a:p>
          <a:pPr algn="l" rtl="0">
            <a:lnSpc>
              <a:spcPts val="1100"/>
            </a:lnSpc>
            <a:defRPr sz="1000"/>
          </a:pPr>
          <a:r>
            <a:rPr lang="nl-BE" sz="1000" b="0" i="1" u="none" strike="noStrike" baseline="0">
              <a:solidFill>
                <a:sysClr val="windowText" lastClr="000000"/>
              </a:solidFill>
              <a:latin typeface="Arial"/>
              <a:cs typeface="Arial"/>
            </a:rPr>
            <a:t>  </a:t>
          </a:r>
          <a:r>
            <a:rPr lang="nl-BE" sz="1000" b="1" i="1" u="sng" strike="noStrike" baseline="0">
              <a:solidFill>
                <a:sysClr val="windowText" lastClr="000000"/>
              </a:solidFill>
              <a:latin typeface="Arial"/>
              <a:cs typeface="Arial"/>
            </a:rPr>
            <a:t>Bestuurspersoneel</a:t>
          </a:r>
          <a:endParaRPr lang="nl-BE" sz="1000" b="1" i="0" u="sng" strike="noStrike" baseline="0">
            <a:solidFill>
              <a:sysClr val="windowText" lastClr="000000"/>
            </a:solidFill>
            <a:latin typeface="Arial"/>
            <a:cs typeface="Arial"/>
          </a:endParaRPr>
        </a:p>
        <a:p>
          <a:pPr algn="l" rtl="0">
            <a:lnSpc>
              <a:spcPts val="1100"/>
            </a:lnSpc>
            <a:defRPr sz="1000"/>
          </a:pPr>
          <a:r>
            <a:rPr lang="nl-BE" sz="1000" b="0" i="0" u="none" strike="noStrike" baseline="0">
              <a:solidFill>
                <a:sysClr val="windowText" lastClr="000000"/>
              </a:solidFill>
              <a:latin typeface="Arial"/>
              <a:cs typeface="Arial"/>
            </a:rPr>
            <a:t>  Er worden afzonderlijke detailtabellen opgenomen met het bestuurspersoneel (Zie deel 4 Personeel, hoofdstuk 1</a:t>
          </a:r>
        </a:p>
        <a:p>
          <a:pPr algn="l" rtl="0">
            <a:lnSpc>
              <a:spcPts val="1100"/>
            </a:lnSpc>
            <a:defRPr sz="1000"/>
          </a:pPr>
          <a:r>
            <a:rPr lang="nl-BE" sz="1000" b="0" i="0" u="none" strike="noStrike" baseline="0">
              <a:solidFill>
                <a:sysClr val="windowText" lastClr="000000"/>
              </a:solidFill>
              <a:latin typeface="Arial"/>
              <a:cs typeface="Arial"/>
            </a:rPr>
            <a:t>  Algemeen overzicht, 1.3 Bestuurspersoneel).  In de tabellen van het bestuurs- en onderwijzend personeel zit het </a:t>
          </a:r>
        </a:p>
        <a:p>
          <a:pPr algn="l" rtl="0">
            <a:lnSpc>
              <a:spcPts val="1100"/>
            </a:lnSpc>
            <a:defRPr sz="1000"/>
          </a:pPr>
          <a:r>
            <a:rPr lang="nl-BE" sz="1000" b="0" i="0" u="none" strike="noStrike" baseline="0">
              <a:solidFill>
                <a:sysClr val="windowText" lastClr="000000"/>
              </a:solidFill>
              <a:latin typeface="Arial"/>
              <a:cs typeface="Arial"/>
            </a:rPr>
            <a:t>  bestuurspersoneel nog inbegrepen. Er wordt van een nieuwe databank gebruik gemaakt voor het volwassenenonderwijs.</a:t>
          </a:r>
        </a:p>
        <a:p>
          <a:pPr algn="l" rtl="0">
            <a:lnSpc>
              <a:spcPts val="1100"/>
            </a:lnSpc>
            <a:defRPr sz="1000"/>
          </a:pPr>
          <a:r>
            <a:rPr lang="nl-BE" sz="1000" b="0" i="0" u="none" strike="noStrike" baseline="0">
              <a:solidFill>
                <a:sysClr val="windowText" lastClr="000000"/>
              </a:solidFill>
              <a:latin typeface="Arial"/>
              <a:cs typeface="Arial"/>
            </a:rPr>
            <a:t>  In de data voor het volwassenenonderwijs zijn voor het bestuurspersoneel uitgedrukt in aantallen personen enkel de </a:t>
          </a:r>
        </a:p>
        <a:p>
          <a:pPr algn="l" rtl="0">
            <a:lnSpc>
              <a:spcPts val="1100"/>
            </a:lnSpc>
            <a:defRPr sz="1000"/>
          </a:pPr>
          <a:r>
            <a:rPr lang="nl-BE" sz="1000" b="0" i="0" u="none" strike="noStrike" baseline="0">
              <a:solidFill>
                <a:sysClr val="windowText" lastClr="000000"/>
              </a:solidFill>
              <a:latin typeface="Arial"/>
              <a:cs typeface="Arial"/>
            </a:rPr>
            <a:t>  personeelsleden in rekening gebracht die een budgettaire fulltime van ten minste 50% hebben. Op die manier wordt</a:t>
          </a:r>
        </a:p>
        <a:p>
          <a:pPr algn="l" rtl="0">
            <a:lnSpc>
              <a:spcPts val="1100"/>
            </a:lnSpc>
            <a:defRPr sz="1000"/>
          </a:pPr>
          <a:r>
            <a:rPr lang="nl-BE" sz="1000" b="0" i="0" u="none" strike="noStrike" baseline="0">
              <a:solidFill>
                <a:sysClr val="windowText" lastClr="000000"/>
              </a:solidFill>
              <a:latin typeface="Arial"/>
              <a:cs typeface="Arial"/>
            </a:rPr>
            <a:t>  de vergelijkbaarheid met de vroegere databank gegarandeerd.</a:t>
          </a:r>
        </a:p>
        <a:p>
          <a:pPr algn="l" rtl="0">
            <a:lnSpc>
              <a:spcPts val="1100"/>
            </a:lnSpc>
            <a:defRPr sz="1000"/>
          </a:pPr>
          <a:endParaRPr lang="nl-BE" sz="1000" b="0" i="0" u="none" strike="noStrike" baseline="0">
            <a:solidFill>
              <a:sysClr val="windowText" lastClr="000000"/>
            </a:solidFill>
            <a:latin typeface="Arial"/>
            <a:cs typeface="Arial"/>
          </a:endParaRPr>
        </a:p>
        <a:p>
          <a:pPr algn="l" rtl="0">
            <a:lnSpc>
              <a:spcPts val="1100"/>
            </a:lnSpc>
            <a:defRPr sz="1000"/>
          </a:pPr>
          <a:r>
            <a:rPr lang="nl-BE" sz="1000" b="0" i="1" u="none" strike="noStrike" baseline="0">
              <a:solidFill>
                <a:sysClr val="windowText" lastClr="000000"/>
              </a:solidFill>
              <a:latin typeface="Arial"/>
              <a:cs typeface="Arial"/>
            </a:rPr>
            <a:t>  </a:t>
          </a:r>
          <a:r>
            <a:rPr lang="nl-BE" sz="1000" b="1" i="1" u="sng" strike="noStrike" baseline="0">
              <a:solidFill>
                <a:sysClr val="windowText" lastClr="000000"/>
              </a:solidFill>
              <a:latin typeface="Arial"/>
              <a:cs typeface="Arial"/>
            </a:rPr>
            <a:t>Terbeschikkingstelling voorafgaand aan het rustpensioen</a:t>
          </a:r>
          <a:endParaRPr lang="nl-BE" sz="1000" b="1" i="0" u="sng" strike="noStrike" baseline="0">
            <a:solidFill>
              <a:sysClr val="windowText" lastClr="000000"/>
            </a:solidFill>
            <a:latin typeface="Arial"/>
            <a:cs typeface="Arial"/>
          </a:endParaRPr>
        </a:p>
        <a:p>
          <a:pPr algn="just" rtl="0">
            <a:lnSpc>
              <a:spcPts val="1100"/>
            </a:lnSpc>
            <a:defRPr sz="1000"/>
          </a:pPr>
          <a:r>
            <a:rPr lang="nl-BE" sz="1000" b="0" i="0" u="none" strike="noStrike" baseline="0">
              <a:solidFill>
                <a:sysClr val="windowText" lastClr="000000"/>
              </a:solidFill>
              <a:latin typeface="Arial"/>
              <a:cs typeface="Arial"/>
            </a:rPr>
            <a:t>   Er worden aparte tabellen opgenomen met de terbeschikkingstelling voorafgaand aan het rustpensioen en de  bonus voor  </a:t>
          </a:r>
        </a:p>
        <a:p>
          <a:pPr algn="just" rtl="0">
            <a:lnSpc>
              <a:spcPts val="1100"/>
            </a:lnSpc>
            <a:defRPr sz="1000"/>
          </a:pPr>
          <a:r>
            <a:rPr lang="nl-BE" sz="1000" b="0" i="0" u="none" strike="noStrike" baseline="0">
              <a:solidFill>
                <a:sysClr val="windowText" lastClr="000000"/>
              </a:solidFill>
              <a:latin typeface="Arial"/>
              <a:cs typeface="Arial"/>
            </a:rPr>
            <a:t>   bestuurspersoneel, bestuurs- en onderwijzend personeel en 'andere' personeelscategorieën. In de gewone tabellen van</a:t>
          </a:r>
        </a:p>
        <a:p>
          <a:pPr algn="just" rtl="0">
            <a:lnSpc>
              <a:spcPts val="1100"/>
            </a:lnSpc>
            <a:defRPr sz="1000"/>
          </a:pPr>
          <a:r>
            <a:rPr lang="nl-BE" sz="1000" b="0" i="0" u="none" strike="noStrike" baseline="0">
              <a:solidFill>
                <a:sysClr val="windowText" lastClr="000000"/>
              </a:solidFill>
              <a:latin typeface="Arial"/>
              <a:cs typeface="Arial"/>
            </a:rPr>
            <a:t>   bestuurspersoneel, bestuurs- en onderwijzend personeel en 'andere' personeel zitten de terbeschikkinggestelden voorafgaand aan  het  </a:t>
          </a:r>
        </a:p>
        <a:p>
          <a:pPr algn="just" rtl="0">
            <a:lnSpc>
              <a:spcPts val="1100"/>
            </a:lnSpc>
            <a:defRPr sz="1000"/>
          </a:pPr>
          <a:r>
            <a:rPr lang="nl-BE" sz="1000" b="0" i="0" u="none" strike="noStrike" baseline="0">
              <a:solidFill>
                <a:sysClr val="windowText" lastClr="000000"/>
              </a:solidFill>
              <a:latin typeface="Arial"/>
              <a:cs typeface="Arial"/>
            </a:rPr>
            <a:t>   rustpensioen en diegenen met bonus vervat. Voor het schooljaar  2012-2013 geldt een nieuwe regeling.</a:t>
          </a:r>
        </a:p>
        <a:p>
          <a:pPr>
            <a:lnSpc>
              <a:spcPts val="1100"/>
            </a:lnSpc>
          </a:pPr>
          <a:endParaRPr lang="nl-BE" sz="1000" b="0" i="0" u="none" strike="noStrike" baseline="0">
            <a:solidFill>
              <a:sysClr val="windowText" lastClr="000000"/>
            </a:solidFill>
            <a:latin typeface="Arial"/>
            <a:cs typeface="Arial"/>
          </a:endParaRPr>
        </a:p>
        <a:p>
          <a:pPr>
            <a:lnSpc>
              <a:spcPts val="1100"/>
            </a:lnSpc>
          </a:pPr>
          <a:r>
            <a:rPr lang="nl-BE" sz="1000" b="0" i="0" u="none" strike="noStrike" baseline="0">
              <a:solidFill>
                <a:sysClr val="windowText" lastClr="000000"/>
              </a:solidFill>
              <a:latin typeface="Arial"/>
              <a:cs typeface="Arial"/>
            </a:rPr>
            <a:t>   </a:t>
          </a:r>
          <a:r>
            <a:rPr lang="nl-BE" sz="1000" b="0" i="0" u="none" strike="noStrike" baseline="0">
              <a:solidFill>
                <a:sysClr val="windowText" lastClr="000000"/>
              </a:solidFill>
              <a:latin typeface="Arial"/>
              <a:ea typeface="+mn-ea"/>
              <a:cs typeface="Arial"/>
            </a:rPr>
            <a:t>De regeling inzake TBS voorafgaand aan het pensioen voor het personeel van de hogescholen, al dan niet via de bonusregeling, hangt af van</a:t>
          </a:r>
        </a:p>
        <a:p>
          <a:pPr>
            <a:lnSpc>
              <a:spcPts val="1100"/>
            </a:lnSpc>
          </a:pPr>
          <a:r>
            <a:rPr lang="nl-BE" sz="1000" b="0" i="0" u="none" strike="noStrike" baseline="0">
              <a:solidFill>
                <a:sysClr val="windowText" lastClr="000000"/>
              </a:solidFill>
              <a:latin typeface="Arial"/>
              <a:ea typeface="+mn-ea"/>
              <a:cs typeface="Arial"/>
            </a:rPr>
            <a:t>   de geboortedatum van het betrokken personeelslid:</a:t>
          </a:r>
          <a:endParaRPr lang="nl-BE" sz="1100">
            <a:solidFill>
              <a:sysClr val="windowText" lastClr="000000"/>
            </a:solidFill>
            <a:effectLst/>
            <a:latin typeface="+mn-lt"/>
            <a:ea typeface="+mn-ea"/>
            <a:cs typeface="+mn-cs"/>
          </a:endParaRPr>
        </a:p>
        <a:p>
          <a:endParaRPr lang="nl-BE" sz="1100">
            <a:solidFill>
              <a:sysClr val="windowText" lastClr="000000"/>
            </a:solidFill>
            <a:effectLst/>
            <a:latin typeface="+mn-lt"/>
            <a:ea typeface="+mn-ea"/>
            <a:cs typeface="+mn-cs"/>
          </a:endParaRPr>
        </a:p>
        <a:p>
          <a:r>
            <a:rPr lang="nl-BE" sz="1100" b="0">
              <a:solidFill>
                <a:sysClr val="windowText" lastClr="000000"/>
              </a:solidFill>
              <a:effectLst/>
              <a:latin typeface="+mn-lt"/>
              <a:ea typeface="+mn-ea"/>
              <a:cs typeface="+mn-cs"/>
            </a:rPr>
            <a:t>   </a:t>
          </a:r>
          <a:r>
            <a:rPr lang="nl-BE" sz="1100" b="0" i="1" u="sng">
              <a:solidFill>
                <a:sysClr val="windowText" lastClr="000000"/>
              </a:solidFill>
              <a:effectLst/>
              <a:latin typeface="+mn-lt"/>
              <a:ea typeface="+mn-ea"/>
              <a:cs typeface="+mn-cs"/>
            </a:rPr>
            <a:t>Regeling voor het Hoger onderwijs</a:t>
          </a:r>
        </a:p>
        <a:p>
          <a:r>
            <a:rPr lang="nl-BE" sz="1100">
              <a:solidFill>
                <a:sysClr val="windowText" lastClr="000000"/>
              </a:solidFill>
              <a:effectLst/>
              <a:latin typeface="+mn-lt"/>
              <a:ea typeface="+mn-ea"/>
              <a:cs typeface="+mn-cs"/>
            </a:rPr>
            <a:t>  </a:t>
          </a:r>
          <a:r>
            <a:rPr lang="nl-BE" sz="1000" b="0" i="0" u="none" strike="noStrike" baseline="0">
              <a:solidFill>
                <a:sysClr val="windowText" lastClr="000000"/>
              </a:solidFill>
              <a:latin typeface="Arial"/>
              <a:ea typeface="+mn-ea"/>
              <a:cs typeface="Arial"/>
            </a:rPr>
            <a:t> Personeelsleden geboren voor 1 oktober 1952 : </a:t>
          </a:r>
        </a:p>
        <a:p>
          <a:pPr lvl="0">
            <a:lnSpc>
              <a:spcPts val="1100"/>
            </a:lnSpc>
          </a:pPr>
          <a:r>
            <a:rPr lang="nl-BE" sz="1000" b="0" i="0" u="none" strike="noStrike" baseline="0">
              <a:solidFill>
                <a:sysClr val="windowText" lastClr="000000"/>
              </a:solidFill>
              <a:latin typeface="Arial"/>
              <a:ea typeface="+mn-ea"/>
              <a:cs typeface="Arial"/>
            </a:rPr>
            <a:t>   Deze personeelsleden kunnen gebruik maken van de bonusregeling zoals vermeld in hoofdstuk II, afdeling 2 van het besluit van 22 februari 2002     </a:t>
          </a:r>
        </a:p>
        <a:p>
          <a:pPr lvl="0">
            <a:lnSpc>
              <a:spcPts val="1100"/>
            </a:lnSpc>
          </a:pPr>
          <a:r>
            <a:rPr lang="nl-BE" sz="1000" b="0" i="0" u="none" strike="noStrike" baseline="0">
              <a:solidFill>
                <a:sysClr val="windowText" lastClr="000000"/>
              </a:solidFill>
              <a:latin typeface="Arial"/>
              <a:ea typeface="+mn-ea"/>
              <a:cs typeface="Arial"/>
            </a:rPr>
            <a:t>   betreffende de terbeschikkingstelling wegens persoonlijke aangelegenheden voorafgaand aan het rustpensioen voor de personeelsleden van de </a:t>
          </a:r>
        </a:p>
        <a:p>
          <a:pPr lvl="0">
            <a:lnSpc>
              <a:spcPts val="1100"/>
            </a:lnSpc>
          </a:pPr>
          <a:r>
            <a:rPr lang="nl-BE" sz="1000" b="0" i="0" u="none" strike="noStrike" baseline="0">
              <a:solidFill>
                <a:sysClr val="windowText" lastClr="000000"/>
              </a:solidFill>
              <a:latin typeface="Arial"/>
              <a:ea typeface="+mn-ea"/>
              <a:cs typeface="Arial"/>
            </a:rPr>
            <a:t>   hogescholen in de Vlaamse Gemeenschap en van de Hogere Zeevaartschool. Aan deze regeling is niets gewijzigd.</a:t>
          </a:r>
        </a:p>
        <a:p>
          <a:pPr lvl="0">
            <a:lnSpc>
              <a:spcPts val="1100"/>
            </a:lnSpc>
          </a:pPr>
          <a:endParaRPr lang="nl-BE" sz="1000" b="0" i="0" u="none" strike="noStrike" baseline="0">
            <a:solidFill>
              <a:sysClr val="windowText" lastClr="000000"/>
            </a:solidFill>
            <a:latin typeface="Arial"/>
            <a:ea typeface="+mn-ea"/>
            <a:cs typeface="Arial"/>
          </a:endParaRPr>
        </a:p>
        <a:p>
          <a:pPr lvl="0">
            <a:lnSpc>
              <a:spcPts val="1100"/>
            </a:lnSpc>
          </a:pPr>
          <a:r>
            <a:rPr lang="nl-BE" sz="1000" b="0" i="0" u="none" strike="noStrike" baseline="0">
              <a:solidFill>
                <a:sysClr val="windowText" lastClr="000000"/>
              </a:solidFill>
              <a:latin typeface="Arial"/>
              <a:ea typeface="+mn-ea"/>
              <a:cs typeface="Arial"/>
            </a:rPr>
            <a:t>   Personeelsleden geboren vanaf 1 oktober 1952 en voor 1 april 1954 :</a:t>
          </a:r>
        </a:p>
        <a:p>
          <a:pPr>
            <a:lnSpc>
              <a:spcPts val="1100"/>
            </a:lnSpc>
          </a:pPr>
          <a:r>
            <a:rPr lang="nl-BE" sz="1000" b="0" i="0" u="none" strike="noStrike" baseline="0">
              <a:solidFill>
                <a:sysClr val="windowText" lastClr="000000"/>
              </a:solidFill>
              <a:latin typeface="Arial"/>
              <a:ea typeface="+mn-ea"/>
              <a:cs typeface="Arial"/>
            </a:rPr>
            <a:t>   Deze personeelsleden kunnen ten vroegste twee jaar voor zij recht hebben op een pensioen ten laste van de schatkist in de TBS-regeling </a:t>
          </a:r>
        </a:p>
        <a:p>
          <a:pPr>
            <a:lnSpc>
              <a:spcPts val="1100"/>
            </a:lnSpc>
          </a:pPr>
          <a:r>
            <a:rPr lang="nl-BE" sz="1000" b="0" i="0" u="none" strike="noStrike" baseline="0">
              <a:solidFill>
                <a:sysClr val="windowText" lastClr="000000"/>
              </a:solidFill>
              <a:latin typeface="Arial"/>
              <a:ea typeface="+mn-ea"/>
              <a:cs typeface="Arial"/>
            </a:rPr>
            <a:t>   instappen. De berekening van het wachtgeld gebeurd volgens de gewone regels.</a:t>
          </a:r>
        </a:p>
        <a:p>
          <a:pPr lvl="0">
            <a:lnSpc>
              <a:spcPts val="1100"/>
            </a:lnSpc>
          </a:pPr>
          <a:r>
            <a:rPr lang="nl-BE" sz="1000" b="0" i="0" u="none" strike="noStrike" baseline="0">
              <a:solidFill>
                <a:sysClr val="windowText" lastClr="000000"/>
              </a:solidFill>
              <a:latin typeface="Arial"/>
              <a:ea typeface="+mn-ea"/>
              <a:cs typeface="Arial"/>
            </a:rPr>
            <a:t>   </a:t>
          </a:r>
        </a:p>
        <a:p>
          <a:pPr lvl="0">
            <a:lnSpc>
              <a:spcPts val="1100"/>
            </a:lnSpc>
          </a:pPr>
          <a:r>
            <a:rPr lang="nl-BE" sz="1000" b="0" i="0" u="none" strike="noStrike" baseline="0">
              <a:solidFill>
                <a:sysClr val="windowText" lastClr="000000"/>
              </a:solidFill>
              <a:latin typeface="Arial"/>
              <a:ea typeface="+mn-ea"/>
              <a:cs typeface="Arial"/>
            </a:rPr>
            <a:t>   Personeelsleden geboren vanaf 1 april 1954 en voor 1 januari 1957 :</a:t>
          </a:r>
        </a:p>
        <a:p>
          <a:pPr lvl="0">
            <a:lnSpc>
              <a:spcPts val="1100"/>
            </a:lnSpc>
          </a:pPr>
          <a:r>
            <a:rPr lang="nl-BE" sz="1000" b="0" i="0" u="none" strike="noStrike" baseline="0">
              <a:solidFill>
                <a:sysClr val="windowText" lastClr="000000"/>
              </a:solidFill>
              <a:latin typeface="Arial"/>
              <a:ea typeface="+mn-ea"/>
              <a:cs typeface="Arial"/>
            </a:rPr>
            <a:t>   Ook deze personeelsleden kunnen ten vroegste twee jaar voor zij recht hebben op een pensioen ten laste van de schatkist in de TBS-regeling </a:t>
          </a:r>
        </a:p>
        <a:p>
          <a:pPr lvl="0">
            <a:lnSpc>
              <a:spcPts val="1100"/>
            </a:lnSpc>
          </a:pPr>
          <a:r>
            <a:rPr lang="nl-BE" sz="1000" b="0" i="0" u="none" strike="noStrike" baseline="0">
              <a:solidFill>
                <a:sysClr val="windowText" lastClr="000000"/>
              </a:solidFill>
              <a:latin typeface="Arial"/>
              <a:ea typeface="+mn-ea"/>
              <a:cs typeface="Arial"/>
            </a:rPr>
            <a:t>   instappen maar voor deze personeelsleden geldt er een vermindering van het wachtgeld. Wanneer de volledige gerechtigde periode van TBS  </a:t>
          </a:r>
        </a:p>
        <a:p>
          <a:pPr lvl="0">
            <a:lnSpc>
              <a:spcPts val="1100"/>
            </a:lnSpc>
          </a:pPr>
          <a:r>
            <a:rPr lang="nl-BE" sz="1000" b="0" i="0" u="none" strike="noStrike" baseline="0">
              <a:solidFill>
                <a:sysClr val="windowText" lastClr="000000"/>
              </a:solidFill>
              <a:latin typeface="Arial"/>
              <a:ea typeface="+mn-ea"/>
              <a:cs typeface="Arial"/>
            </a:rPr>
            <a:t>   wordt opgenomen bedraagt het wachtgeld 75% van het wachtgeld volgens artikel 7 van het BVR van 22 februari 2002, wanneer ten hoogste 1 jaar </a:t>
          </a:r>
        </a:p>
        <a:p>
          <a:pPr lvl="0">
            <a:lnSpc>
              <a:spcPts val="1100"/>
            </a:lnSpc>
          </a:pPr>
          <a:r>
            <a:rPr lang="nl-BE" sz="1000" b="0" i="0" u="none" strike="noStrike" baseline="0">
              <a:solidFill>
                <a:sysClr val="windowText" lastClr="000000"/>
              </a:solidFill>
              <a:latin typeface="Arial"/>
              <a:ea typeface="+mn-ea"/>
              <a:cs typeface="Arial"/>
            </a:rPr>
            <a:t>   TBS wordt genomen, bedraagt het wachtgeld 77,5% van het wachtgeld volgens artikel 7.</a:t>
          </a:r>
        </a:p>
        <a:p>
          <a:pPr>
            <a:lnSpc>
              <a:spcPts val="1100"/>
            </a:lnSpc>
          </a:pPr>
          <a:endParaRPr lang="nl-BE" sz="1000" b="0" i="0" u="none" strike="noStrike" baseline="0">
            <a:solidFill>
              <a:sysClr val="windowText" lastClr="000000"/>
            </a:solidFill>
            <a:latin typeface="Arial"/>
            <a:ea typeface="+mn-ea"/>
            <a:cs typeface="Arial"/>
          </a:endParaRPr>
        </a:p>
        <a:p>
          <a:pPr lvl="0">
            <a:lnSpc>
              <a:spcPts val="1100"/>
            </a:lnSpc>
          </a:pPr>
          <a:r>
            <a:rPr lang="nl-BE" sz="1000" b="0" i="0" u="none" strike="noStrike" baseline="0">
              <a:solidFill>
                <a:sysClr val="windowText" lastClr="000000"/>
              </a:solidFill>
              <a:latin typeface="Arial"/>
              <a:ea typeface="+mn-ea"/>
              <a:cs typeface="Arial"/>
            </a:rPr>
            <a:t>   Personeelsleden geboren vanaf 1 januari 1957 en voor 1 januari 1958 :</a:t>
          </a:r>
        </a:p>
        <a:p>
          <a:pPr>
            <a:lnSpc>
              <a:spcPts val="1100"/>
            </a:lnSpc>
          </a:pPr>
          <a:r>
            <a:rPr lang="nl-BE" sz="1000" b="0" i="0" u="none" strike="noStrike" baseline="0">
              <a:solidFill>
                <a:sysClr val="windowText" lastClr="000000"/>
              </a:solidFill>
              <a:latin typeface="Arial"/>
              <a:ea typeface="+mn-ea"/>
              <a:cs typeface="Arial"/>
            </a:rPr>
            <a:t>   Deze personeelsleden kunnen 1 jaar voor zij recht hebben op een pensioen ten laste van de schatkist in de TBS-regeling stappen, waarbij het </a:t>
          </a:r>
        </a:p>
        <a:p>
          <a:pPr>
            <a:lnSpc>
              <a:spcPts val="1100"/>
            </a:lnSpc>
          </a:pPr>
          <a:r>
            <a:rPr lang="nl-BE" sz="1000" b="0" i="0" u="none" strike="noStrike" baseline="0">
              <a:solidFill>
                <a:sysClr val="windowText" lastClr="000000"/>
              </a:solidFill>
              <a:latin typeface="Arial"/>
              <a:ea typeface="+mn-ea"/>
              <a:cs typeface="Arial"/>
            </a:rPr>
            <a:t>   wachtgeld wordt verminderd tot 75% van het wachtgeld volgens artikel 7 van het BVR van 22 februari 2002.</a:t>
          </a:r>
        </a:p>
        <a:p>
          <a:pPr lvl="0">
            <a:lnSpc>
              <a:spcPts val="1100"/>
            </a:lnSpc>
          </a:pPr>
          <a:endParaRPr lang="nl-BE" sz="1000" b="0" i="0" u="none" strike="noStrike" baseline="0">
            <a:solidFill>
              <a:sysClr val="windowText" lastClr="000000"/>
            </a:solidFill>
            <a:latin typeface="Arial"/>
            <a:ea typeface="+mn-ea"/>
            <a:cs typeface="Arial"/>
          </a:endParaRPr>
        </a:p>
        <a:p>
          <a:pPr lvl="0">
            <a:lnSpc>
              <a:spcPts val="1100"/>
            </a:lnSpc>
          </a:pPr>
          <a:r>
            <a:rPr lang="nl-BE" sz="1000" b="0" i="0" u="none" strike="noStrike" baseline="0">
              <a:solidFill>
                <a:sysClr val="windowText" lastClr="000000"/>
              </a:solidFill>
              <a:latin typeface="Arial"/>
              <a:ea typeface="+mn-ea"/>
              <a:cs typeface="Arial"/>
            </a:rPr>
            <a:t>   Personeelsleden geboren vanaf 1 januari 1958 of later :</a:t>
          </a:r>
        </a:p>
        <a:p>
          <a:pPr>
            <a:lnSpc>
              <a:spcPts val="1100"/>
            </a:lnSpc>
          </a:pPr>
          <a:r>
            <a:rPr lang="nl-BE" sz="1000" b="0" i="0" u="none" strike="noStrike" baseline="0">
              <a:solidFill>
                <a:sysClr val="windowText" lastClr="000000"/>
              </a:solidFill>
              <a:latin typeface="Arial"/>
              <a:ea typeface="+mn-ea"/>
              <a:cs typeface="Arial"/>
            </a:rPr>
            <a:t>   Deze personeelsleden hebben geen recht meer op een TBS.</a:t>
          </a:r>
        </a:p>
        <a:p>
          <a:pPr>
            <a:lnSpc>
              <a:spcPts val="1100"/>
            </a:lnSpc>
          </a:pPr>
          <a:endParaRPr lang="nl-BE" sz="1000" b="0" i="0" u="none" strike="noStrike" baseline="0">
            <a:solidFill>
              <a:sysClr val="windowText" lastClr="000000"/>
            </a:solidFill>
            <a:latin typeface="Arial"/>
            <a:ea typeface="+mn-ea"/>
            <a:cs typeface="Arial"/>
          </a:endParaRPr>
        </a:p>
        <a:p>
          <a:pPr>
            <a:lnSpc>
              <a:spcPts val="1100"/>
            </a:lnSpc>
          </a:pPr>
          <a:r>
            <a:rPr lang="nl-BE" sz="1000" b="1" i="0" u="none" strike="noStrike" baseline="0">
              <a:solidFill>
                <a:sysClr val="windowText" lastClr="000000"/>
              </a:solidFill>
              <a:latin typeface="Arial"/>
              <a:ea typeface="+mn-ea"/>
              <a:cs typeface="Arial"/>
            </a:rPr>
            <a:t>   </a:t>
          </a:r>
          <a:r>
            <a:rPr lang="nl-BE" sz="1000" b="0" i="1" u="sng" strike="noStrike" baseline="0">
              <a:solidFill>
                <a:sysClr val="windowText" lastClr="000000"/>
              </a:solidFill>
              <a:latin typeface="Arial"/>
              <a:ea typeface="+mn-ea"/>
              <a:cs typeface="Arial"/>
            </a:rPr>
            <a:t>Regeling voor ander onderwijs dan Hoger onderwijs</a:t>
          </a:r>
        </a:p>
        <a:p>
          <a:pPr>
            <a:lnSpc>
              <a:spcPts val="1100"/>
            </a:lnSpc>
          </a:pPr>
          <a:r>
            <a:rPr lang="nl-BE" sz="1000" b="0" i="0" u="none" strike="noStrike" baseline="0">
              <a:solidFill>
                <a:sysClr val="windowText" lastClr="000000"/>
              </a:solidFill>
              <a:latin typeface="Arial"/>
              <a:ea typeface="+mn-ea"/>
              <a:cs typeface="Arial"/>
            </a:rPr>
            <a:t>   </a:t>
          </a:r>
          <a:r>
            <a:rPr lang="nl-BE" sz="1000" b="1" i="0" u="none" strike="noStrike" baseline="0">
              <a:solidFill>
                <a:sysClr val="windowText" lastClr="000000"/>
              </a:solidFill>
              <a:latin typeface="Arial"/>
              <a:ea typeface="+mn-ea"/>
              <a:cs typeface="Arial"/>
            </a:rPr>
            <a:t>Generieke regeling</a:t>
          </a:r>
        </a:p>
        <a:p>
          <a:pPr>
            <a:lnSpc>
              <a:spcPts val="1100"/>
            </a:lnSpc>
          </a:pPr>
          <a:r>
            <a:rPr lang="nl-BE" sz="1000" b="0" i="0" u="none" strike="noStrike" baseline="0" smtClean="0">
              <a:solidFill>
                <a:sysClr val="windowText" lastClr="000000"/>
              </a:solidFill>
              <a:latin typeface="Arial" pitchFamily="34" charset="0"/>
              <a:ea typeface="+mn-ea"/>
              <a:cs typeface="Arial" pitchFamily="34" charset="0"/>
            </a:rPr>
            <a:t>   De kleuteronderwijzers die geboren zijn vanaf 1 januari 1959, hebben nog 2 jaar recht op een TBS. Voor de overige personeelsleden (alle     </a:t>
          </a:r>
        </a:p>
        <a:p>
          <a:pPr>
            <a:lnSpc>
              <a:spcPts val="1100"/>
            </a:lnSpc>
          </a:pPr>
          <a:r>
            <a:rPr lang="nl-BE" sz="1000" b="0" i="0" u="none" strike="noStrike" baseline="0" smtClean="0">
              <a:solidFill>
                <a:sysClr val="windowText" lastClr="000000"/>
              </a:solidFill>
              <a:latin typeface="Arial" pitchFamily="34" charset="0"/>
              <a:ea typeface="+mn-ea"/>
              <a:cs typeface="Arial" pitchFamily="34" charset="0"/>
            </a:rPr>
            <a:t>   personeelsleden met uitzondering van de kleuteronderwijzers) die geboren zijn vanaf 1 januari 1958, wordt de TBS afgeschaft. In afwachting dat de </a:t>
          </a:r>
        </a:p>
        <a:p>
          <a:pPr>
            <a:lnSpc>
              <a:spcPts val="1100"/>
            </a:lnSpc>
          </a:pPr>
          <a:r>
            <a:rPr lang="nl-BE" sz="1000" b="0" i="0" u="none" strike="noStrike" baseline="0" smtClean="0">
              <a:solidFill>
                <a:sysClr val="windowText" lastClr="000000"/>
              </a:solidFill>
              <a:latin typeface="Arial" pitchFamily="34" charset="0"/>
              <a:ea typeface="+mn-ea"/>
              <a:cs typeface="Arial" pitchFamily="34" charset="0"/>
            </a:rPr>
            <a:t>   voormelde maatregelen van kracht worden, is er een overgangsregeling voorzien die de duur van de TBS gradueel afbouwt. </a:t>
          </a:r>
          <a:endParaRPr lang="nl-BE" sz="1000" b="0" i="0" u="none" strike="noStrike" baseline="0">
            <a:solidFill>
              <a:sysClr val="windowText" lastClr="000000"/>
            </a:solidFill>
            <a:latin typeface="Arial" pitchFamily="34" charset="0"/>
            <a:ea typeface="+mn-ea"/>
            <a:cs typeface="Arial" pitchFamily="34" charset="0"/>
          </a:endParaRPr>
        </a:p>
        <a:p>
          <a:pPr>
            <a:lnSpc>
              <a:spcPts val="1100"/>
            </a:lnSpc>
          </a:pPr>
          <a:r>
            <a:rPr lang="nl-BE" sz="1000" b="0" i="0" u="none" strike="noStrike" baseline="0">
              <a:solidFill>
                <a:sysClr val="windowText" lastClr="000000"/>
              </a:solidFill>
              <a:latin typeface="Arial"/>
              <a:ea typeface="+mn-ea"/>
              <a:cs typeface="Arial"/>
            </a:rPr>
            <a:t> </a:t>
          </a:r>
        </a:p>
        <a:p>
          <a:pPr lvl="0">
            <a:lnSpc>
              <a:spcPts val="1100"/>
            </a:lnSpc>
          </a:pPr>
          <a:r>
            <a:rPr lang="nl-BE" sz="1000" b="0" i="0" u="none" strike="noStrike" baseline="0">
              <a:solidFill>
                <a:sysClr val="windowText" lastClr="000000"/>
              </a:solidFill>
              <a:latin typeface="Arial"/>
              <a:ea typeface="+mn-ea"/>
              <a:cs typeface="Arial"/>
            </a:rPr>
            <a:t>   </a:t>
          </a:r>
          <a:r>
            <a:rPr lang="nl-BE" sz="1000" b="1" i="0" u="none" strike="noStrike" baseline="0">
              <a:solidFill>
                <a:sysClr val="windowText" lastClr="000000"/>
              </a:solidFill>
              <a:latin typeface="Arial"/>
              <a:ea typeface="+mn-ea"/>
              <a:cs typeface="Arial"/>
            </a:rPr>
            <a:t>Overgangsregeling</a:t>
          </a:r>
        </a:p>
        <a:p>
          <a:pPr>
            <a:lnSpc>
              <a:spcPts val="1100"/>
            </a:lnSpc>
          </a:pPr>
          <a:r>
            <a:rPr lang="nl-BE" sz="1000" b="0" i="0" u="none" strike="noStrike" baseline="0">
              <a:solidFill>
                <a:sysClr val="windowText" lastClr="000000"/>
              </a:solidFill>
              <a:latin typeface="Arial"/>
              <a:ea typeface="+mn-ea"/>
              <a:cs typeface="Arial"/>
            </a:rPr>
            <a:t>   Kleuteronderwijzers die geboren zijn voor 1 januari 1958 kunnen nog 4 jaar TBS opnemen vóór de datum waarop zij recht hebben op een pensioen </a:t>
          </a:r>
        </a:p>
        <a:p>
          <a:pPr>
            <a:lnSpc>
              <a:spcPts val="1100"/>
            </a:lnSpc>
          </a:pPr>
          <a:r>
            <a:rPr lang="nl-BE" sz="1000" b="0" i="0" u="none" strike="noStrike" baseline="0">
              <a:solidFill>
                <a:sysClr val="windowText" lastClr="000000"/>
              </a:solidFill>
              <a:latin typeface="Arial"/>
              <a:ea typeface="+mn-ea"/>
              <a:cs typeface="Arial"/>
            </a:rPr>
            <a:t>   (P) ten laste van de Openbare schatkist (P-4). De overige personeelsleden  die geboren zijn voor 1 januari 1959 hebben recht op 3 jaar TBS (P-3). </a:t>
          </a:r>
        </a:p>
        <a:p>
          <a:pPr>
            <a:lnSpc>
              <a:spcPts val="1100"/>
            </a:lnSpc>
          </a:pPr>
          <a:r>
            <a:rPr lang="nl-BE" sz="1000" b="0" i="0" u="none" strike="noStrike" baseline="0">
              <a:solidFill>
                <a:sysClr val="windowText" lastClr="000000"/>
              </a:solidFill>
              <a:latin typeface="Arial"/>
              <a:ea typeface="+mn-ea"/>
              <a:cs typeface="Arial"/>
            </a:rPr>
            <a:t>   Wie nog kan genieten van de zgn bonusregeling, kan deze vanaf 1 april 2012 nog opnemen, maar de start van deze bonus schuift op met de </a:t>
          </a:r>
        </a:p>
        <a:p>
          <a:pPr>
            <a:lnSpc>
              <a:spcPts val="1100"/>
            </a:lnSpc>
          </a:pPr>
          <a:r>
            <a:rPr lang="nl-BE" sz="1000" b="0" i="0" u="none" strike="noStrike" baseline="0">
              <a:solidFill>
                <a:sysClr val="windowText" lastClr="000000"/>
              </a:solidFill>
              <a:latin typeface="Arial"/>
              <a:ea typeface="+mn-ea"/>
              <a:cs typeface="Arial"/>
            </a:rPr>
            <a:t>   pensioenleeftijd.</a:t>
          </a:r>
        </a:p>
        <a:p>
          <a:pPr>
            <a:lnSpc>
              <a:spcPts val="1100"/>
            </a:lnSpc>
          </a:pPr>
          <a:r>
            <a:rPr lang="nl-BE" sz="1000" b="0" i="0" u="none" strike="noStrike" baseline="0">
              <a:solidFill>
                <a:sysClr val="windowText" lastClr="000000"/>
              </a:solidFill>
              <a:latin typeface="Arial"/>
              <a:ea typeface="+mn-ea"/>
              <a:cs typeface="Arial"/>
            </a:rPr>
            <a:t>   Voor alle andere personeelscategoriën m.u.v. de kleuteronderwijzers is een gelijkaardige overgangsregeling vastgelegd. Hier bestaat de overgang </a:t>
          </a:r>
        </a:p>
        <a:p>
          <a:pPr>
            <a:lnSpc>
              <a:spcPts val="1100"/>
            </a:lnSpc>
          </a:pPr>
          <a:r>
            <a:rPr lang="nl-BE" sz="1000" b="0" i="0" u="none" strike="noStrike" baseline="0">
              <a:solidFill>
                <a:sysClr val="windowText" lastClr="000000"/>
              </a:solidFill>
              <a:latin typeface="Arial"/>
              <a:ea typeface="+mn-ea"/>
              <a:cs typeface="Arial"/>
            </a:rPr>
            <a:t>   uit 2 jaar TBS (P-2) indien de personeelsleden geboren zijn voor 1 januari 1957 en 1 jaar TBS (P-1) indien geboren voor 1 januari 1958.</a:t>
          </a:r>
        </a:p>
        <a:p>
          <a:pPr>
            <a:lnSpc>
              <a:spcPts val="1100"/>
            </a:lnSpc>
          </a:pPr>
          <a:r>
            <a:rPr lang="nl-BE" sz="1000" b="0" i="0" u="none" strike="noStrike" baseline="0">
              <a:solidFill>
                <a:sysClr val="windowText" lastClr="000000"/>
              </a:solidFill>
              <a:latin typeface="Arial"/>
              <a:ea typeface="+mn-ea"/>
              <a:cs typeface="Arial"/>
            </a:rPr>
            <a:t> </a:t>
          </a:r>
        </a:p>
        <a:p>
          <a:pPr lvl="0">
            <a:lnSpc>
              <a:spcPts val="1100"/>
            </a:lnSpc>
          </a:pPr>
          <a:r>
            <a:rPr lang="nl-BE" sz="1000" b="1" i="0" u="none" strike="noStrike" baseline="0">
              <a:solidFill>
                <a:sysClr val="windowText" lastClr="000000"/>
              </a:solidFill>
              <a:latin typeface="Arial"/>
              <a:ea typeface="+mn-ea"/>
              <a:cs typeface="Arial"/>
            </a:rPr>
            <a:t>   Wachtgeld</a:t>
          </a:r>
        </a:p>
        <a:p>
          <a:pPr>
            <a:lnSpc>
              <a:spcPts val="1000"/>
            </a:lnSpc>
          </a:pPr>
          <a:r>
            <a:rPr lang="nl-BE" sz="1000" b="0" i="0" u="none" strike="noStrike" baseline="0">
              <a:solidFill>
                <a:sysClr val="windowText" lastClr="000000"/>
              </a:solidFill>
              <a:latin typeface="Arial"/>
              <a:ea typeface="+mn-ea"/>
              <a:cs typeface="Arial"/>
            </a:rPr>
            <a:t>   Voor alle personeelsleden m.u.v. de kleuteronderwijzers geboren voor 1 september 1954 en voor alle kleuteronderwijzers geboren voor 1 april </a:t>
          </a:r>
        </a:p>
        <a:p>
          <a:pPr>
            <a:lnSpc>
              <a:spcPts val="1100"/>
            </a:lnSpc>
          </a:pPr>
          <a:r>
            <a:rPr lang="nl-BE" sz="1000" b="0" i="0" u="none" strike="noStrike" baseline="0">
              <a:solidFill>
                <a:sysClr val="windowText" lastClr="000000"/>
              </a:solidFill>
              <a:latin typeface="Arial"/>
              <a:ea typeface="+mn-ea"/>
              <a:cs typeface="Arial"/>
            </a:rPr>
            <a:t>   1956 blijft het wachtgeld ongewijzigd. Voor alle overige personeelsleden wordt het wachtgeld gedifferentieerd verminderd in functie van de duurtijd </a:t>
          </a:r>
        </a:p>
        <a:p>
          <a:pPr>
            <a:lnSpc>
              <a:spcPts val="1200"/>
            </a:lnSpc>
          </a:pPr>
          <a:r>
            <a:rPr lang="nl-BE" sz="1000" b="0" i="0" u="none" strike="noStrike" baseline="0">
              <a:solidFill>
                <a:sysClr val="windowText" lastClr="000000"/>
              </a:solidFill>
              <a:latin typeface="Arial"/>
              <a:ea typeface="+mn-ea"/>
              <a:cs typeface="Arial"/>
            </a:rPr>
            <a:t>   dat de TBS genomen worden, waarbij de vermindering tussen 17,5% en 25% bedraagt.  </a:t>
          </a:r>
          <a:r>
            <a:rPr lang="nl-BE" sz="1100">
              <a:solidFill>
                <a:sysClr val="windowText" lastClr="000000"/>
              </a:solidFill>
              <a:effectLst/>
              <a:latin typeface="+mn-lt"/>
              <a:ea typeface="+mn-ea"/>
              <a:cs typeface="+mn-cs"/>
            </a:rPr>
            <a:t> </a:t>
          </a:r>
        </a:p>
        <a:p>
          <a:pPr>
            <a:lnSpc>
              <a:spcPts val="1200"/>
            </a:lnSpc>
          </a:pPr>
          <a:r>
            <a:rPr lang="nl-BE" sz="1100">
              <a:solidFill>
                <a:sysClr val="windowText" lastClr="000000"/>
              </a:solidFill>
              <a:effectLst/>
              <a:latin typeface="+mn-lt"/>
              <a:ea typeface="+mn-ea"/>
              <a:cs typeface="+mn-cs"/>
            </a:rPr>
            <a:t> </a:t>
          </a:r>
        </a:p>
        <a:p>
          <a:pPr>
            <a:lnSpc>
              <a:spcPts val="1000"/>
            </a:lnSpc>
          </a:pPr>
          <a:r>
            <a:rPr lang="nl-BE" sz="1000" b="0" i="0" u="none" strike="noStrike" baseline="0">
              <a:solidFill>
                <a:sysClr val="windowText" lastClr="000000"/>
              </a:solidFill>
              <a:latin typeface="Arial"/>
              <a:cs typeface="Arial"/>
            </a:rPr>
            <a:t>     </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O135" sqref="O135"/>
    </sheetView>
  </sheetViews>
  <sheetFormatPr defaultColWidth="8.85546875" defaultRowHeight="12.75"/>
  <cols>
    <col min="1" max="16384" width="8.85546875" style="311"/>
  </cols>
  <sheetData/>
  <printOptions horizontalCentered="1"/>
  <pageMargins left="0.19685039370078741" right="0.19685039370078741" top="0.39370078740157483" bottom="0.39370078740157483" header="0.51181102362204722" footer="0.51181102362204722"/>
  <pageSetup paperSize="9" scale="80" orientation="portrait" r:id="rId1"/>
  <headerFooter alignWithMargins="0">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showZeros="0" zoomScaleNormal="100" workbookViewId="0"/>
  </sheetViews>
  <sheetFormatPr defaultColWidth="9.140625" defaultRowHeight="12.75"/>
  <cols>
    <col min="1" max="1" width="28.7109375" style="4" customWidth="1"/>
    <col min="2" max="16384" width="9.140625" style="4"/>
  </cols>
  <sheetData>
    <row r="1" spans="1:10">
      <c r="A1" s="1"/>
    </row>
    <row r="2" spans="1:10">
      <c r="A2" s="344" t="s">
        <v>25</v>
      </c>
      <c r="B2" s="344"/>
      <c r="C2" s="344"/>
      <c r="D2" s="344"/>
      <c r="E2" s="344"/>
      <c r="F2" s="344"/>
      <c r="G2" s="344"/>
      <c r="H2" s="344"/>
    </row>
    <row r="3" spans="1:10" ht="11.25" customHeight="1">
      <c r="A3" s="5"/>
    </row>
    <row r="4" spans="1:10">
      <c r="A4" s="344" t="s">
        <v>114</v>
      </c>
      <c r="B4" s="344"/>
      <c r="C4" s="344"/>
      <c r="D4" s="344"/>
      <c r="E4" s="344"/>
      <c r="F4" s="344"/>
      <c r="G4" s="344"/>
      <c r="H4" s="344"/>
    </row>
    <row r="5" spans="1:10">
      <c r="A5" s="3"/>
    </row>
    <row r="6" spans="1:10">
      <c r="A6" s="3"/>
    </row>
    <row r="7" spans="1:10">
      <c r="A7" s="3"/>
      <c r="B7" s="31"/>
      <c r="C7" s="341" t="s">
        <v>22</v>
      </c>
      <c r="D7" s="343"/>
      <c r="E7" s="342"/>
      <c r="G7" s="341" t="s">
        <v>23</v>
      </c>
      <c r="H7" s="342"/>
    </row>
    <row r="8" spans="1:10" s="17" customFormat="1">
      <c r="A8" s="32"/>
      <c r="B8" s="32"/>
      <c r="C8" s="15" t="s">
        <v>7</v>
      </c>
      <c r="D8" s="16" t="s">
        <v>8</v>
      </c>
      <c r="E8" s="30" t="s">
        <v>4</v>
      </c>
      <c r="G8" s="15" t="s">
        <v>7</v>
      </c>
      <c r="H8" s="30" t="s">
        <v>8</v>
      </c>
    </row>
    <row r="9" spans="1:10">
      <c r="A9" s="1" t="s">
        <v>9</v>
      </c>
      <c r="C9" s="33"/>
      <c r="D9" s="34"/>
      <c r="E9" s="35"/>
      <c r="G9" s="33"/>
      <c r="H9" s="35"/>
    </row>
    <row r="10" spans="1:10">
      <c r="A10" s="2" t="s">
        <v>115</v>
      </c>
      <c r="B10" s="21"/>
      <c r="C10" s="20">
        <v>9792</v>
      </c>
      <c r="D10" s="25">
        <v>44440</v>
      </c>
      <c r="E10" s="26">
        <v>54232</v>
      </c>
      <c r="G10" s="47">
        <f>+C10/E10</f>
        <v>0.18055760436642573</v>
      </c>
      <c r="H10" s="48">
        <f>+D10/E10</f>
        <v>0.81944239563357424</v>
      </c>
      <c r="I10" s="29"/>
      <c r="J10" s="29"/>
    </row>
    <row r="11" spans="1:10">
      <c r="A11" s="2" t="s">
        <v>10</v>
      </c>
      <c r="B11" s="21"/>
      <c r="C11" s="20">
        <v>8703</v>
      </c>
      <c r="D11" s="25">
        <v>45039</v>
      </c>
      <c r="E11" s="26">
        <v>53742</v>
      </c>
      <c r="G11" s="47">
        <f>+C11/E11</f>
        <v>0.16194038182427151</v>
      </c>
      <c r="H11" s="48">
        <f>+D11/E11</f>
        <v>0.83805961817572849</v>
      </c>
      <c r="I11" s="29"/>
    </row>
    <row r="12" spans="1:10">
      <c r="A12" s="2" t="s">
        <v>11</v>
      </c>
      <c r="B12" s="21"/>
      <c r="C12" s="20">
        <v>7998</v>
      </c>
      <c r="D12" s="25">
        <v>46028</v>
      </c>
      <c r="E12" s="26">
        <v>54026</v>
      </c>
      <c r="G12" s="47">
        <f>+C12/E12</f>
        <v>0.14803983267315737</v>
      </c>
      <c r="H12" s="48">
        <f>+D12/E12</f>
        <v>0.85196016732684265</v>
      </c>
    </row>
    <row r="13" spans="1:10">
      <c r="A13" s="2" t="s">
        <v>91</v>
      </c>
      <c r="B13" s="21"/>
      <c r="C13" s="20">
        <v>7806</v>
      </c>
      <c r="D13" s="25">
        <v>48187</v>
      </c>
      <c r="E13" s="26">
        <v>55993</v>
      </c>
      <c r="G13" s="47">
        <f>+C13/E13</f>
        <v>0.13941028342828568</v>
      </c>
      <c r="H13" s="48">
        <f>+D13/E13</f>
        <v>0.86058971657171435</v>
      </c>
    </row>
    <row r="14" spans="1:10">
      <c r="A14" s="2" t="s">
        <v>92</v>
      </c>
      <c r="B14" s="21"/>
      <c r="C14" s="20">
        <v>7813</v>
      </c>
      <c r="D14" s="25">
        <v>48959</v>
      </c>
      <c r="E14" s="26">
        <v>56772</v>
      </c>
      <c r="G14" s="47">
        <f>+C14/E14</f>
        <v>0.13762065807088</v>
      </c>
      <c r="H14" s="48">
        <f>+D14/E14</f>
        <v>0.86237934192912002</v>
      </c>
    </row>
    <row r="15" spans="1:10">
      <c r="A15" s="3"/>
      <c r="C15" s="33"/>
      <c r="D15" s="34"/>
      <c r="E15" s="35"/>
      <c r="G15" s="47"/>
      <c r="H15" s="48"/>
    </row>
    <row r="16" spans="1:10">
      <c r="A16" s="1" t="s">
        <v>12</v>
      </c>
      <c r="C16" s="33"/>
      <c r="D16" s="34"/>
      <c r="E16" s="35"/>
      <c r="G16" s="47"/>
      <c r="H16" s="48"/>
    </row>
    <row r="17" spans="1:8">
      <c r="A17" s="2" t="s">
        <v>115</v>
      </c>
      <c r="B17" s="21"/>
      <c r="C17" s="20">
        <v>1234</v>
      </c>
      <c r="D17" s="25">
        <v>4734</v>
      </c>
      <c r="E17" s="26">
        <v>5968</v>
      </c>
      <c r="G17" s="47">
        <f>+C17/E17</f>
        <v>0.20676943699731903</v>
      </c>
      <c r="H17" s="48">
        <f>+D17/E17</f>
        <v>0.79323056300268091</v>
      </c>
    </row>
    <row r="18" spans="1:8">
      <c r="A18" s="2" t="s">
        <v>10</v>
      </c>
      <c r="B18" s="21"/>
      <c r="C18" s="20">
        <v>1207</v>
      </c>
      <c r="D18" s="25">
        <v>5181</v>
      </c>
      <c r="E18" s="26">
        <v>6388</v>
      </c>
      <c r="G18" s="47">
        <f>+C18/E18</f>
        <v>0.18894802755165935</v>
      </c>
      <c r="H18" s="48">
        <f>+D18/E18</f>
        <v>0.8110519724483406</v>
      </c>
    </row>
    <row r="19" spans="1:8">
      <c r="A19" s="2" t="s">
        <v>11</v>
      </c>
      <c r="B19" s="21"/>
      <c r="C19" s="20">
        <v>1143</v>
      </c>
      <c r="D19" s="25">
        <v>5592</v>
      </c>
      <c r="E19" s="26">
        <v>6735</v>
      </c>
      <c r="G19" s="47">
        <f>+C19/E19</f>
        <v>0.16971046770601336</v>
      </c>
      <c r="H19" s="48">
        <f>+D19/E19</f>
        <v>0.83028953229398661</v>
      </c>
    </row>
    <row r="20" spans="1:8">
      <c r="A20" s="2" t="s">
        <v>91</v>
      </c>
      <c r="B20" s="21"/>
      <c r="C20" s="20">
        <v>1187</v>
      </c>
      <c r="D20" s="25">
        <v>5752</v>
      </c>
      <c r="E20" s="26">
        <v>6939</v>
      </c>
      <c r="G20" s="47">
        <f>+C20/E20</f>
        <v>0.17106211269635394</v>
      </c>
      <c r="H20" s="48">
        <f>+D20/E20</f>
        <v>0.82893788730364604</v>
      </c>
    </row>
    <row r="21" spans="1:8">
      <c r="A21" s="2" t="s">
        <v>92</v>
      </c>
      <c r="B21" s="21"/>
      <c r="C21" s="20">
        <v>1164</v>
      </c>
      <c r="D21" s="25">
        <v>5844</v>
      </c>
      <c r="E21" s="26">
        <v>7008</v>
      </c>
      <c r="G21" s="47">
        <f>+C21/E21</f>
        <v>0.1660958904109589</v>
      </c>
      <c r="H21" s="48">
        <f>+D21/E21</f>
        <v>0.83390410958904104</v>
      </c>
    </row>
    <row r="22" spans="1:8">
      <c r="A22" s="2"/>
      <c r="B22" s="21"/>
      <c r="C22" s="20"/>
      <c r="D22" s="25"/>
      <c r="E22" s="26"/>
      <c r="G22" s="47"/>
      <c r="H22" s="48"/>
    </row>
    <row r="23" spans="1:8">
      <c r="A23" s="1" t="s">
        <v>13</v>
      </c>
      <c r="B23" s="21"/>
      <c r="C23" s="20"/>
      <c r="D23" s="25"/>
      <c r="E23" s="26"/>
      <c r="G23" s="47"/>
      <c r="H23" s="48"/>
    </row>
    <row r="24" spans="1:8">
      <c r="A24" s="2" t="s">
        <v>115</v>
      </c>
      <c r="B24" s="21"/>
      <c r="C24" s="20">
        <v>25907</v>
      </c>
      <c r="D24" s="25">
        <v>35763</v>
      </c>
      <c r="E24" s="26">
        <v>61670</v>
      </c>
      <c r="G24" s="47">
        <f>+C24/E24</f>
        <v>0.42009080590238368</v>
      </c>
      <c r="H24" s="48">
        <f>+D24/E24</f>
        <v>0.57990919409761632</v>
      </c>
    </row>
    <row r="25" spans="1:8">
      <c r="A25" s="2" t="s">
        <v>10</v>
      </c>
      <c r="B25" s="21"/>
      <c r="C25" s="20">
        <v>25203</v>
      </c>
      <c r="D25" s="25">
        <v>37109</v>
      </c>
      <c r="E25" s="26">
        <v>62312</v>
      </c>
      <c r="G25" s="47">
        <f>+C25/E25</f>
        <v>0.40446462960585439</v>
      </c>
      <c r="H25" s="48">
        <f>+D25/E25</f>
        <v>0.59553537039414561</v>
      </c>
    </row>
    <row r="26" spans="1:8">
      <c r="A26" s="2" t="s">
        <v>11</v>
      </c>
      <c r="B26" s="21"/>
      <c r="C26" s="20">
        <v>25122</v>
      </c>
      <c r="D26" s="25">
        <v>37912</v>
      </c>
      <c r="E26" s="26">
        <v>63034</v>
      </c>
      <c r="G26" s="47">
        <f>+C26/E26</f>
        <v>0.39854681600406128</v>
      </c>
      <c r="H26" s="48">
        <f>+D26/E26</f>
        <v>0.60145318399593872</v>
      </c>
    </row>
    <row r="27" spans="1:8" ht="11.25" customHeight="1">
      <c r="A27" s="2" t="s">
        <v>91</v>
      </c>
      <c r="B27" s="21"/>
      <c r="C27" s="20">
        <v>23489</v>
      </c>
      <c r="D27" s="25">
        <v>37440</v>
      </c>
      <c r="E27" s="26">
        <v>60929</v>
      </c>
      <c r="G27" s="47">
        <f>+C27/E27</f>
        <v>0.38551428712107533</v>
      </c>
      <c r="H27" s="48">
        <f>+D27/E27</f>
        <v>0.61448571287892462</v>
      </c>
    </row>
    <row r="28" spans="1:8">
      <c r="A28" s="2" t="s">
        <v>92</v>
      </c>
      <c r="B28" s="21"/>
      <c r="C28" s="20">
        <v>23094</v>
      </c>
      <c r="D28" s="25">
        <v>37327</v>
      </c>
      <c r="E28" s="26">
        <v>60421</v>
      </c>
      <c r="G28" s="47">
        <f>+C28/E28</f>
        <v>0.38221810297744163</v>
      </c>
      <c r="H28" s="48">
        <f>+D28/E28</f>
        <v>0.61778189702255837</v>
      </c>
    </row>
    <row r="29" spans="1:8" ht="15" customHeight="1">
      <c r="A29" s="3"/>
      <c r="B29" s="21"/>
      <c r="C29" s="20"/>
      <c r="D29" s="25"/>
      <c r="E29" s="26"/>
      <c r="G29" s="47"/>
      <c r="H29" s="48"/>
    </row>
    <row r="30" spans="1:8">
      <c r="A30" s="1" t="s">
        <v>14</v>
      </c>
      <c r="B30" s="21"/>
      <c r="C30" s="20"/>
      <c r="D30" s="25"/>
      <c r="E30" s="26"/>
      <c r="G30" s="47"/>
      <c r="H30" s="48"/>
    </row>
    <row r="31" spans="1:8">
      <c r="A31" s="2" t="s">
        <v>115</v>
      </c>
      <c r="B31" s="21"/>
      <c r="C31" s="20">
        <v>2341</v>
      </c>
      <c r="D31" s="25">
        <v>2940</v>
      </c>
      <c r="E31" s="26">
        <v>5281</v>
      </c>
      <c r="G31" s="47">
        <f>+C31/E31</f>
        <v>0.44328725620147702</v>
      </c>
      <c r="H31" s="48">
        <f>+D31/E31</f>
        <v>0.55671274379852298</v>
      </c>
    </row>
    <row r="32" spans="1:8">
      <c r="A32" s="2" t="s">
        <v>10</v>
      </c>
      <c r="B32" s="21"/>
      <c r="C32" s="20">
        <v>2409</v>
      </c>
      <c r="D32" s="25">
        <v>3472</v>
      </c>
      <c r="E32" s="26">
        <v>5881</v>
      </c>
      <c r="G32" s="47">
        <f>+C32/E32</f>
        <v>0.40962421356912088</v>
      </c>
      <c r="H32" s="48">
        <f>+D32/E32</f>
        <v>0.59037578643087907</v>
      </c>
    </row>
    <row r="33" spans="1:8">
      <c r="A33" s="2" t="s">
        <v>11</v>
      </c>
      <c r="B33" s="21"/>
      <c r="C33" s="20">
        <v>2486</v>
      </c>
      <c r="D33" s="25">
        <v>4024</v>
      </c>
      <c r="E33" s="26">
        <v>6510</v>
      </c>
      <c r="G33" s="47">
        <f>+C33/E33</f>
        <v>0.38187403993855606</v>
      </c>
      <c r="H33" s="48">
        <f>+D33/E33</f>
        <v>0.61812596006144394</v>
      </c>
    </row>
    <row r="34" spans="1:8">
      <c r="A34" s="2" t="s">
        <v>91</v>
      </c>
      <c r="B34" s="21"/>
      <c r="C34" s="20">
        <v>2521</v>
      </c>
      <c r="D34" s="25">
        <v>4595</v>
      </c>
      <c r="E34" s="26">
        <v>7116</v>
      </c>
      <c r="G34" s="47">
        <f>+C34/E34</f>
        <v>0.35427206295671726</v>
      </c>
      <c r="H34" s="48">
        <f>+D34/E34</f>
        <v>0.6457279370432828</v>
      </c>
    </row>
    <row r="35" spans="1:8">
      <c r="A35" s="2" t="s">
        <v>92</v>
      </c>
      <c r="B35" s="21"/>
      <c r="C35" s="20">
        <v>2571</v>
      </c>
      <c r="D35" s="25">
        <v>4763</v>
      </c>
      <c r="E35" s="26">
        <v>7334</v>
      </c>
      <c r="G35" s="47">
        <f>+C35/E35</f>
        <v>0.35055904008726479</v>
      </c>
      <c r="H35" s="48">
        <f>+D35/E35</f>
        <v>0.64944095991273521</v>
      </c>
    </row>
    <row r="36" spans="1:8">
      <c r="A36" s="2"/>
      <c r="B36" s="21"/>
      <c r="C36" s="20"/>
      <c r="D36" s="25"/>
      <c r="E36" s="26"/>
      <c r="G36" s="47"/>
      <c r="H36" s="48"/>
    </row>
    <row r="37" spans="1:8" ht="14.25" customHeight="1">
      <c r="A37" s="1" t="s">
        <v>15</v>
      </c>
      <c r="B37" s="21"/>
      <c r="C37" s="20"/>
      <c r="D37" s="25"/>
      <c r="E37" s="26"/>
      <c r="G37" s="47"/>
      <c r="H37" s="48"/>
    </row>
    <row r="38" spans="1:8" ht="14.25" customHeight="1">
      <c r="A38" s="2" t="s">
        <v>11</v>
      </c>
      <c r="B38" s="21"/>
      <c r="C38" s="20">
        <v>134</v>
      </c>
      <c r="D38" s="25">
        <v>849</v>
      </c>
      <c r="E38" s="26">
        <v>983</v>
      </c>
      <c r="G38" s="47">
        <f>+C38/E38</f>
        <v>0.1363173957273652</v>
      </c>
      <c r="H38" s="48">
        <f>+D38/E38</f>
        <v>0.86368260427263477</v>
      </c>
    </row>
    <row r="39" spans="1:8">
      <c r="A39" s="2" t="s">
        <v>91</v>
      </c>
      <c r="B39" s="21"/>
      <c r="C39" s="20">
        <v>176</v>
      </c>
      <c r="D39" s="25">
        <v>1094</v>
      </c>
      <c r="E39" s="26">
        <v>1270</v>
      </c>
      <c r="G39" s="47">
        <f>+C39/E39</f>
        <v>0.13858267716535433</v>
      </c>
      <c r="H39" s="48">
        <f>+D39/E39</f>
        <v>0.86141732283464567</v>
      </c>
    </row>
    <row r="40" spans="1:8" ht="13.5" customHeight="1">
      <c r="A40" s="2" t="s">
        <v>92</v>
      </c>
      <c r="B40" s="21"/>
      <c r="C40" s="20">
        <v>197</v>
      </c>
      <c r="D40" s="25">
        <v>1177</v>
      </c>
      <c r="E40" s="26">
        <v>1374</v>
      </c>
      <c r="G40" s="47">
        <f>+C40/E40</f>
        <v>0.14337700145560409</v>
      </c>
      <c r="H40" s="48">
        <f>+D40/E40</f>
        <v>0.85662299854439594</v>
      </c>
    </row>
    <row r="41" spans="1:8" ht="13.5" customHeight="1">
      <c r="A41" s="2"/>
      <c r="B41" s="21"/>
      <c r="C41" s="20"/>
      <c r="D41" s="25"/>
      <c r="E41" s="26"/>
      <c r="G41" s="47"/>
      <c r="H41" s="48"/>
    </row>
    <row r="42" spans="1:8">
      <c r="A42" s="1" t="s">
        <v>16</v>
      </c>
      <c r="B42" s="21"/>
      <c r="C42" s="20"/>
      <c r="D42" s="25"/>
      <c r="E42" s="26"/>
      <c r="G42" s="47"/>
      <c r="H42" s="48"/>
    </row>
    <row r="43" spans="1:8">
      <c r="A43" s="2" t="s">
        <v>115</v>
      </c>
      <c r="B43" s="21"/>
      <c r="C43" s="20">
        <v>5023</v>
      </c>
      <c r="D43" s="25">
        <v>4329</v>
      </c>
      <c r="E43" s="26">
        <v>9352</v>
      </c>
      <c r="G43" s="47">
        <f>+C43/E43</f>
        <v>0.53710436270316508</v>
      </c>
      <c r="H43" s="48">
        <f>+D43/E43</f>
        <v>0.46289563729683492</v>
      </c>
    </row>
    <row r="44" spans="1:8">
      <c r="A44" s="2" t="s">
        <v>10</v>
      </c>
      <c r="B44" s="21"/>
      <c r="C44" s="20">
        <v>4943</v>
      </c>
      <c r="D44" s="25">
        <v>4646</v>
      </c>
      <c r="E44" s="26">
        <v>9589</v>
      </c>
      <c r="G44" s="47">
        <f>+C44/E44</f>
        <v>0.51548649494212118</v>
      </c>
      <c r="H44" s="48">
        <f>+D44/E44</f>
        <v>0.48451350505787882</v>
      </c>
    </row>
    <row r="45" spans="1:8">
      <c r="A45" s="2" t="s">
        <v>11</v>
      </c>
      <c r="B45" s="21"/>
      <c r="C45" s="20">
        <v>5147</v>
      </c>
      <c r="D45" s="25">
        <v>5137</v>
      </c>
      <c r="E45" s="26">
        <v>10284</v>
      </c>
      <c r="G45" s="47">
        <f>+C45/E45</f>
        <v>0.50048619214313494</v>
      </c>
      <c r="H45" s="48">
        <f>+D45/E45</f>
        <v>0.49951380785686506</v>
      </c>
    </row>
    <row r="46" spans="1:8">
      <c r="A46" s="2" t="s">
        <v>91</v>
      </c>
      <c r="B46" s="21"/>
      <c r="C46" s="20">
        <v>4943</v>
      </c>
      <c r="D46" s="25">
        <v>5210</v>
      </c>
      <c r="E46" s="26">
        <v>10153</v>
      </c>
      <c r="G46" s="47">
        <f>+C46/E46</f>
        <v>0.48685117699202207</v>
      </c>
      <c r="H46" s="48">
        <f>+D46/E46</f>
        <v>0.51314882300797793</v>
      </c>
    </row>
    <row r="47" spans="1:8">
      <c r="A47" s="2" t="s">
        <v>92</v>
      </c>
      <c r="B47" s="21"/>
      <c r="C47" s="20">
        <v>4029</v>
      </c>
      <c r="D47" s="25">
        <v>4756</v>
      </c>
      <c r="E47" s="26">
        <v>8785</v>
      </c>
      <c r="G47" s="47">
        <f>+C47/E47</f>
        <v>0.45862265224815024</v>
      </c>
      <c r="H47" s="48">
        <f>+D47/E47</f>
        <v>0.54137734775184976</v>
      </c>
    </row>
    <row r="48" spans="1:8" ht="14.25" customHeight="1">
      <c r="A48" s="2"/>
      <c r="B48" s="21"/>
      <c r="C48" s="20"/>
      <c r="D48" s="25"/>
      <c r="E48" s="26"/>
      <c r="G48" s="47"/>
      <c r="H48" s="48"/>
    </row>
    <row r="49" spans="1:8" ht="14.25" customHeight="1">
      <c r="A49" s="1" t="s">
        <v>17</v>
      </c>
      <c r="B49" s="21"/>
      <c r="C49" s="20"/>
      <c r="D49" s="25"/>
      <c r="E49" s="26"/>
      <c r="G49" s="47"/>
      <c r="H49" s="48"/>
    </row>
    <row r="50" spans="1:8" ht="14.25" customHeight="1">
      <c r="A50" s="2" t="s">
        <v>11</v>
      </c>
      <c r="B50" s="21"/>
      <c r="C50" s="20">
        <v>125</v>
      </c>
      <c r="D50" s="25">
        <v>647</v>
      </c>
      <c r="E50" s="26">
        <v>772</v>
      </c>
      <c r="G50" s="47">
        <f>+C50/E50</f>
        <v>0.16191709844559585</v>
      </c>
      <c r="H50" s="48">
        <f>+D50/E50</f>
        <v>0.83808290155440412</v>
      </c>
    </row>
    <row r="51" spans="1:8">
      <c r="A51" s="2" t="s">
        <v>91</v>
      </c>
      <c r="B51" s="21"/>
      <c r="C51" s="20">
        <v>131</v>
      </c>
      <c r="D51" s="25">
        <v>703</v>
      </c>
      <c r="E51" s="26">
        <v>834</v>
      </c>
      <c r="G51" s="47">
        <f>+C51/E51</f>
        <v>0.15707434052757793</v>
      </c>
      <c r="H51" s="48">
        <f>+D51/E51</f>
        <v>0.84292565947242204</v>
      </c>
    </row>
    <row r="52" spans="1:8" ht="14.25" customHeight="1">
      <c r="A52" s="2" t="s">
        <v>92</v>
      </c>
      <c r="B52" s="21"/>
      <c r="C52" s="20">
        <v>133</v>
      </c>
      <c r="D52" s="25">
        <v>732</v>
      </c>
      <c r="E52" s="26">
        <v>865</v>
      </c>
      <c r="G52" s="47">
        <f>+C52/E52</f>
        <v>0.15375722543352602</v>
      </c>
      <c r="H52" s="48">
        <f>+D52/E52</f>
        <v>0.84624277456647401</v>
      </c>
    </row>
    <row r="53" spans="1:8">
      <c r="C53" s="33"/>
      <c r="D53" s="34"/>
      <c r="E53" s="35"/>
      <c r="G53" s="33"/>
      <c r="H53" s="35"/>
    </row>
    <row r="54" spans="1:8">
      <c r="A54" s="27" t="s">
        <v>18</v>
      </c>
      <c r="B54" s="21"/>
      <c r="C54" s="20"/>
      <c r="D54" s="25"/>
      <c r="E54" s="26"/>
      <c r="G54" s="47"/>
      <c r="H54" s="48"/>
    </row>
    <row r="55" spans="1:8">
      <c r="A55" s="2" t="s">
        <v>115</v>
      </c>
      <c r="B55" s="21"/>
      <c r="C55" s="20">
        <v>1851</v>
      </c>
      <c r="D55" s="25">
        <v>3010</v>
      </c>
      <c r="E55" s="26">
        <v>4861</v>
      </c>
      <c r="G55" s="47">
        <f>+C55/E55</f>
        <v>0.38078584653363506</v>
      </c>
      <c r="H55" s="48">
        <f>+D55/E55</f>
        <v>0.61921415346636499</v>
      </c>
    </row>
    <row r="56" spans="1:8">
      <c r="A56" s="2" t="s">
        <v>10</v>
      </c>
      <c r="B56" s="21"/>
      <c r="C56" s="20">
        <v>1990</v>
      </c>
      <c r="D56" s="25">
        <v>3419</v>
      </c>
      <c r="E56" s="26">
        <v>5409</v>
      </c>
      <c r="G56" s="47">
        <f>+C56/E56</f>
        <v>0.36790534294694027</v>
      </c>
      <c r="H56" s="48">
        <f>+D56/E56</f>
        <v>0.63209465705305967</v>
      </c>
    </row>
    <row r="57" spans="1:8">
      <c r="A57" s="2" t="s">
        <v>11</v>
      </c>
      <c r="B57" s="21"/>
      <c r="C57" s="20">
        <v>1994</v>
      </c>
      <c r="D57" s="25">
        <v>3570</v>
      </c>
      <c r="E57" s="26">
        <v>5564</v>
      </c>
      <c r="G57" s="47">
        <f>+C57/E57</f>
        <v>0.35837526959022287</v>
      </c>
      <c r="H57" s="48">
        <f>+D57/E57</f>
        <v>0.64162473040977719</v>
      </c>
    </row>
    <row r="58" spans="1:8" ht="14.25" customHeight="1">
      <c r="A58" s="2" t="s">
        <v>94</v>
      </c>
      <c r="B58" s="21"/>
      <c r="C58" s="20">
        <v>2008</v>
      </c>
      <c r="D58" s="25">
        <v>3735</v>
      </c>
      <c r="E58" s="26">
        <v>5743</v>
      </c>
      <c r="G58" s="47">
        <f>+C58/E58</f>
        <v>0.34964304370538046</v>
      </c>
      <c r="H58" s="48">
        <f>+D58/E58</f>
        <v>0.65035695629461954</v>
      </c>
    </row>
    <row r="59" spans="1:8" ht="12.75" customHeight="1">
      <c r="A59" s="2" t="s">
        <v>92</v>
      </c>
      <c r="B59" s="21"/>
      <c r="C59" s="20">
        <v>2003</v>
      </c>
      <c r="D59" s="25">
        <v>3811</v>
      </c>
      <c r="E59" s="26">
        <v>5814</v>
      </c>
      <c r="G59" s="47">
        <f>+C59/E59</f>
        <v>0.34451324389404886</v>
      </c>
      <c r="H59" s="48">
        <f>+D59/E59</f>
        <v>0.6554867561059512</v>
      </c>
    </row>
    <row r="60" spans="1:8" ht="12.75" customHeight="1">
      <c r="A60" s="2"/>
      <c r="B60" s="21"/>
      <c r="C60" s="20"/>
      <c r="D60" s="25"/>
      <c r="E60" s="26"/>
      <c r="G60" s="47"/>
      <c r="H60" s="48"/>
    </row>
    <row r="61" spans="1:8" ht="25.5">
      <c r="A61" s="301" t="s">
        <v>19</v>
      </c>
      <c r="B61" s="21"/>
      <c r="C61" s="20"/>
      <c r="D61" s="25"/>
      <c r="E61" s="26"/>
      <c r="G61" s="47"/>
      <c r="H61" s="48"/>
    </row>
    <row r="62" spans="1:8">
      <c r="A62" s="2" t="s">
        <v>115</v>
      </c>
      <c r="B62" s="21"/>
      <c r="C62" s="20">
        <v>815</v>
      </c>
      <c r="D62" s="25">
        <v>472</v>
      </c>
      <c r="E62" s="26">
        <v>1287</v>
      </c>
      <c r="G62" s="47">
        <f>+C62/E62</f>
        <v>0.63325563325563328</v>
      </c>
      <c r="H62" s="48">
        <f>+D62/E62</f>
        <v>0.36674436674436672</v>
      </c>
    </row>
    <row r="63" spans="1:8">
      <c r="A63" s="2" t="s">
        <v>10</v>
      </c>
      <c r="B63" s="21"/>
      <c r="C63" s="20">
        <v>732</v>
      </c>
      <c r="D63" s="25">
        <v>501</v>
      </c>
      <c r="E63" s="26">
        <v>1233</v>
      </c>
      <c r="G63" s="47">
        <f>+C63/E63</f>
        <v>0.59367396593673971</v>
      </c>
      <c r="H63" s="48">
        <f>+D63/E63</f>
        <v>0.40632603406326034</v>
      </c>
    </row>
    <row r="64" spans="1:8">
      <c r="A64" s="2" t="s">
        <v>11</v>
      </c>
      <c r="B64" s="21"/>
      <c r="C64" s="20">
        <v>727</v>
      </c>
      <c r="D64" s="25">
        <v>526</v>
      </c>
      <c r="E64" s="26">
        <v>1253</v>
      </c>
      <c r="G64" s="47">
        <f>+C64/E64</f>
        <v>0.58020750199521154</v>
      </c>
      <c r="H64" s="48">
        <f>+D64/E64</f>
        <v>0.41979249800478852</v>
      </c>
    </row>
    <row r="65" spans="1:8">
      <c r="A65" s="2" t="s">
        <v>94</v>
      </c>
      <c r="B65" s="21"/>
      <c r="C65" s="20">
        <v>666</v>
      </c>
      <c r="D65" s="25">
        <v>549</v>
      </c>
      <c r="E65" s="26">
        <v>1215</v>
      </c>
      <c r="G65" s="47">
        <f>+C65/E65</f>
        <v>0.54814814814814816</v>
      </c>
      <c r="H65" s="48">
        <f>+D65/E65</f>
        <v>0.45185185185185184</v>
      </c>
    </row>
    <row r="66" spans="1:8">
      <c r="A66" s="2" t="s">
        <v>92</v>
      </c>
      <c r="B66" s="21"/>
      <c r="C66" s="20">
        <v>639</v>
      </c>
      <c r="D66" s="25">
        <v>555</v>
      </c>
      <c r="E66" s="26">
        <v>1194</v>
      </c>
      <c r="G66" s="47">
        <f>+C66/E66</f>
        <v>0.53517587939698497</v>
      </c>
      <c r="H66" s="48">
        <f>+D66/E66</f>
        <v>0.46482412060301509</v>
      </c>
    </row>
    <row r="67" spans="1:8">
      <c r="A67" s="2"/>
      <c r="B67" s="21"/>
      <c r="C67" s="20"/>
      <c r="D67" s="25"/>
      <c r="E67" s="26"/>
      <c r="G67" s="47"/>
      <c r="H67" s="48"/>
    </row>
    <row r="68" spans="1:8" ht="15" customHeight="1">
      <c r="A68" s="1" t="s">
        <v>20</v>
      </c>
      <c r="B68" s="21"/>
      <c r="C68" s="20"/>
      <c r="D68" s="25"/>
      <c r="E68" s="26"/>
      <c r="G68" s="47"/>
      <c r="H68" s="48"/>
    </row>
    <row r="69" spans="1:8">
      <c r="A69" s="2" t="s">
        <v>115</v>
      </c>
      <c r="B69" s="21"/>
      <c r="C69" s="20">
        <v>2042</v>
      </c>
      <c r="D69" s="25">
        <v>2504</v>
      </c>
      <c r="E69" s="26">
        <v>4546</v>
      </c>
      <c r="G69" s="47">
        <f>+C69/E69</f>
        <v>0.44918609766827983</v>
      </c>
      <c r="H69" s="48">
        <f>+D69/E69</f>
        <v>0.55081390233172023</v>
      </c>
    </row>
    <row r="70" spans="1:8">
      <c r="A70" s="2" t="s">
        <v>10</v>
      </c>
      <c r="B70" s="21"/>
      <c r="C70" s="20">
        <v>2229</v>
      </c>
      <c r="D70" s="25">
        <v>2771</v>
      </c>
      <c r="E70" s="26">
        <v>5000</v>
      </c>
      <c r="G70" s="47">
        <f>+C70/E70</f>
        <v>0.44579999999999997</v>
      </c>
      <c r="H70" s="48">
        <f>+D70/E70</f>
        <v>0.55420000000000003</v>
      </c>
    </row>
    <row r="71" spans="1:8">
      <c r="A71" s="2" t="s">
        <v>11</v>
      </c>
      <c r="B71" s="21"/>
      <c r="C71" s="20">
        <v>2282</v>
      </c>
      <c r="D71" s="25">
        <v>2999</v>
      </c>
      <c r="E71" s="26">
        <v>5281</v>
      </c>
      <c r="G71" s="47">
        <f>+C71/E71</f>
        <v>0.43211512971028215</v>
      </c>
      <c r="H71" s="48">
        <f>+D71/E71</f>
        <v>0.5678848702897179</v>
      </c>
    </row>
    <row r="72" spans="1:8">
      <c r="A72" s="2" t="s">
        <v>91</v>
      </c>
      <c r="B72" s="21"/>
      <c r="C72" s="20">
        <v>2271</v>
      </c>
      <c r="D72" s="25">
        <v>3116</v>
      </c>
      <c r="E72" s="26">
        <v>5387</v>
      </c>
      <c r="G72" s="47">
        <f>+C72/E72</f>
        <v>0.42157044737330612</v>
      </c>
      <c r="H72" s="48">
        <f>+D72/E72</f>
        <v>0.57842955262669393</v>
      </c>
    </row>
    <row r="73" spans="1:8">
      <c r="A73" s="2" t="s">
        <v>92</v>
      </c>
      <c r="B73" s="21"/>
      <c r="C73" s="41">
        <v>2277</v>
      </c>
      <c r="D73" s="42">
        <v>3151</v>
      </c>
      <c r="E73" s="40">
        <v>5428</v>
      </c>
      <c r="G73" s="49">
        <f>+C73/E73</f>
        <v>0.41949152542372881</v>
      </c>
      <c r="H73" s="50">
        <f>+D73/E73</f>
        <v>0.58050847457627119</v>
      </c>
    </row>
    <row r="74" spans="1:8">
      <c r="A74" s="2"/>
      <c r="B74" s="21"/>
      <c r="C74" s="25"/>
      <c r="D74" s="25"/>
      <c r="E74" s="25"/>
      <c r="G74" s="332"/>
      <c r="H74" s="332"/>
    </row>
    <row r="75" spans="1:8">
      <c r="A75" s="28" t="s">
        <v>21</v>
      </c>
    </row>
  </sheetData>
  <mergeCells count="4">
    <mergeCell ref="G7:H7"/>
    <mergeCell ref="C7:E7"/>
    <mergeCell ref="A2:H2"/>
    <mergeCell ref="A4:H4"/>
  </mergeCells>
  <printOptions horizontalCentered="1"/>
  <pageMargins left="0.39370078740157483" right="0.39370078740157483" top="0.39370078740157483" bottom="0.39370078740157483" header="0.51181102362204722" footer="0.51181102362204722"/>
  <pageSetup paperSize="9" scale="80" orientation="portrait"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showZeros="0" zoomScaleNormal="100" workbookViewId="0"/>
  </sheetViews>
  <sheetFormatPr defaultColWidth="9.140625" defaultRowHeight="12.75"/>
  <cols>
    <col min="1" max="1" width="28.7109375" style="4" customWidth="1"/>
    <col min="2" max="2" width="5.7109375" style="4" customWidth="1"/>
    <col min="3" max="5" width="13.140625" style="4" customWidth="1"/>
    <col min="6" max="6" width="7.28515625" style="4" customWidth="1"/>
    <col min="7" max="9" width="9.140625" style="4"/>
    <col min="10" max="10" width="5.7109375" style="4" customWidth="1"/>
    <col min="11" max="12" width="9.140625" style="4"/>
    <col min="13" max="13" width="6.140625" style="4" customWidth="1"/>
    <col min="14" max="16384" width="9.140625" style="4"/>
  </cols>
  <sheetData>
    <row r="1" spans="1:16">
      <c r="A1" s="1"/>
    </row>
    <row r="2" spans="1:16">
      <c r="A2" s="344" t="s">
        <v>0</v>
      </c>
      <c r="B2" s="344"/>
      <c r="C2" s="344"/>
      <c r="D2" s="344"/>
      <c r="E2" s="344"/>
      <c r="F2" s="344"/>
      <c r="G2" s="344"/>
      <c r="H2" s="344"/>
      <c r="I2" s="344"/>
      <c r="J2" s="344"/>
      <c r="K2" s="344"/>
      <c r="L2" s="344"/>
      <c r="M2" s="344"/>
      <c r="N2" s="344"/>
      <c r="O2" s="344"/>
    </row>
    <row r="3" spans="1:16" ht="11.25" customHeight="1">
      <c r="A3" s="5"/>
    </row>
    <row r="4" spans="1:16">
      <c r="A4" s="344" t="s">
        <v>1</v>
      </c>
      <c r="B4" s="344"/>
      <c r="C4" s="344"/>
      <c r="D4" s="344"/>
      <c r="E4" s="344"/>
      <c r="F4" s="344"/>
      <c r="G4" s="344"/>
      <c r="H4" s="344"/>
      <c r="I4" s="344"/>
      <c r="J4" s="344"/>
      <c r="K4" s="344"/>
      <c r="L4" s="344"/>
      <c r="M4" s="344"/>
      <c r="N4" s="344"/>
      <c r="O4" s="344"/>
    </row>
    <row r="5" spans="1:16">
      <c r="A5" s="5"/>
    </row>
    <row r="6" spans="1:16">
      <c r="A6" s="3"/>
    </row>
    <row r="7" spans="1:16">
      <c r="A7" s="3"/>
      <c r="C7" s="341" t="s">
        <v>26</v>
      </c>
      <c r="D7" s="343"/>
      <c r="E7" s="342"/>
      <c r="G7" s="341" t="s">
        <v>24</v>
      </c>
      <c r="H7" s="343"/>
      <c r="I7" s="342"/>
      <c r="K7" s="341" t="s">
        <v>27</v>
      </c>
      <c r="L7" s="342"/>
      <c r="N7" s="341" t="s">
        <v>28</v>
      </c>
      <c r="O7" s="342"/>
    </row>
    <row r="8" spans="1:16">
      <c r="A8" s="3"/>
      <c r="C8" s="341" t="s">
        <v>22</v>
      </c>
      <c r="D8" s="343"/>
      <c r="E8" s="342"/>
      <c r="G8" s="341" t="s">
        <v>22</v>
      </c>
      <c r="H8" s="343"/>
      <c r="I8" s="342"/>
      <c r="K8" s="341" t="s">
        <v>23</v>
      </c>
      <c r="L8" s="342"/>
      <c r="N8" s="341" t="s">
        <v>23</v>
      </c>
      <c r="O8" s="342"/>
    </row>
    <row r="9" spans="1:16" s="17" customFormat="1">
      <c r="A9" s="32"/>
      <c r="C9" s="15" t="s">
        <v>7</v>
      </c>
      <c r="D9" s="16" t="s">
        <v>8</v>
      </c>
      <c r="E9" s="30" t="s">
        <v>4</v>
      </c>
      <c r="G9" s="15" t="s">
        <v>7</v>
      </c>
      <c r="H9" s="16" t="s">
        <v>8</v>
      </c>
      <c r="I9" s="30" t="s">
        <v>4</v>
      </c>
      <c r="K9" s="15" t="s">
        <v>7</v>
      </c>
      <c r="L9" s="30" t="s">
        <v>8</v>
      </c>
      <c r="N9" s="15" t="s">
        <v>7</v>
      </c>
      <c r="O9" s="30" t="s">
        <v>8</v>
      </c>
    </row>
    <row r="10" spans="1:16">
      <c r="A10" s="1" t="s">
        <v>9</v>
      </c>
      <c r="C10" s="33"/>
      <c r="D10" s="34"/>
      <c r="E10" s="35"/>
      <c r="G10" s="33"/>
      <c r="H10" s="34"/>
      <c r="I10" s="35"/>
      <c r="K10" s="33"/>
      <c r="L10" s="35"/>
      <c r="N10" s="33"/>
      <c r="O10" s="35"/>
    </row>
    <row r="11" spans="1:16">
      <c r="A11" s="2" t="s">
        <v>115</v>
      </c>
      <c r="C11" s="36">
        <v>7171</v>
      </c>
      <c r="D11" s="37">
        <v>27328</v>
      </c>
      <c r="E11" s="26">
        <v>34499</v>
      </c>
      <c r="F11" s="21"/>
      <c r="G11" s="20">
        <v>9792</v>
      </c>
      <c r="H11" s="25">
        <v>44440</v>
      </c>
      <c r="I11" s="26">
        <v>54232</v>
      </c>
      <c r="K11" s="43">
        <f>+C11/G11</f>
        <v>0.73233251633986929</v>
      </c>
      <c r="L11" s="44">
        <f>+D11/H11</f>
        <v>0.6149414941494149</v>
      </c>
      <c r="N11" s="43">
        <f>+(G11-C11)/G11</f>
        <v>0.26766748366013071</v>
      </c>
      <c r="O11" s="44">
        <f>+(H11-D11)/H11</f>
        <v>0.38505850585058504</v>
      </c>
      <c r="P11" s="340"/>
    </row>
    <row r="12" spans="1:16">
      <c r="A12" s="2" t="s">
        <v>10</v>
      </c>
      <c r="C12" s="36">
        <v>6245</v>
      </c>
      <c r="D12" s="37">
        <v>26782</v>
      </c>
      <c r="E12" s="26">
        <v>33027</v>
      </c>
      <c r="F12" s="21"/>
      <c r="G12" s="20">
        <v>8703</v>
      </c>
      <c r="H12" s="25">
        <v>45039</v>
      </c>
      <c r="I12" s="26">
        <v>53742</v>
      </c>
      <c r="K12" s="43">
        <f>+C12/G12</f>
        <v>0.7175686544869585</v>
      </c>
      <c r="L12" s="44">
        <f>+D12/H12</f>
        <v>0.59464020071493595</v>
      </c>
      <c r="N12" s="43">
        <f>+(G12-C12)/G12</f>
        <v>0.2824313455130415</v>
      </c>
      <c r="O12" s="44">
        <f>+(H12-D12)/H12</f>
        <v>0.40535979928506405</v>
      </c>
      <c r="P12" s="340"/>
    </row>
    <row r="13" spans="1:16">
      <c r="A13" s="2" t="s">
        <v>11</v>
      </c>
      <c r="C13" s="36">
        <v>5752</v>
      </c>
      <c r="D13" s="37">
        <v>27722</v>
      </c>
      <c r="E13" s="26">
        <v>33474</v>
      </c>
      <c r="G13" s="20">
        <v>7998</v>
      </c>
      <c r="H13" s="25">
        <v>46028</v>
      </c>
      <c r="I13" s="26">
        <v>54026</v>
      </c>
      <c r="K13" s="43">
        <f t="shared" ref="K13:K75" si="0">+C13/G13</f>
        <v>0.71917979494873718</v>
      </c>
      <c r="L13" s="44">
        <f t="shared" ref="L13:L75" si="1">+D13/H13</f>
        <v>0.60228556530807331</v>
      </c>
      <c r="N13" s="43">
        <f t="shared" ref="N13:N15" si="2">+(G13-C13)/G13</f>
        <v>0.28082020505126282</v>
      </c>
      <c r="O13" s="44">
        <f t="shared" ref="O13:O15" si="3">+(H13-D13)/H13</f>
        <v>0.39771443469192663</v>
      </c>
      <c r="P13" s="340"/>
    </row>
    <row r="14" spans="1:16">
      <c r="A14" s="2" t="s">
        <v>91</v>
      </c>
      <c r="C14" s="36">
        <v>5463</v>
      </c>
      <c r="D14" s="37">
        <v>29988</v>
      </c>
      <c r="E14" s="26">
        <v>35451</v>
      </c>
      <c r="G14" s="20">
        <v>7806</v>
      </c>
      <c r="H14" s="25">
        <v>48187</v>
      </c>
      <c r="I14" s="26">
        <v>55993</v>
      </c>
      <c r="K14" s="43">
        <f t="shared" si="0"/>
        <v>0.6998462720983859</v>
      </c>
      <c r="L14" s="44">
        <f t="shared" si="1"/>
        <v>0.62232552348143688</v>
      </c>
      <c r="N14" s="43">
        <f t="shared" si="2"/>
        <v>0.30015372790161415</v>
      </c>
      <c r="O14" s="44">
        <f t="shared" si="3"/>
        <v>0.37767447651856312</v>
      </c>
      <c r="P14" s="340"/>
    </row>
    <row r="15" spans="1:16">
      <c r="A15" s="2" t="s">
        <v>92</v>
      </c>
      <c r="C15" s="36">
        <v>6022</v>
      </c>
      <c r="D15" s="37">
        <v>32525</v>
      </c>
      <c r="E15" s="26">
        <v>38547</v>
      </c>
      <c r="G15" s="20">
        <v>7813</v>
      </c>
      <c r="H15" s="25">
        <v>48959</v>
      </c>
      <c r="I15" s="26">
        <v>56772</v>
      </c>
      <c r="K15" s="43">
        <f t="shared" si="0"/>
        <v>0.77076667093306028</v>
      </c>
      <c r="L15" s="44">
        <f t="shared" si="1"/>
        <v>0.66433137931738806</v>
      </c>
      <c r="N15" s="43">
        <f t="shared" si="2"/>
        <v>0.22923332906693972</v>
      </c>
      <c r="O15" s="44">
        <f t="shared" si="3"/>
        <v>0.335668620682612</v>
      </c>
      <c r="P15" s="340"/>
    </row>
    <row r="16" spans="1:16">
      <c r="A16" s="3"/>
      <c r="C16" s="36"/>
      <c r="D16" s="37"/>
      <c r="E16" s="26"/>
      <c r="G16" s="20"/>
      <c r="H16" s="25"/>
      <c r="I16" s="26"/>
      <c r="K16" s="43"/>
      <c r="L16" s="44"/>
      <c r="N16" s="43"/>
      <c r="O16" s="44"/>
      <c r="P16" s="340"/>
    </row>
    <row r="17" spans="1:16">
      <c r="A17" s="1" t="s">
        <v>12</v>
      </c>
      <c r="C17" s="36"/>
      <c r="D17" s="37"/>
      <c r="E17" s="26"/>
      <c r="G17" s="20"/>
      <c r="H17" s="25"/>
      <c r="I17" s="26"/>
      <c r="K17" s="43"/>
      <c r="L17" s="44"/>
      <c r="N17" s="43"/>
      <c r="O17" s="44"/>
      <c r="P17" s="340"/>
    </row>
    <row r="18" spans="1:16">
      <c r="A18" s="2" t="s">
        <v>115</v>
      </c>
      <c r="C18" s="36">
        <v>969</v>
      </c>
      <c r="D18" s="37">
        <v>3303</v>
      </c>
      <c r="E18" s="26">
        <v>4272</v>
      </c>
      <c r="G18" s="20">
        <v>1234</v>
      </c>
      <c r="H18" s="25">
        <v>4734</v>
      </c>
      <c r="I18" s="26">
        <v>5968</v>
      </c>
      <c r="K18" s="43">
        <f t="shared" ref="K18:L18" si="4">+C18/G18</f>
        <v>0.78525121555915722</v>
      </c>
      <c r="L18" s="44">
        <f t="shared" si="4"/>
        <v>0.69771863117870725</v>
      </c>
      <c r="N18" s="43">
        <f t="shared" ref="N18:O18" si="5">+(G18-C18)/G18</f>
        <v>0.21474878444084278</v>
      </c>
      <c r="O18" s="44">
        <f t="shared" si="5"/>
        <v>0.30228136882129275</v>
      </c>
      <c r="P18" s="340"/>
    </row>
    <row r="19" spans="1:16">
      <c r="A19" s="2" t="s">
        <v>10</v>
      </c>
      <c r="C19" s="36">
        <v>934</v>
      </c>
      <c r="D19" s="37">
        <v>3538</v>
      </c>
      <c r="E19" s="26">
        <v>4472</v>
      </c>
      <c r="G19" s="20">
        <v>1207</v>
      </c>
      <c r="H19" s="25">
        <v>5181</v>
      </c>
      <c r="I19" s="26">
        <v>6388</v>
      </c>
      <c r="K19" s="43">
        <f t="shared" si="0"/>
        <v>0.77381938690969343</v>
      </c>
      <c r="L19" s="44">
        <f t="shared" si="1"/>
        <v>0.68287975294344716</v>
      </c>
      <c r="N19" s="43">
        <f t="shared" ref="N19:N75" si="6">+(G19-C19)/G19</f>
        <v>0.22618061309030654</v>
      </c>
      <c r="O19" s="44">
        <f t="shared" ref="O19:O75" si="7">+(H19-D19)/H19</f>
        <v>0.31712024705655278</v>
      </c>
      <c r="P19" s="340"/>
    </row>
    <row r="20" spans="1:16">
      <c r="A20" s="2" t="s">
        <v>11</v>
      </c>
      <c r="C20" s="36">
        <v>895</v>
      </c>
      <c r="D20" s="37">
        <v>3677</v>
      </c>
      <c r="E20" s="26">
        <v>4572</v>
      </c>
      <c r="G20" s="20">
        <v>1143</v>
      </c>
      <c r="H20" s="25">
        <v>5592</v>
      </c>
      <c r="I20" s="26">
        <v>6735</v>
      </c>
      <c r="K20" s="43">
        <f t="shared" si="0"/>
        <v>0.78302712160979882</v>
      </c>
      <c r="L20" s="44">
        <f t="shared" si="1"/>
        <v>0.6575464949928469</v>
      </c>
      <c r="N20" s="43">
        <f t="shared" si="6"/>
        <v>0.21697287839020121</v>
      </c>
      <c r="O20" s="44">
        <f t="shared" si="7"/>
        <v>0.3424535050071531</v>
      </c>
      <c r="P20" s="340"/>
    </row>
    <row r="21" spans="1:16">
      <c r="A21" s="2" t="s">
        <v>91</v>
      </c>
      <c r="C21" s="36">
        <v>926</v>
      </c>
      <c r="D21" s="37">
        <v>3782</v>
      </c>
      <c r="E21" s="26">
        <v>4708</v>
      </c>
      <c r="G21" s="20">
        <v>1187</v>
      </c>
      <c r="H21" s="25">
        <v>5752</v>
      </c>
      <c r="I21" s="26">
        <v>6939</v>
      </c>
      <c r="K21" s="43">
        <f t="shared" si="0"/>
        <v>0.78011794439764115</v>
      </c>
      <c r="L21" s="44">
        <f t="shared" si="1"/>
        <v>0.65751043115438113</v>
      </c>
      <c r="N21" s="43">
        <f t="shared" si="6"/>
        <v>0.21988205560235888</v>
      </c>
      <c r="O21" s="44">
        <f t="shared" si="7"/>
        <v>0.34248956884561893</v>
      </c>
      <c r="P21" s="340"/>
    </row>
    <row r="22" spans="1:16">
      <c r="A22" s="303" t="s">
        <v>92</v>
      </c>
      <c r="C22" s="36">
        <v>922</v>
      </c>
      <c r="D22" s="37">
        <v>3898</v>
      </c>
      <c r="E22" s="26">
        <v>4820</v>
      </c>
      <c r="G22" s="20">
        <v>1164</v>
      </c>
      <c r="H22" s="25">
        <v>5844</v>
      </c>
      <c r="I22" s="26">
        <v>7008</v>
      </c>
      <c r="K22" s="43">
        <f t="shared" si="0"/>
        <v>0.79209621993127144</v>
      </c>
      <c r="L22" s="44">
        <f t="shared" si="1"/>
        <v>0.66700889801505814</v>
      </c>
      <c r="N22" s="43">
        <f t="shared" si="6"/>
        <v>0.20790378006872853</v>
      </c>
      <c r="O22" s="44">
        <f t="shared" si="7"/>
        <v>0.33299110198494181</v>
      </c>
      <c r="P22" s="340"/>
    </row>
    <row r="23" spans="1:16">
      <c r="A23" s="2"/>
      <c r="C23" s="36"/>
      <c r="D23" s="37"/>
      <c r="E23" s="26"/>
      <c r="G23" s="20"/>
      <c r="H23" s="25"/>
      <c r="I23" s="26"/>
      <c r="K23" s="43"/>
      <c r="L23" s="44"/>
      <c r="N23" s="43"/>
      <c r="O23" s="44"/>
      <c r="P23" s="340"/>
    </row>
    <row r="24" spans="1:16">
      <c r="A24" s="1" t="s">
        <v>13</v>
      </c>
      <c r="C24" s="36"/>
      <c r="D24" s="37"/>
      <c r="E24" s="26"/>
      <c r="G24" s="20"/>
      <c r="H24" s="25"/>
      <c r="I24" s="26"/>
      <c r="K24" s="43"/>
      <c r="L24" s="44"/>
      <c r="N24" s="43"/>
      <c r="O24" s="44"/>
      <c r="P24" s="340"/>
    </row>
    <row r="25" spans="1:16">
      <c r="A25" s="2" t="s">
        <v>115</v>
      </c>
      <c r="C25" s="36">
        <v>20566</v>
      </c>
      <c r="D25" s="37">
        <v>20396</v>
      </c>
      <c r="E25" s="26">
        <v>40962</v>
      </c>
      <c r="G25" s="20">
        <v>25907</v>
      </c>
      <c r="H25" s="25">
        <v>35763</v>
      </c>
      <c r="I25" s="26">
        <v>61670</v>
      </c>
      <c r="K25" s="43">
        <f t="shared" ref="K25:L25" si="8">+C25/G25</f>
        <v>0.79383950283707105</v>
      </c>
      <c r="L25" s="44">
        <f t="shared" si="8"/>
        <v>0.57031009702765423</v>
      </c>
      <c r="N25" s="43">
        <f t="shared" ref="N25:O25" si="9">+(G25-C25)/G25</f>
        <v>0.20616049716292895</v>
      </c>
      <c r="O25" s="44">
        <f t="shared" si="9"/>
        <v>0.42968990297234572</v>
      </c>
      <c r="P25" s="340"/>
    </row>
    <row r="26" spans="1:16">
      <c r="A26" s="2" t="s">
        <v>10</v>
      </c>
      <c r="C26" s="36">
        <v>19404</v>
      </c>
      <c r="D26" s="37">
        <v>20792</v>
      </c>
      <c r="E26" s="26">
        <v>40196</v>
      </c>
      <c r="G26" s="20">
        <v>25203</v>
      </c>
      <c r="H26" s="25">
        <v>37109</v>
      </c>
      <c r="I26" s="26">
        <v>62312</v>
      </c>
      <c r="K26" s="43">
        <f t="shared" si="0"/>
        <v>0.76990834424473276</v>
      </c>
      <c r="L26" s="44">
        <f t="shared" si="1"/>
        <v>0.56029534614244525</v>
      </c>
      <c r="N26" s="43">
        <f t="shared" si="6"/>
        <v>0.23009165575526724</v>
      </c>
      <c r="O26" s="44">
        <f t="shared" si="7"/>
        <v>0.43970465385755475</v>
      </c>
      <c r="P26" s="340"/>
    </row>
    <row r="27" spans="1:16">
      <c r="A27" s="2" t="s">
        <v>11</v>
      </c>
      <c r="C27" s="36">
        <v>18881</v>
      </c>
      <c r="D27" s="37">
        <v>20882</v>
      </c>
      <c r="E27" s="26">
        <v>39763</v>
      </c>
      <c r="G27" s="20">
        <v>25122</v>
      </c>
      <c r="H27" s="25">
        <v>37912</v>
      </c>
      <c r="I27" s="26">
        <v>63034</v>
      </c>
      <c r="K27" s="43">
        <f t="shared" si="0"/>
        <v>0.75157232704402521</v>
      </c>
      <c r="L27" s="44">
        <f t="shared" si="1"/>
        <v>0.55080185693184214</v>
      </c>
      <c r="N27" s="43">
        <f t="shared" si="6"/>
        <v>0.24842767295597484</v>
      </c>
      <c r="O27" s="44">
        <f t="shared" si="7"/>
        <v>0.44919814306815786</v>
      </c>
      <c r="P27" s="340"/>
    </row>
    <row r="28" spans="1:16" ht="11.25" customHeight="1">
      <c r="A28" s="2" t="s">
        <v>91</v>
      </c>
      <c r="C28" s="36">
        <v>17422</v>
      </c>
      <c r="D28" s="37">
        <v>20331</v>
      </c>
      <c r="E28" s="26">
        <v>37753</v>
      </c>
      <c r="G28" s="20">
        <v>23489</v>
      </c>
      <c r="H28" s="25">
        <v>37440</v>
      </c>
      <c r="I28" s="26">
        <v>60929</v>
      </c>
      <c r="K28" s="43">
        <f t="shared" si="0"/>
        <v>0.74170888501000465</v>
      </c>
      <c r="L28" s="44">
        <f t="shared" si="1"/>
        <v>0.54302884615384617</v>
      </c>
      <c r="N28" s="43">
        <f t="shared" si="6"/>
        <v>0.2582911149899953</v>
      </c>
      <c r="O28" s="44">
        <f t="shared" si="7"/>
        <v>0.45697115384615383</v>
      </c>
      <c r="P28" s="340"/>
    </row>
    <row r="29" spans="1:16">
      <c r="A29" s="2" t="s">
        <v>92</v>
      </c>
      <c r="C29" s="36">
        <v>17852</v>
      </c>
      <c r="D29" s="37">
        <v>21478</v>
      </c>
      <c r="E29" s="26">
        <v>39330</v>
      </c>
      <c r="G29" s="20">
        <v>23094</v>
      </c>
      <c r="H29" s="25">
        <v>37327</v>
      </c>
      <c r="I29" s="26">
        <v>60421</v>
      </c>
      <c r="K29" s="43">
        <f t="shared" si="0"/>
        <v>0.77301463583614793</v>
      </c>
      <c r="L29" s="44">
        <f t="shared" si="1"/>
        <v>0.57540118412945052</v>
      </c>
      <c r="N29" s="43">
        <f t="shared" si="6"/>
        <v>0.22698536416385209</v>
      </c>
      <c r="O29" s="44">
        <f t="shared" si="7"/>
        <v>0.42459881587054948</v>
      </c>
      <c r="P29" s="340"/>
    </row>
    <row r="30" spans="1:16" ht="15" customHeight="1">
      <c r="A30" s="3"/>
      <c r="C30" s="36"/>
      <c r="D30" s="37"/>
      <c r="E30" s="26"/>
      <c r="G30" s="20"/>
      <c r="H30" s="25"/>
      <c r="I30" s="26"/>
      <c r="K30" s="43"/>
      <c r="L30" s="44"/>
      <c r="N30" s="43"/>
      <c r="O30" s="44"/>
      <c r="P30" s="340"/>
    </row>
    <row r="31" spans="1:16">
      <c r="A31" s="1" t="s">
        <v>14</v>
      </c>
      <c r="C31" s="36"/>
      <c r="D31" s="37"/>
      <c r="E31" s="26"/>
      <c r="G31" s="20"/>
      <c r="H31" s="25"/>
      <c r="I31" s="26"/>
      <c r="K31" s="43"/>
      <c r="L31" s="44"/>
      <c r="N31" s="43"/>
      <c r="O31" s="44"/>
      <c r="P31" s="340"/>
    </row>
    <row r="32" spans="1:16">
      <c r="A32" s="2" t="s">
        <v>115</v>
      </c>
      <c r="C32" s="36">
        <v>1916</v>
      </c>
      <c r="D32" s="37">
        <v>2129</v>
      </c>
      <c r="E32" s="26">
        <v>4045</v>
      </c>
      <c r="G32" s="20">
        <v>2341</v>
      </c>
      <c r="H32" s="25">
        <v>2940</v>
      </c>
      <c r="I32" s="26">
        <v>5281</v>
      </c>
      <c r="K32" s="43">
        <f t="shared" ref="K32:L32" si="10">+C32/G32</f>
        <v>0.81845365228534817</v>
      </c>
      <c r="L32" s="44">
        <f t="shared" si="10"/>
        <v>0.72414965986394553</v>
      </c>
      <c r="N32" s="43">
        <f t="shared" ref="N32:O32" si="11">+(G32-C32)/G32</f>
        <v>0.18154634771465186</v>
      </c>
      <c r="O32" s="44">
        <f t="shared" si="11"/>
        <v>0.27585034013605442</v>
      </c>
      <c r="P32" s="340"/>
    </row>
    <row r="33" spans="1:16">
      <c r="A33" s="2" t="s">
        <v>10</v>
      </c>
      <c r="C33" s="36">
        <v>1917</v>
      </c>
      <c r="D33" s="37">
        <v>2510</v>
      </c>
      <c r="E33" s="26">
        <v>4427</v>
      </c>
      <c r="G33" s="20">
        <v>2409</v>
      </c>
      <c r="H33" s="25">
        <v>3472</v>
      </c>
      <c r="I33" s="26">
        <v>5881</v>
      </c>
      <c r="K33" s="43">
        <f t="shared" si="0"/>
        <v>0.79576587795765874</v>
      </c>
      <c r="L33" s="44">
        <f t="shared" si="1"/>
        <v>0.72292626728110598</v>
      </c>
      <c r="N33" s="43">
        <f t="shared" si="6"/>
        <v>0.20423412204234123</v>
      </c>
      <c r="O33" s="44">
        <f t="shared" si="7"/>
        <v>0.27707373271889402</v>
      </c>
      <c r="P33" s="340"/>
    </row>
    <row r="34" spans="1:16">
      <c r="A34" s="2" t="s">
        <v>11</v>
      </c>
      <c r="C34" s="36">
        <v>1998</v>
      </c>
      <c r="D34" s="37">
        <v>2812</v>
      </c>
      <c r="E34" s="26">
        <v>4810</v>
      </c>
      <c r="G34" s="20">
        <v>2486</v>
      </c>
      <c r="H34" s="25">
        <v>4024</v>
      </c>
      <c r="I34" s="26">
        <v>6510</v>
      </c>
      <c r="K34" s="43">
        <f t="shared" si="0"/>
        <v>0.80370072405470638</v>
      </c>
      <c r="L34" s="44">
        <f t="shared" si="1"/>
        <v>0.69880715705765406</v>
      </c>
      <c r="N34" s="43">
        <f t="shared" si="6"/>
        <v>0.19629927594529364</v>
      </c>
      <c r="O34" s="44">
        <f t="shared" si="7"/>
        <v>0.30119284294234594</v>
      </c>
      <c r="P34" s="340"/>
    </row>
    <row r="35" spans="1:16">
      <c r="A35" s="2" t="s">
        <v>91</v>
      </c>
      <c r="C35" s="36">
        <v>1974</v>
      </c>
      <c r="D35" s="37">
        <v>3251</v>
      </c>
      <c r="E35" s="26">
        <v>5225</v>
      </c>
      <c r="G35" s="20">
        <v>2521</v>
      </c>
      <c r="H35" s="25">
        <v>4595</v>
      </c>
      <c r="I35" s="26">
        <v>7116</v>
      </c>
      <c r="K35" s="43">
        <f t="shared" si="0"/>
        <v>0.78302261007536689</v>
      </c>
      <c r="L35" s="44">
        <f t="shared" si="1"/>
        <v>0.70750816104461367</v>
      </c>
      <c r="N35" s="43">
        <f t="shared" si="6"/>
        <v>0.21697738992463309</v>
      </c>
      <c r="O35" s="44">
        <f t="shared" si="7"/>
        <v>0.29249183895538627</v>
      </c>
      <c r="P35" s="340"/>
    </row>
    <row r="36" spans="1:16">
      <c r="A36" s="2" t="s">
        <v>92</v>
      </c>
      <c r="C36" s="36">
        <v>2112</v>
      </c>
      <c r="D36" s="37">
        <v>3463</v>
      </c>
      <c r="E36" s="26">
        <v>5575</v>
      </c>
      <c r="G36" s="20">
        <v>2571</v>
      </c>
      <c r="H36" s="25">
        <v>4763</v>
      </c>
      <c r="I36" s="26">
        <v>7334</v>
      </c>
      <c r="K36" s="43">
        <f t="shared" si="0"/>
        <v>0.8214702450408401</v>
      </c>
      <c r="L36" s="44">
        <f t="shared" si="1"/>
        <v>0.7270627755616208</v>
      </c>
      <c r="N36" s="43">
        <f t="shared" si="6"/>
        <v>0.17852975495915985</v>
      </c>
      <c r="O36" s="44">
        <f t="shared" si="7"/>
        <v>0.2729372244383792</v>
      </c>
      <c r="P36" s="340"/>
    </row>
    <row r="37" spans="1:16">
      <c r="A37" s="2"/>
      <c r="C37" s="36"/>
      <c r="D37" s="37"/>
      <c r="E37" s="26"/>
      <c r="G37" s="20"/>
      <c r="H37" s="25"/>
      <c r="I37" s="26"/>
      <c r="K37" s="43"/>
      <c r="L37" s="44"/>
      <c r="N37" s="43"/>
      <c r="O37" s="44"/>
      <c r="P37" s="340"/>
    </row>
    <row r="38" spans="1:16" ht="14.25" customHeight="1">
      <c r="A38" s="1" t="s">
        <v>15</v>
      </c>
      <c r="C38" s="36"/>
      <c r="D38" s="37"/>
      <c r="E38" s="26"/>
      <c r="G38" s="20"/>
      <c r="H38" s="25"/>
      <c r="I38" s="26"/>
      <c r="K38" s="43"/>
      <c r="L38" s="44"/>
      <c r="N38" s="43"/>
      <c r="O38" s="44"/>
      <c r="P38" s="340"/>
    </row>
    <row r="39" spans="1:16" ht="14.25" customHeight="1">
      <c r="A39" s="2" t="s">
        <v>11</v>
      </c>
      <c r="C39" s="36">
        <v>108</v>
      </c>
      <c r="D39" s="37">
        <v>589</v>
      </c>
      <c r="E39" s="26">
        <v>697</v>
      </c>
      <c r="G39" s="20">
        <v>134</v>
      </c>
      <c r="H39" s="25">
        <v>849</v>
      </c>
      <c r="I39" s="26">
        <v>983</v>
      </c>
      <c r="K39" s="43">
        <f t="shared" si="0"/>
        <v>0.80597014925373134</v>
      </c>
      <c r="L39" s="44">
        <f t="shared" si="1"/>
        <v>0.69375736160188461</v>
      </c>
      <c r="N39" s="43">
        <f t="shared" si="6"/>
        <v>0.19402985074626866</v>
      </c>
      <c r="O39" s="44">
        <f t="shared" si="7"/>
        <v>0.30624263839811544</v>
      </c>
      <c r="P39" s="340"/>
    </row>
    <row r="40" spans="1:16">
      <c r="A40" s="303" t="s">
        <v>91</v>
      </c>
      <c r="C40" s="36">
        <v>132</v>
      </c>
      <c r="D40" s="37">
        <v>734</v>
      </c>
      <c r="E40" s="26">
        <v>866</v>
      </c>
      <c r="G40" s="20">
        <v>176</v>
      </c>
      <c r="H40" s="25">
        <v>1094</v>
      </c>
      <c r="I40" s="26">
        <v>1270</v>
      </c>
      <c r="K40" s="43">
        <f t="shared" si="0"/>
        <v>0.75</v>
      </c>
      <c r="L40" s="44">
        <f t="shared" si="1"/>
        <v>0.67093235831809872</v>
      </c>
      <c r="N40" s="43">
        <f t="shared" si="6"/>
        <v>0.25</v>
      </c>
      <c r="O40" s="44">
        <f t="shared" si="7"/>
        <v>0.32906764168190128</v>
      </c>
      <c r="P40" s="340"/>
    </row>
    <row r="41" spans="1:16" ht="13.5" customHeight="1">
      <c r="A41" s="2" t="s">
        <v>92</v>
      </c>
      <c r="C41" s="36">
        <v>146</v>
      </c>
      <c r="D41" s="37">
        <v>790</v>
      </c>
      <c r="E41" s="26">
        <v>936</v>
      </c>
      <c r="G41" s="20">
        <v>197</v>
      </c>
      <c r="H41" s="25">
        <v>1177</v>
      </c>
      <c r="I41" s="26">
        <v>1374</v>
      </c>
      <c r="K41" s="43">
        <f t="shared" ref="K41" si="12">+C41/G41</f>
        <v>0.74111675126903553</v>
      </c>
      <c r="L41" s="44">
        <f t="shared" ref="L41" si="13">+D41/H41</f>
        <v>0.6711979609175871</v>
      </c>
      <c r="N41" s="43">
        <f t="shared" ref="N41" si="14">+(G41-C41)/G41</f>
        <v>0.25888324873096447</v>
      </c>
      <c r="O41" s="44">
        <f t="shared" ref="O41" si="15">+(H41-D41)/H41</f>
        <v>0.3288020390824129</v>
      </c>
      <c r="P41" s="340"/>
    </row>
    <row r="42" spans="1:16" ht="13.5" customHeight="1">
      <c r="A42" s="2"/>
      <c r="C42" s="36"/>
      <c r="D42" s="37"/>
      <c r="E42" s="26"/>
      <c r="G42" s="20"/>
      <c r="H42" s="25"/>
      <c r="I42" s="26"/>
      <c r="K42" s="43"/>
      <c r="L42" s="44"/>
      <c r="N42" s="43"/>
      <c r="O42" s="44"/>
      <c r="P42" s="340"/>
    </row>
    <row r="43" spans="1:16">
      <c r="A43" s="1" t="s">
        <v>16</v>
      </c>
      <c r="C43" s="36"/>
      <c r="D43" s="37"/>
      <c r="E43" s="26"/>
      <c r="G43" s="20"/>
      <c r="H43" s="25"/>
      <c r="I43" s="26"/>
      <c r="K43" s="43"/>
      <c r="L43" s="44"/>
      <c r="N43" s="43"/>
      <c r="O43" s="44"/>
      <c r="P43" s="340"/>
    </row>
    <row r="44" spans="1:16">
      <c r="A44" s="2" t="s">
        <v>115</v>
      </c>
      <c r="C44" s="36">
        <v>3145</v>
      </c>
      <c r="D44" s="37">
        <v>2383</v>
      </c>
      <c r="E44" s="26">
        <v>5528</v>
      </c>
      <c r="G44" s="20">
        <v>5023</v>
      </c>
      <c r="H44" s="25">
        <v>4329</v>
      </c>
      <c r="I44" s="26">
        <v>9352</v>
      </c>
      <c r="K44" s="43">
        <f t="shared" ref="K44:L44" si="16">+C44/G44</f>
        <v>0.62611984869599846</v>
      </c>
      <c r="L44" s="44">
        <f t="shared" si="16"/>
        <v>0.55047355047355051</v>
      </c>
      <c r="N44" s="43">
        <f t="shared" ref="N44:O44" si="17">+(G44-C44)/G44</f>
        <v>0.3738801513040016</v>
      </c>
      <c r="O44" s="44">
        <f t="shared" si="17"/>
        <v>0.44952644952644955</v>
      </c>
      <c r="P44" s="340"/>
    </row>
    <row r="45" spans="1:16">
      <c r="A45" s="2" t="s">
        <v>10</v>
      </c>
      <c r="C45" s="36">
        <v>3095</v>
      </c>
      <c r="D45" s="37">
        <v>2484</v>
      </c>
      <c r="E45" s="26">
        <v>5579</v>
      </c>
      <c r="G45" s="20">
        <v>4943</v>
      </c>
      <c r="H45" s="25">
        <v>4646</v>
      </c>
      <c r="I45" s="26">
        <v>9589</v>
      </c>
      <c r="K45" s="43">
        <f t="shared" si="0"/>
        <v>0.62613797289095696</v>
      </c>
      <c r="L45" s="44">
        <f t="shared" si="1"/>
        <v>0.53465346534653468</v>
      </c>
      <c r="N45" s="43">
        <f t="shared" si="6"/>
        <v>0.37386202710904309</v>
      </c>
      <c r="O45" s="44">
        <f t="shared" si="7"/>
        <v>0.46534653465346537</v>
      </c>
      <c r="P45" s="340"/>
    </row>
    <row r="46" spans="1:16">
      <c r="A46" s="2" t="s">
        <v>11</v>
      </c>
      <c r="C46" s="36">
        <v>3047</v>
      </c>
      <c r="D46" s="37">
        <v>2617</v>
      </c>
      <c r="E46" s="26">
        <v>5664</v>
      </c>
      <c r="G46" s="20">
        <v>5147</v>
      </c>
      <c r="H46" s="25">
        <v>5137</v>
      </c>
      <c r="I46" s="26">
        <v>10284</v>
      </c>
      <c r="K46" s="43">
        <f t="shared" si="0"/>
        <v>0.59199533708956675</v>
      </c>
      <c r="L46" s="44">
        <f t="shared" si="1"/>
        <v>0.50944130815651156</v>
      </c>
      <c r="N46" s="43">
        <f t="shared" si="6"/>
        <v>0.40800466291043325</v>
      </c>
      <c r="O46" s="44">
        <f t="shared" si="7"/>
        <v>0.49055869184348844</v>
      </c>
      <c r="P46" s="340"/>
    </row>
    <row r="47" spans="1:16">
      <c r="A47" s="2" t="s">
        <v>91</v>
      </c>
      <c r="C47" s="36">
        <v>2806</v>
      </c>
      <c r="D47" s="37">
        <v>2554</v>
      </c>
      <c r="E47" s="26">
        <v>5360</v>
      </c>
      <c r="G47" s="20">
        <v>4943</v>
      </c>
      <c r="H47" s="25">
        <v>5210</v>
      </c>
      <c r="I47" s="26">
        <v>10153</v>
      </c>
      <c r="K47" s="43">
        <f t="shared" si="0"/>
        <v>0.56767145458223756</v>
      </c>
      <c r="L47" s="44">
        <f t="shared" si="1"/>
        <v>0.49021113243761993</v>
      </c>
      <c r="N47" s="43">
        <f t="shared" si="6"/>
        <v>0.4323285454177625</v>
      </c>
      <c r="O47" s="44">
        <f t="shared" si="7"/>
        <v>0.50978886756238007</v>
      </c>
      <c r="P47" s="340"/>
    </row>
    <row r="48" spans="1:16">
      <c r="A48" s="303" t="s">
        <v>92</v>
      </c>
      <c r="C48" s="36">
        <v>2181</v>
      </c>
      <c r="D48" s="37">
        <v>2253</v>
      </c>
      <c r="E48" s="26">
        <v>4434</v>
      </c>
      <c r="G48" s="20">
        <v>4029</v>
      </c>
      <c r="H48" s="25">
        <v>4756</v>
      </c>
      <c r="I48" s="26">
        <v>8785</v>
      </c>
      <c r="K48" s="43">
        <f t="shared" si="0"/>
        <v>0.54132539091585996</v>
      </c>
      <c r="L48" s="44">
        <f t="shared" si="1"/>
        <v>0.47371740958788899</v>
      </c>
      <c r="N48" s="43">
        <f t="shared" si="6"/>
        <v>0.45867460908413998</v>
      </c>
      <c r="O48" s="44">
        <f t="shared" si="7"/>
        <v>0.52628259041211101</v>
      </c>
      <c r="P48" s="340"/>
    </row>
    <row r="49" spans="1:16" ht="14.25" customHeight="1">
      <c r="A49" s="2"/>
      <c r="C49" s="36"/>
      <c r="D49" s="37"/>
      <c r="E49" s="26"/>
      <c r="G49" s="20"/>
      <c r="H49" s="25"/>
      <c r="I49" s="26"/>
      <c r="K49" s="43"/>
      <c r="L49" s="44"/>
      <c r="N49" s="43"/>
      <c r="O49" s="44"/>
      <c r="P49" s="340"/>
    </row>
    <row r="50" spans="1:16" ht="14.25" customHeight="1">
      <c r="A50" s="1" t="s">
        <v>17</v>
      </c>
      <c r="C50" s="36"/>
      <c r="D50" s="37"/>
      <c r="E50" s="26"/>
      <c r="G50" s="20"/>
      <c r="H50" s="25"/>
      <c r="I50" s="26"/>
      <c r="K50" s="43"/>
      <c r="L50" s="44"/>
      <c r="N50" s="43"/>
      <c r="O50" s="44"/>
      <c r="P50" s="340"/>
    </row>
    <row r="51" spans="1:16" ht="14.25" customHeight="1">
      <c r="A51" s="2" t="s">
        <v>11</v>
      </c>
      <c r="C51" s="36">
        <v>70</v>
      </c>
      <c r="D51" s="37">
        <v>189</v>
      </c>
      <c r="E51" s="26">
        <v>259</v>
      </c>
      <c r="G51" s="20">
        <v>125</v>
      </c>
      <c r="H51" s="25">
        <v>647</v>
      </c>
      <c r="I51" s="26">
        <v>772</v>
      </c>
      <c r="K51" s="43">
        <f t="shared" si="0"/>
        <v>0.56000000000000005</v>
      </c>
      <c r="L51" s="44">
        <f t="shared" si="1"/>
        <v>0.29211746522411131</v>
      </c>
      <c r="N51" s="43">
        <f t="shared" si="6"/>
        <v>0.44</v>
      </c>
      <c r="O51" s="44">
        <f t="shared" si="7"/>
        <v>0.70788253477588869</v>
      </c>
      <c r="P51" s="340"/>
    </row>
    <row r="52" spans="1:16">
      <c r="A52" s="303" t="s">
        <v>91</v>
      </c>
      <c r="C52" s="36">
        <v>64</v>
      </c>
      <c r="D52" s="37">
        <v>181</v>
      </c>
      <c r="E52" s="26">
        <v>245</v>
      </c>
      <c r="G52" s="20">
        <v>131</v>
      </c>
      <c r="H52" s="25">
        <v>703</v>
      </c>
      <c r="I52" s="26">
        <v>834</v>
      </c>
      <c r="K52" s="43">
        <f t="shared" si="0"/>
        <v>0.48854961832061067</v>
      </c>
      <c r="L52" s="44">
        <f t="shared" si="1"/>
        <v>0.25746799431009959</v>
      </c>
      <c r="N52" s="43">
        <f t="shared" si="6"/>
        <v>0.51145038167938928</v>
      </c>
      <c r="O52" s="44">
        <f t="shared" si="7"/>
        <v>0.74253200568990041</v>
      </c>
      <c r="P52" s="340"/>
    </row>
    <row r="53" spans="1:16" ht="14.25" customHeight="1">
      <c r="A53" s="303" t="s">
        <v>92</v>
      </c>
      <c r="C53" s="36">
        <v>59</v>
      </c>
      <c r="D53" s="37">
        <v>176</v>
      </c>
      <c r="E53" s="26">
        <v>235</v>
      </c>
      <c r="G53" s="20">
        <v>133</v>
      </c>
      <c r="H53" s="25">
        <v>732</v>
      </c>
      <c r="I53" s="26">
        <v>865</v>
      </c>
      <c r="K53" s="43">
        <f t="shared" ref="K53" si="18">+C53/G53</f>
        <v>0.44360902255639095</v>
      </c>
      <c r="L53" s="44">
        <f t="shared" ref="L53" si="19">+D53/H53</f>
        <v>0.24043715846994534</v>
      </c>
      <c r="N53" s="43">
        <f t="shared" ref="N53" si="20">+(G53-C53)/G53</f>
        <v>0.55639097744360899</v>
      </c>
      <c r="O53" s="44">
        <f t="shared" ref="O53" si="21">+(H53-D53)/H53</f>
        <v>0.7595628415300546</v>
      </c>
      <c r="P53" s="340"/>
    </row>
    <row r="54" spans="1:16" ht="14.25" customHeight="1">
      <c r="A54" s="303"/>
      <c r="C54" s="36"/>
      <c r="D54" s="37"/>
      <c r="E54" s="26"/>
      <c r="G54" s="20"/>
      <c r="H54" s="25"/>
      <c r="I54" s="26"/>
      <c r="K54" s="43"/>
      <c r="L54" s="44"/>
      <c r="N54" s="43"/>
      <c r="O54" s="44"/>
      <c r="P54" s="340"/>
    </row>
    <row r="55" spans="1:16" ht="13.5" customHeight="1">
      <c r="A55" s="27" t="s">
        <v>18</v>
      </c>
      <c r="C55" s="36"/>
      <c r="D55" s="37"/>
      <c r="E55" s="26"/>
      <c r="G55" s="20"/>
      <c r="H55" s="25"/>
      <c r="I55" s="26"/>
      <c r="K55" s="43"/>
      <c r="L55" s="44"/>
      <c r="N55" s="43"/>
      <c r="O55" s="44"/>
      <c r="P55" s="340"/>
    </row>
    <row r="56" spans="1:16">
      <c r="A56" s="2" t="s">
        <v>115</v>
      </c>
      <c r="C56" s="36">
        <v>702</v>
      </c>
      <c r="D56" s="37">
        <v>994</v>
      </c>
      <c r="E56" s="26">
        <v>1696</v>
      </c>
      <c r="G56" s="20">
        <v>1851</v>
      </c>
      <c r="H56" s="25">
        <v>3010</v>
      </c>
      <c r="I56" s="26">
        <v>4861</v>
      </c>
      <c r="K56" s="43">
        <f t="shared" ref="K56:L56" si="22">+C56/G56</f>
        <v>0.37925445705024313</v>
      </c>
      <c r="L56" s="44">
        <f t="shared" si="22"/>
        <v>0.33023255813953489</v>
      </c>
      <c r="N56" s="43">
        <f t="shared" ref="N56:O56" si="23">+(G56-C56)/G56</f>
        <v>0.62074554294975692</v>
      </c>
      <c r="O56" s="44">
        <f t="shared" si="23"/>
        <v>0.66976744186046511</v>
      </c>
      <c r="P56" s="340"/>
    </row>
    <row r="57" spans="1:16">
      <c r="A57" s="2" t="s">
        <v>10</v>
      </c>
      <c r="C57" s="36">
        <v>789</v>
      </c>
      <c r="D57" s="37">
        <v>1134</v>
      </c>
      <c r="E57" s="26">
        <v>1923</v>
      </c>
      <c r="G57" s="20">
        <v>1990</v>
      </c>
      <c r="H57" s="25">
        <v>3419</v>
      </c>
      <c r="I57" s="26">
        <v>5409</v>
      </c>
      <c r="K57" s="43">
        <f t="shared" si="0"/>
        <v>0.39648241206030149</v>
      </c>
      <c r="L57" s="44">
        <f t="shared" si="1"/>
        <v>0.33167592863410356</v>
      </c>
      <c r="N57" s="43">
        <f t="shared" si="6"/>
        <v>0.60351758793969845</v>
      </c>
      <c r="O57" s="44">
        <f t="shared" si="7"/>
        <v>0.66832407136589644</v>
      </c>
      <c r="P57" s="340"/>
    </row>
    <row r="58" spans="1:16">
      <c r="A58" s="2" t="s">
        <v>11</v>
      </c>
      <c r="C58" s="36">
        <v>840</v>
      </c>
      <c r="D58" s="37">
        <v>1211</v>
      </c>
      <c r="E58" s="26">
        <v>2051</v>
      </c>
      <c r="G58" s="20">
        <v>1994</v>
      </c>
      <c r="H58" s="25">
        <v>3570</v>
      </c>
      <c r="I58" s="26">
        <v>5564</v>
      </c>
      <c r="K58" s="43">
        <f t="shared" si="0"/>
        <v>0.42126379137412234</v>
      </c>
      <c r="L58" s="44">
        <f t="shared" si="1"/>
        <v>0.33921568627450982</v>
      </c>
      <c r="N58" s="43">
        <f t="shared" si="6"/>
        <v>0.5787362086258776</v>
      </c>
      <c r="O58" s="44">
        <f t="shared" si="7"/>
        <v>0.66078431372549018</v>
      </c>
      <c r="P58" s="340"/>
    </row>
    <row r="59" spans="1:16">
      <c r="A59" s="2" t="s">
        <v>94</v>
      </c>
      <c r="C59" s="36">
        <v>782</v>
      </c>
      <c r="D59" s="37">
        <v>1280</v>
      </c>
      <c r="E59" s="26">
        <v>2062</v>
      </c>
      <c r="G59" s="20">
        <v>2008</v>
      </c>
      <c r="H59" s="25">
        <v>3735</v>
      </c>
      <c r="I59" s="26">
        <v>5743</v>
      </c>
      <c r="K59" s="43">
        <f t="shared" si="0"/>
        <v>0.3894422310756972</v>
      </c>
      <c r="L59" s="44">
        <f t="shared" si="1"/>
        <v>0.34270414993306558</v>
      </c>
      <c r="N59" s="43">
        <f t="shared" si="6"/>
        <v>0.6105577689243028</v>
      </c>
      <c r="O59" s="44">
        <f t="shared" si="7"/>
        <v>0.65729585006693436</v>
      </c>
      <c r="P59" s="340"/>
    </row>
    <row r="60" spans="1:16">
      <c r="A60" s="303" t="s">
        <v>92</v>
      </c>
      <c r="C60" s="36">
        <v>797</v>
      </c>
      <c r="D60" s="37">
        <v>1326</v>
      </c>
      <c r="E60" s="26">
        <v>2123</v>
      </c>
      <c r="G60" s="20">
        <v>2003</v>
      </c>
      <c r="H60" s="25">
        <v>3811</v>
      </c>
      <c r="I60" s="26">
        <v>5814</v>
      </c>
      <c r="K60" s="43">
        <f t="shared" si="0"/>
        <v>0.39790314528207688</v>
      </c>
      <c r="L60" s="44">
        <f t="shared" si="1"/>
        <v>0.34794017318289161</v>
      </c>
      <c r="N60" s="43">
        <f t="shared" si="6"/>
        <v>0.60209685471792307</v>
      </c>
      <c r="O60" s="44">
        <f t="shared" si="7"/>
        <v>0.65205982681710839</v>
      </c>
      <c r="P60" s="340"/>
    </row>
    <row r="61" spans="1:16" ht="14.25" customHeight="1">
      <c r="A61" s="2"/>
      <c r="C61" s="36"/>
      <c r="D61" s="37"/>
      <c r="E61" s="26"/>
      <c r="G61" s="20"/>
      <c r="H61" s="25"/>
      <c r="I61" s="26"/>
      <c r="K61" s="43"/>
      <c r="L61" s="44"/>
      <c r="N61" s="43"/>
      <c r="O61" s="44"/>
      <c r="P61" s="340"/>
    </row>
    <row r="62" spans="1:16">
      <c r="A62" s="345" t="s">
        <v>19</v>
      </c>
      <c r="C62" s="36"/>
      <c r="D62" s="37"/>
      <c r="E62" s="26"/>
      <c r="G62" s="20"/>
      <c r="H62" s="25"/>
      <c r="I62" s="26"/>
      <c r="K62" s="43"/>
      <c r="L62" s="44"/>
      <c r="N62" s="43"/>
      <c r="O62" s="44"/>
      <c r="P62" s="340"/>
    </row>
    <row r="63" spans="1:16">
      <c r="A63" s="346"/>
      <c r="C63" s="36"/>
      <c r="D63" s="37"/>
      <c r="E63" s="26"/>
      <c r="G63" s="20"/>
      <c r="H63" s="25"/>
      <c r="I63" s="26"/>
      <c r="K63" s="43"/>
      <c r="L63" s="44"/>
      <c r="N63" s="43"/>
      <c r="O63" s="44"/>
      <c r="P63" s="340"/>
    </row>
    <row r="64" spans="1:16">
      <c r="A64" s="2" t="s">
        <v>115</v>
      </c>
      <c r="C64" s="36">
        <v>146</v>
      </c>
      <c r="D64" s="37">
        <v>111</v>
      </c>
      <c r="E64" s="26">
        <v>257</v>
      </c>
      <c r="G64" s="20">
        <v>815</v>
      </c>
      <c r="H64" s="25">
        <v>472</v>
      </c>
      <c r="I64" s="26">
        <v>1287</v>
      </c>
      <c r="K64" s="43">
        <f t="shared" ref="K64:L64" si="24">+C64/G64</f>
        <v>0.17914110429447852</v>
      </c>
      <c r="L64" s="44">
        <f t="shared" si="24"/>
        <v>0.23516949152542374</v>
      </c>
      <c r="N64" s="43">
        <f t="shared" ref="N64:O64" si="25">+(G64-C64)/G64</f>
        <v>0.82085889570552151</v>
      </c>
      <c r="O64" s="44">
        <f t="shared" si="25"/>
        <v>0.76483050847457623</v>
      </c>
      <c r="P64" s="340"/>
    </row>
    <row r="65" spans="1:16">
      <c r="A65" s="2" t="s">
        <v>10</v>
      </c>
      <c r="C65" s="36">
        <v>172</v>
      </c>
      <c r="D65" s="37">
        <v>133</v>
      </c>
      <c r="E65" s="26">
        <v>305</v>
      </c>
      <c r="G65" s="20">
        <v>732</v>
      </c>
      <c r="H65" s="25">
        <v>501</v>
      </c>
      <c r="I65" s="26">
        <v>1233</v>
      </c>
      <c r="K65" s="43">
        <f t="shared" si="0"/>
        <v>0.23497267759562843</v>
      </c>
      <c r="L65" s="44">
        <f t="shared" si="1"/>
        <v>0.26546906187624753</v>
      </c>
      <c r="N65" s="43">
        <f t="shared" si="6"/>
        <v>0.76502732240437155</v>
      </c>
      <c r="O65" s="44">
        <f t="shared" si="7"/>
        <v>0.73453093812375247</v>
      </c>
      <c r="P65" s="340"/>
    </row>
    <row r="66" spans="1:16">
      <c r="A66" s="2" t="s">
        <v>11</v>
      </c>
      <c r="C66" s="36">
        <v>188</v>
      </c>
      <c r="D66" s="37">
        <v>175</v>
      </c>
      <c r="E66" s="26">
        <v>363</v>
      </c>
      <c r="G66" s="20">
        <v>727</v>
      </c>
      <c r="H66" s="25">
        <v>526</v>
      </c>
      <c r="I66" s="26">
        <v>1253</v>
      </c>
      <c r="K66" s="43">
        <f t="shared" si="0"/>
        <v>0.25859697386519948</v>
      </c>
      <c r="L66" s="44">
        <f t="shared" si="1"/>
        <v>0.33269961977186313</v>
      </c>
      <c r="N66" s="43">
        <f t="shared" si="6"/>
        <v>0.74140302613480058</v>
      </c>
      <c r="O66" s="44">
        <f t="shared" si="7"/>
        <v>0.66730038022813687</v>
      </c>
      <c r="P66" s="340"/>
    </row>
    <row r="67" spans="1:16">
      <c r="A67" s="2" t="s">
        <v>94</v>
      </c>
      <c r="C67" s="36">
        <v>180</v>
      </c>
      <c r="D67" s="37">
        <v>199</v>
      </c>
      <c r="E67" s="26">
        <v>379</v>
      </c>
      <c r="G67" s="20">
        <v>666</v>
      </c>
      <c r="H67" s="25">
        <v>549</v>
      </c>
      <c r="I67" s="26">
        <v>1215</v>
      </c>
      <c r="K67" s="43">
        <f t="shared" si="0"/>
        <v>0.27027027027027029</v>
      </c>
      <c r="L67" s="44">
        <f t="shared" si="1"/>
        <v>0.36247723132969034</v>
      </c>
      <c r="N67" s="43">
        <f t="shared" si="6"/>
        <v>0.72972972972972971</v>
      </c>
      <c r="O67" s="44">
        <f t="shared" si="7"/>
        <v>0.63752276867030966</v>
      </c>
      <c r="P67" s="340"/>
    </row>
    <row r="68" spans="1:16">
      <c r="A68" s="303" t="s">
        <v>92</v>
      </c>
      <c r="C68" s="36">
        <v>179</v>
      </c>
      <c r="D68" s="37">
        <v>204</v>
      </c>
      <c r="E68" s="26">
        <v>383</v>
      </c>
      <c r="G68" s="20">
        <v>639</v>
      </c>
      <c r="H68" s="25">
        <v>555</v>
      </c>
      <c r="I68" s="26">
        <v>1194</v>
      </c>
      <c r="K68" s="43">
        <f t="shared" si="0"/>
        <v>0.28012519561815336</v>
      </c>
      <c r="L68" s="44">
        <f t="shared" si="1"/>
        <v>0.36756756756756759</v>
      </c>
      <c r="N68" s="43">
        <f t="shared" si="6"/>
        <v>0.71987480438184659</v>
      </c>
      <c r="O68" s="44">
        <f t="shared" si="7"/>
        <v>0.63243243243243241</v>
      </c>
      <c r="P68" s="340"/>
    </row>
    <row r="69" spans="1:16">
      <c r="A69" s="2"/>
      <c r="C69" s="36"/>
      <c r="D69" s="37"/>
      <c r="E69" s="26"/>
      <c r="G69" s="20"/>
      <c r="H69" s="25"/>
      <c r="I69" s="26"/>
      <c r="K69" s="43"/>
      <c r="L69" s="44"/>
      <c r="N69" s="43"/>
      <c r="O69" s="44"/>
      <c r="P69" s="340"/>
    </row>
    <row r="70" spans="1:16" ht="15" customHeight="1">
      <c r="A70" s="1" t="s">
        <v>20</v>
      </c>
      <c r="C70" s="36"/>
      <c r="D70" s="37"/>
      <c r="E70" s="26"/>
      <c r="G70" s="20"/>
      <c r="H70" s="25"/>
      <c r="I70" s="26"/>
      <c r="K70" s="43"/>
      <c r="L70" s="44"/>
      <c r="N70" s="43"/>
      <c r="O70" s="44"/>
      <c r="P70" s="340"/>
    </row>
    <row r="71" spans="1:16">
      <c r="A71" s="2" t="s">
        <v>115</v>
      </c>
      <c r="C71" s="36">
        <v>987</v>
      </c>
      <c r="D71" s="37">
        <v>700</v>
      </c>
      <c r="E71" s="26">
        <v>1687</v>
      </c>
      <c r="G71" s="20">
        <v>2042</v>
      </c>
      <c r="H71" s="25">
        <v>2504</v>
      </c>
      <c r="I71" s="26">
        <v>4546</v>
      </c>
      <c r="K71" s="43">
        <f t="shared" ref="K71:L71" si="26">+C71/G71</f>
        <v>0.48334965719882467</v>
      </c>
      <c r="L71" s="44">
        <f t="shared" si="26"/>
        <v>0.2795527156549521</v>
      </c>
      <c r="N71" s="43">
        <f t="shared" ref="N71:O71" si="27">+(G71-C71)/G71</f>
        <v>0.51665034280117528</v>
      </c>
      <c r="O71" s="44">
        <f t="shared" si="27"/>
        <v>0.7204472843450479</v>
      </c>
      <c r="P71" s="340"/>
    </row>
    <row r="72" spans="1:16">
      <c r="A72" s="2" t="s">
        <v>10</v>
      </c>
      <c r="C72" s="36">
        <v>1034</v>
      </c>
      <c r="D72" s="37">
        <v>807</v>
      </c>
      <c r="E72" s="26">
        <v>1841</v>
      </c>
      <c r="G72" s="20">
        <v>2229</v>
      </c>
      <c r="H72" s="25">
        <v>2771</v>
      </c>
      <c r="I72" s="26">
        <v>5000</v>
      </c>
      <c r="K72" s="43">
        <f t="shared" si="0"/>
        <v>0.46388515029161059</v>
      </c>
      <c r="L72" s="44">
        <f t="shared" si="1"/>
        <v>0.29123060267051604</v>
      </c>
      <c r="N72" s="43">
        <f t="shared" si="6"/>
        <v>0.53611484970838941</v>
      </c>
      <c r="O72" s="44">
        <f t="shared" si="7"/>
        <v>0.70876939732948396</v>
      </c>
      <c r="P72" s="340"/>
    </row>
    <row r="73" spans="1:16">
      <c r="A73" s="2" t="s">
        <v>11</v>
      </c>
      <c r="C73" s="36">
        <v>1013</v>
      </c>
      <c r="D73" s="37">
        <v>847</v>
      </c>
      <c r="E73" s="26">
        <v>1860</v>
      </c>
      <c r="G73" s="20">
        <v>2282</v>
      </c>
      <c r="H73" s="25">
        <v>2999</v>
      </c>
      <c r="I73" s="26">
        <v>5281</v>
      </c>
      <c r="K73" s="43">
        <f t="shared" si="0"/>
        <v>0.44390885188431201</v>
      </c>
      <c r="L73" s="44">
        <f t="shared" si="1"/>
        <v>0.28242747582527511</v>
      </c>
      <c r="N73" s="43">
        <f t="shared" si="6"/>
        <v>0.55609114811568794</v>
      </c>
      <c r="O73" s="44">
        <f t="shared" si="7"/>
        <v>0.71757252417472495</v>
      </c>
      <c r="P73" s="340"/>
    </row>
    <row r="74" spans="1:16">
      <c r="A74" s="2" t="s">
        <v>91</v>
      </c>
      <c r="C74" s="36">
        <v>989</v>
      </c>
      <c r="D74" s="37">
        <v>895</v>
      </c>
      <c r="E74" s="26">
        <v>1884</v>
      </c>
      <c r="G74" s="20">
        <v>2271</v>
      </c>
      <c r="H74" s="25">
        <v>3116</v>
      </c>
      <c r="I74" s="26">
        <v>5387</v>
      </c>
      <c r="K74" s="43">
        <f t="shared" si="0"/>
        <v>0.43549097313958607</v>
      </c>
      <c r="L74" s="44">
        <f t="shared" si="1"/>
        <v>0.28722721437740695</v>
      </c>
      <c r="N74" s="43">
        <f t="shared" si="6"/>
        <v>0.56450902686041393</v>
      </c>
      <c r="O74" s="44">
        <f t="shared" si="7"/>
        <v>0.71277278562259305</v>
      </c>
      <c r="P74" s="340"/>
    </row>
    <row r="75" spans="1:16">
      <c r="A75" s="303" t="s">
        <v>92</v>
      </c>
      <c r="C75" s="38">
        <v>969</v>
      </c>
      <c r="D75" s="39">
        <v>957</v>
      </c>
      <c r="E75" s="40">
        <v>1926</v>
      </c>
      <c r="G75" s="41">
        <v>2277</v>
      </c>
      <c r="H75" s="42">
        <v>3151</v>
      </c>
      <c r="I75" s="40">
        <v>5428</v>
      </c>
      <c r="K75" s="45">
        <f t="shared" si="0"/>
        <v>0.42555994729907776</v>
      </c>
      <c r="L75" s="46">
        <f t="shared" si="1"/>
        <v>0.30371310695017456</v>
      </c>
      <c r="N75" s="45">
        <f t="shared" si="6"/>
        <v>0.57444005270092224</v>
      </c>
      <c r="O75" s="46">
        <f t="shared" si="7"/>
        <v>0.69628689304982549</v>
      </c>
      <c r="P75" s="340"/>
    </row>
    <row r="78" spans="1:16">
      <c r="A78" s="28" t="s">
        <v>21</v>
      </c>
    </row>
  </sheetData>
  <mergeCells count="11">
    <mergeCell ref="A62:A63"/>
    <mergeCell ref="N8:O8"/>
    <mergeCell ref="A2:O2"/>
    <mergeCell ref="A4:O4"/>
    <mergeCell ref="C8:E8"/>
    <mergeCell ref="G8:I8"/>
    <mergeCell ref="K8:L8"/>
    <mergeCell ref="C7:E7"/>
    <mergeCell ref="G7:I7"/>
    <mergeCell ref="K7:L7"/>
    <mergeCell ref="N7:O7"/>
  </mergeCells>
  <printOptions horizontalCentered="1"/>
  <pageMargins left="0.39370078740157483" right="0.39370078740157483" top="0.39370078740157483" bottom="0.19685039370078741" header="0.51181102362204722" footer="0.51181102362204722"/>
  <pageSetup paperSize="9" scale="55"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7"/>
  <sheetViews>
    <sheetView zoomScaleNormal="100" workbookViewId="0"/>
  </sheetViews>
  <sheetFormatPr defaultColWidth="9.28515625" defaultRowHeight="12.75"/>
  <cols>
    <col min="1" max="1" width="28.7109375" style="4" customWidth="1"/>
    <col min="2" max="19" width="7.5703125" style="4" customWidth="1"/>
    <col min="20" max="256" width="9.28515625" style="4"/>
    <col min="257" max="257" width="28.7109375" style="4" customWidth="1"/>
    <col min="258" max="275" width="7.5703125" style="4" customWidth="1"/>
    <col min="276" max="512" width="9.28515625" style="4"/>
    <col min="513" max="513" width="28.7109375" style="4" customWidth="1"/>
    <col min="514" max="531" width="7.5703125" style="4" customWidth="1"/>
    <col min="532" max="768" width="9.28515625" style="4"/>
    <col min="769" max="769" width="28.7109375" style="4" customWidth="1"/>
    <col min="770" max="787" width="7.5703125" style="4" customWidth="1"/>
    <col min="788" max="1024" width="9.28515625" style="4"/>
    <col min="1025" max="1025" width="28.7109375" style="4" customWidth="1"/>
    <col min="1026" max="1043" width="7.5703125" style="4" customWidth="1"/>
    <col min="1044" max="1280" width="9.28515625" style="4"/>
    <col min="1281" max="1281" width="28.7109375" style="4" customWidth="1"/>
    <col min="1282" max="1299" width="7.5703125" style="4" customWidth="1"/>
    <col min="1300" max="1536" width="9.28515625" style="4"/>
    <col min="1537" max="1537" width="28.7109375" style="4" customWidth="1"/>
    <col min="1538" max="1555" width="7.5703125" style="4" customWidth="1"/>
    <col min="1556" max="1792" width="9.28515625" style="4"/>
    <col min="1793" max="1793" width="28.7109375" style="4" customWidth="1"/>
    <col min="1794" max="1811" width="7.5703125" style="4" customWidth="1"/>
    <col min="1812" max="2048" width="9.28515625" style="4"/>
    <col min="2049" max="2049" width="28.7109375" style="4" customWidth="1"/>
    <col min="2050" max="2067" width="7.5703125" style="4" customWidth="1"/>
    <col min="2068" max="2304" width="9.28515625" style="4"/>
    <col min="2305" max="2305" width="28.7109375" style="4" customWidth="1"/>
    <col min="2306" max="2323" width="7.5703125" style="4" customWidth="1"/>
    <col min="2324" max="2560" width="9.28515625" style="4"/>
    <col min="2561" max="2561" width="28.7109375" style="4" customWidth="1"/>
    <col min="2562" max="2579" width="7.5703125" style="4" customWidth="1"/>
    <col min="2580" max="2816" width="9.28515625" style="4"/>
    <col min="2817" max="2817" width="28.7109375" style="4" customWidth="1"/>
    <col min="2818" max="2835" width="7.5703125" style="4" customWidth="1"/>
    <col min="2836" max="3072" width="9.28515625" style="4"/>
    <col min="3073" max="3073" width="28.7109375" style="4" customWidth="1"/>
    <col min="3074" max="3091" width="7.5703125" style="4" customWidth="1"/>
    <col min="3092" max="3328" width="9.28515625" style="4"/>
    <col min="3329" max="3329" width="28.7109375" style="4" customWidth="1"/>
    <col min="3330" max="3347" width="7.5703125" style="4" customWidth="1"/>
    <col min="3348" max="3584" width="9.28515625" style="4"/>
    <col min="3585" max="3585" width="28.7109375" style="4" customWidth="1"/>
    <col min="3586" max="3603" width="7.5703125" style="4" customWidth="1"/>
    <col min="3604" max="3840" width="9.28515625" style="4"/>
    <col min="3841" max="3841" width="28.7109375" style="4" customWidth="1"/>
    <col min="3842" max="3859" width="7.5703125" style="4" customWidth="1"/>
    <col min="3860" max="4096" width="9.28515625" style="4"/>
    <col min="4097" max="4097" width="28.7109375" style="4" customWidth="1"/>
    <col min="4098" max="4115" width="7.5703125" style="4" customWidth="1"/>
    <col min="4116" max="4352" width="9.28515625" style="4"/>
    <col min="4353" max="4353" width="28.7109375" style="4" customWidth="1"/>
    <col min="4354" max="4371" width="7.5703125" style="4" customWidth="1"/>
    <col min="4372" max="4608" width="9.28515625" style="4"/>
    <col min="4609" max="4609" width="28.7109375" style="4" customWidth="1"/>
    <col min="4610" max="4627" width="7.5703125" style="4" customWidth="1"/>
    <col min="4628" max="4864" width="9.28515625" style="4"/>
    <col min="4865" max="4865" width="28.7109375" style="4" customWidth="1"/>
    <col min="4866" max="4883" width="7.5703125" style="4" customWidth="1"/>
    <col min="4884" max="5120" width="9.28515625" style="4"/>
    <col min="5121" max="5121" width="28.7109375" style="4" customWidth="1"/>
    <col min="5122" max="5139" width="7.5703125" style="4" customWidth="1"/>
    <col min="5140" max="5376" width="9.28515625" style="4"/>
    <col min="5377" max="5377" width="28.7109375" style="4" customWidth="1"/>
    <col min="5378" max="5395" width="7.5703125" style="4" customWidth="1"/>
    <col min="5396" max="5632" width="9.28515625" style="4"/>
    <col min="5633" max="5633" width="28.7109375" style="4" customWidth="1"/>
    <col min="5634" max="5651" width="7.5703125" style="4" customWidth="1"/>
    <col min="5652" max="5888" width="9.28515625" style="4"/>
    <col min="5889" max="5889" width="28.7109375" style="4" customWidth="1"/>
    <col min="5890" max="5907" width="7.5703125" style="4" customWidth="1"/>
    <col min="5908" max="6144" width="9.28515625" style="4"/>
    <col min="6145" max="6145" width="28.7109375" style="4" customWidth="1"/>
    <col min="6146" max="6163" width="7.5703125" style="4" customWidth="1"/>
    <col min="6164" max="6400" width="9.28515625" style="4"/>
    <col min="6401" max="6401" width="28.7109375" style="4" customWidth="1"/>
    <col min="6402" max="6419" width="7.5703125" style="4" customWidth="1"/>
    <col min="6420" max="6656" width="9.28515625" style="4"/>
    <col min="6657" max="6657" width="28.7109375" style="4" customWidth="1"/>
    <col min="6658" max="6675" width="7.5703125" style="4" customWidth="1"/>
    <col min="6676" max="6912" width="9.28515625" style="4"/>
    <col min="6913" max="6913" width="28.7109375" style="4" customWidth="1"/>
    <col min="6914" max="6931" width="7.5703125" style="4" customWidth="1"/>
    <col min="6932" max="7168" width="9.28515625" style="4"/>
    <col min="7169" max="7169" width="28.7109375" style="4" customWidth="1"/>
    <col min="7170" max="7187" width="7.5703125" style="4" customWidth="1"/>
    <col min="7188" max="7424" width="9.28515625" style="4"/>
    <col min="7425" max="7425" width="28.7109375" style="4" customWidth="1"/>
    <col min="7426" max="7443" width="7.5703125" style="4" customWidth="1"/>
    <col min="7444" max="7680" width="9.28515625" style="4"/>
    <col min="7681" max="7681" width="28.7109375" style="4" customWidth="1"/>
    <col min="7682" max="7699" width="7.5703125" style="4" customWidth="1"/>
    <col min="7700" max="7936" width="9.28515625" style="4"/>
    <col min="7937" max="7937" width="28.7109375" style="4" customWidth="1"/>
    <col min="7938" max="7955" width="7.5703125" style="4" customWidth="1"/>
    <col min="7956" max="8192" width="9.28515625" style="4"/>
    <col min="8193" max="8193" width="28.7109375" style="4" customWidth="1"/>
    <col min="8194" max="8211" width="7.5703125" style="4" customWidth="1"/>
    <col min="8212" max="8448" width="9.28515625" style="4"/>
    <col min="8449" max="8449" width="28.7109375" style="4" customWidth="1"/>
    <col min="8450" max="8467" width="7.5703125" style="4" customWidth="1"/>
    <col min="8468" max="8704" width="9.28515625" style="4"/>
    <col min="8705" max="8705" width="28.7109375" style="4" customWidth="1"/>
    <col min="8706" max="8723" width="7.5703125" style="4" customWidth="1"/>
    <col min="8724" max="8960" width="9.28515625" style="4"/>
    <col min="8961" max="8961" width="28.7109375" style="4" customWidth="1"/>
    <col min="8962" max="8979" width="7.5703125" style="4" customWidth="1"/>
    <col min="8980" max="9216" width="9.28515625" style="4"/>
    <col min="9217" max="9217" width="28.7109375" style="4" customWidth="1"/>
    <col min="9218" max="9235" width="7.5703125" style="4" customWidth="1"/>
    <col min="9236" max="9472" width="9.28515625" style="4"/>
    <col min="9473" max="9473" width="28.7109375" style="4" customWidth="1"/>
    <col min="9474" max="9491" width="7.5703125" style="4" customWidth="1"/>
    <col min="9492" max="9728" width="9.28515625" style="4"/>
    <col min="9729" max="9729" width="28.7109375" style="4" customWidth="1"/>
    <col min="9730" max="9747" width="7.5703125" style="4" customWidth="1"/>
    <col min="9748" max="9984" width="9.28515625" style="4"/>
    <col min="9985" max="9985" width="28.7109375" style="4" customWidth="1"/>
    <col min="9986" max="10003" width="7.5703125" style="4" customWidth="1"/>
    <col min="10004" max="10240" width="9.28515625" style="4"/>
    <col min="10241" max="10241" width="28.7109375" style="4" customWidth="1"/>
    <col min="10242" max="10259" width="7.5703125" style="4" customWidth="1"/>
    <col min="10260" max="10496" width="9.28515625" style="4"/>
    <col min="10497" max="10497" width="28.7109375" style="4" customWidth="1"/>
    <col min="10498" max="10515" width="7.5703125" style="4" customWidth="1"/>
    <col min="10516" max="10752" width="9.28515625" style="4"/>
    <col min="10753" max="10753" width="28.7109375" style="4" customWidth="1"/>
    <col min="10754" max="10771" width="7.5703125" style="4" customWidth="1"/>
    <col min="10772" max="11008" width="9.28515625" style="4"/>
    <col min="11009" max="11009" width="28.7109375" style="4" customWidth="1"/>
    <col min="11010" max="11027" width="7.5703125" style="4" customWidth="1"/>
    <col min="11028" max="11264" width="9.28515625" style="4"/>
    <col min="11265" max="11265" width="28.7109375" style="4" customWidth="1"/>
    <col min="11266" max="11283" width="7.5703125" style="4" customWidth="1"/>
    <col min="11284" max="11520" width="9.28515625" style="4"/>
    <col min="11521" max="11521" width="28.7109375" style="4" customWidth="1"/>
    <col min="11522" max="11539" width="7.5703125" style="4" customWidth="1"/>
    <col min="11540" max="11776" width="9.28515625" style="4"/>
    <col min="11777" max="11777" width="28.7109375" style="4" customWidth="1"/>
    <col min="11778" max="11795" width="7.5703125" style="4" customWidth="1"/>
    <col min="11796" max="12032" width="9.28515625" style="4"/>
    <col min="12033" max="12033" width="28.7109375" style="4" customWidth="1"/>
    <col min="12034" max="12051" width="7.5703125" style="4" customWidth="1"/>
    <col min="12052" max="12288" width="9.28515625" style="4"/>
    <col min="12289" max="12289" width="28.7109375" style="4" customWidth="1"/>
    <col min="12290" max="12307" width="7.5703125" style="4" customWidth="1"/>
    <col min="12308" max="12544" width="9.28515625" style="4"/>
    <col min="12545" max="12545" width="28.7109375" style="4" customWidth="1"/>
    <col min="12546" max="12563" width="7.5703125" style="4" customWidth="1"/>
    <col min="12564" max="12800" width="9.28515625" style="4"/>
    <col min="12801" max="12801" width="28.7109375" style="4" customWidth="1"/>
    <col min="12802" max="12819" width="7.5703125" style="4" customWidth="1"/>
    <col min="12820" max="13056" width="9.28515625" style="4"/>
    <col min="13057" max="13057" width="28.7109375" style="4" customWidth="1"/>
    <col min="13058" max="13075" width="7.5703125" style="4" customWidth="1"/>
    <col min="13076" max="13312" width="9.28515625" style="4"/>
    <col min="13313" max="13313" width="28.7109375" style="4" customWidth="1"/>
    <col min="13314" max="13331" width="7.5703125" style="4" customWidth="1"/>
    <col min="13332" max="13568" width="9.28515625" style="4"/>
    <col min="13569" max="13569" width="28.7109375" style="4" customWidth="1"/>
    <col min="13570" max="13587" width="7.5703125" style="4" customWidth="1"/>
    <col min="13588" max="13824" width="9.28515625" style="4"/>
    <col min="13825" max="13825" width="28.7109375" style="4" customWidth="1"/>
    <col min="13826" max="13843" width="7.5703125" style="4" customWidth="1"/>
    <col min="13844" max="14080" width="9.28515625" style="4"/>
    <col min="14081" max="14081" width="28.7109375" style="4" customWidth="1"/>
    <col min="14082" max="14099" width="7.5703125" style="4" customWidth="1"/>
    <col min="14100" max="14336" width="9.28515625" style="4"/>
    <col min="14337" max="14337" width="28.7109375" style="4" customWidth="1"/>
    <col min="14338" max="14355" width="7.5703125" style="4" customWidth="1"/>
    <col min="14356" max="14592" width="9.28515625" style="4"/>
    <col min="14593" max="14593" width="28.7109375" style="4" customWidth="1"/>
    <col min="14594" max="14611" width="7.5703125" style="4" customWidth="1"/>
    <col min="14612" max="14848" width="9.28515625" style="4"/>
    <col min="14849" max="14849" width="28.7109375" style="4" customWidth="1"/>
    <col min="14850" max="14867" width="7.5703125" style="4" customWidth="1"/>
    <col min="14868" max="15104" width="9.28515625" style="4"/>
    <col min="15105" max="15105" width="28.7109375" style="4" customWidth="1"/>
    <col min="15106" max="15123" width="7.5703125" style="4" customWidth="1"/>
    <col min="15124" max="15360" width="9.28515625" style="4"/>
    <col min="15361" max="15361" width="28.7109375" style="4" customWidth="1"/>
    <col min="15362" max="15379" width="7.5703125" style="4" customWidth="1"/>
    <col min="15380" max="15616" width="9.28515625" style="4"/>
    <col min="15617" max="15617" width="28.7109375" style="4" customWidth="1"/>
    <col min="15618" max="15635" width="7.5703125" style="4" customWidth="1"/>
    <col min="15636" max="15872" width="9.28515625" style="4"/>
    <col min="15873" max="15873" width="28.7109375" style="4" customWidth="1"/>
    <col min="15874" max="15891" width="7.5703125" style="4" customWidth="1"/>
    <col min="15892" max="16128" width="9.28515625" style="4"/>
    <col min="16129" max="16129" width="28.7109375" style="4" customWidth="1"/>
    <col min="16130" max="16147" width="7.5703125" style="4" customWidth="1"/>
    <col min="16148" max="16384" width="9.28515625" style="4"/>
  </cols>
  <sheetData>
    <row r="1" spans="1:22">
      <c r="A1" s="1" t="s">
        <v>95</v>
      </c>
      <c r="B1" s="2"/>
      <c r="C1" s="2"/>
      <c r="D1" s="2"/>
      <c r="E1" s="3"/>
      <c r="F1" s="2"/>
      <c r="G1" s="2"/>
      <c r="H1" s="2"/>
      <c r="I1" s="2"/>
      <c r="J1" s="2"/>
      <c r="K1" s="2"/>
      <c r="L1" s="2"/>
      <c r="M1" s="2"/>
      <c r="N1" s="2"/>
      <c r="O1" s="2"/>
      <c r="P1" s="2"/>
      <c r="Q1" s="2"/>
      <c r="R1" s="2"/>
      <c r="S1" s="2"/>
    </row>
    <row r="2" spans="1:22">
      <c r="A2" s="5" t="s">
        <v>0</v>
      </c>
      <c r="B2" s="6"/>
      <c r="C2" s="6"/>
      <c r="D2" s="5"/>
      <c r="E2" s="7"/>
      <c r="F2" s="6"/>
      <c r="G2" s="8"/>
      <c r="H2" s="6"/>
      <c r="I2" s="8"/>
      <c r="J2" s="6"/>
      <c r="K2" s="6"/>
      <c r="L2" s="6"/>
      <c r="M2" s="6"/>
      <c r="N2" s="6"/>
      <c r="O2" s="6"/>
      <c r="P2" s="6"/>
      <c r="Q2" s="6"/>
      <c r="R2" s="6"/>
      <c r="S2" s="6"/>
    </row>
    <row r="3" spans="1:22" ht="11.25" customHeight="1">
      <c r="A3" s="5"/>
      <c r="B3" s="6"/>
      <c r="C3" s="6"/>
      <c r="D3" s="6"/>
      <c r="E3" s="7"/>
      <c r="F3" s="5"/>
      <c r="G3" s="8"/>
      <c r="H3" s="6"/>
      <c r="I3" s="8"/>
      <c r="J3" s="6"/>
      <c r="K3" s="6"/>
      <c r="L3" s="6"/>
      <c r="M3" s="6"/>
      <c r="N3" s="6"/>
      <c r="O3" s="6"/>
      <c r="P3" s="6"/>
      <c r="Q3" s="6"/>
      <c r="R3" s="6"/>
      <c r="S3" s="6"/>
    </row>
    <row r="4" spans="1:22">
      <c r="A4" s="5" t="s">
        <v>1</v>
      </c>
      <c r="B4" s="6"/>
      <c r="C4" s="6"/>
      <c r="D4" s="6"/>
      <c r="E4" s="7"/>
      <c r="F4" s="5"/>
      <c r="G4" s="8"/>
      <c r="H4" s="6"/>
      <c r="I4" s="8"/>
      <c r="J4" s="6"/>
      <c r="K4" s="6"/>
      <c r="L4" s="6"/>
      <c r="M4" s="6"/>
      <c r="N4" s="6"/>
      <c r="O4" s="6"/>
      <c r="P4" s="6"/>
      <c r="Q4" s="6"/>
      <c r="R4" s="6"/>
      <c r="S4" s="6"/>
    </row>
    <row r="5" spans="1:22" ht="13.5" thickBot="1">
      <c r="A5" s="2"/>
      <c r="B5" s="2"/>
      <c r="C5" s="2"/>
      <c r="D5" s="2"/>
      <c r="E5" s="3"/>
      <c r="F5" s="2"/>
      <c r="G5" s="2"/>
      <c r="H5" s="2"/>
      <c r="I5" s="2"/>
      <c r="J5" s="2"/>
      <c r="K5" s="2"/>
      <c r="L5" s="2"/>
      <c r="M5" s="2"/>
      <c r="N5" s="2"/>
      <c r="O5" s="2"/>
      <c r="P5" s="2"/>
      <c r="Q5" s="2"/>
      <c r="R5" s="2"/>
      <c r="S5" s="2"/>
    </row>
    <row r="6" spans="1:22">
      <c r="A6" s="9"/>
      <c r="B6" s="10" t="s">
        <v>2</v>
      </c>
      <c r="C6" s="11"/>
      <c r="D6" s="11"/>
      <c r="E6" s="11"/>
      <c r="F6" s="11"/>
      <c r="G6" s="11"/>
      <c r="H6" s="10" t="s">
        <v>3</v>
      </c>
      <c r="I6" s="11"/>
      <c r="J6" s="11"/>
      <c r="K6" s="11"/>
      <c r="L6" s="11"/>
      <c r="M6" s="11"/>
      <c r="N6" s="10" t="s">
        <v>4</v>
      </c>
      <c r="O6" s="11"/>
      <c r="P6" s="11"/>
      <c r="Q6" s="11"/>
      <c r="R6" s="11"/>
      <c r="S6" s="304"/>
    </row>
    <row r="7" spans="1:22">
      <c r="A7" s="3"/>
      <c r="B7" s="12" t="s">
        <v>5</v>
      </c>
      <c r="C7" s="13"/>
      <c r="D7" s="13"/>
      <c r="E7" s="12" t="s">
        <v>6</v>
      </c>
      <c r="F7" s="13"/>
      <c r="G7" s="13"/>
      <c r="H7" s="12" t="s">
        <v>5</v>
      </c>
      <c r="I7" s="13"/>
      <c r="J7" s="13"/>
      <c r="K7" s="12" t="s">
        <v>6</v>
      </c>
      <c r="L7" s="13"/>
      <c r="M7" s="13"/>
      <c r="N7" s="12" t="s">
        <v>5</v>
      </c>
      <c r="O7" s="13"/>
      <c r="P7" s="13"/>
      <c r="Q7" s="12" t="s">
        <v>6</v>
      </c>
      <c r="R7" s="13"/>
      <c r="S7" s="305"/>
    </row>
    <row r="8" spans="1:22" s="17" customFormat="1">
      <c r="A8" s="14"/>
      <c r="B8" s="15" t="s">
        <v>7</v>
      </c>
      <c r="C8" s="16" t="s">
        <v>8</v>
      </c>
      <c r="D8" s="16" t="s">
        <v>4</v>
      </c>
      <c r="E8" s="15" t="s">
        <v>7</v>
      </c>
      <c r="F8" s="16" t="s">
        <v>8</v>
      </c>
      <c r="G8" s="16" t="s">
        <v>4</v>
      </c>
      <c r="H8" s="15" t="s">
        <v>7</v>
      </c>
      <c r="I8" s="16" t="s">
        <v>8</v>
      </c>
      <c r="J8" s="16" t="s">
        <v>4</v>
      </c>
      <c r="K8" s="15" t="s">
        <v>7</v>
      </c>
      <c r="L8" s="16" t="s">
        <v>8</v>
      </c>
      <c r="M8" s="16" t="s">
        <v>4</v>
      </c>
      <c r="N8" s="15" t="s">
        <v>7</v>
      </c>
      <c r="O8" s="16" t="s">
        <v>8</v>
      </c>
      <c r="P8" s="16" t="s">
        <v>4</v>
      </c>
      <c r="Q8" s="15" t="s">
        <v>7</v>
      </c>
      <c r="R8" s="16" t="s">
        <v>8</v>
      </c>
      <c r="S8" s="30" t="s">
        <v>4</v>
      </c>
    </row>
    <row r="9" spans="1:22">
      <c r="A9" s="1"/>
      <c r="B9" s="18"/>
      <c r="C9" s="1"/>
      <c r="D9" s="1"/>
      <c r="E9" s="19"/>
      <c r="F9" s="2"/>
      <c r="G9" s="2"/>
      <c r="H9" s="19"/>
      <c r="I9" s="2"/>
      <c r="J9" s="2"/>
      <c r="K9" s="19"/>
      <c r="L9" s="2"/>
      <c r="M9" s="2"/>
      <c r="N9" s="19"/>
      <c r="O9" s="2"/>
      <c r="P9" s="2"/>
      <c r="Q9" s="19"/>
      <c r="R9" s="2"/>
      <c r="S9" s="306"/>
    </row>
    <row r="10" spans="1:22">
      <c r="A10" s="1" t="s">
        <v>9</v>
      </c>
      <c r="B10" s="20"/>
      <c r="C10" s="21"/>
      <c r="D10" s="21"/>
      <c r="E10" s="20"/>
      <c r="F10" s="21"/>
      <c r="G10" s="21"/>
      <c r="H10" s="20"/>
      <c r="I10" s="21"/>
      <c r="J10" s="21"/>
      <c r="K10" s="20"/>
      <c r="L10" s="21"/>
      <c r="M10" s="21"/>
      <c r="N10" s="20"/>
      <c r="O10" s="21"/>
      <c r="P10" s="21"/>
      <c r="Q10" s="20"/>
      <c r="R10" s="21"/>
      <c r="S10" s="26"/>
    </row>
    <row r="11" spans="1:22">
      <c r="A11" s="2" t="s">
        <v>115</v>
      </c>
      <c r="B11" s="20">
        <v>6178</v>
      </c>
      <c r="C11" s="21">
        <v>20218</v>
      </c>
      <c r="D11" s="21">
        <f>(B11+C11)</f>
        <v>26396</v>
      </c>
      <c r="E11" s="20">
        <v>993</v>
      </c>
      <c r="F11" s="21">
        <v>7110</v>
      </c>
      <c r="G11" s="21">
        <f>(E11+F11)</f>
        <v>8103</v>
      </c>
      <c r="H11" s="20">
        <v>2009</v>
      </c>
      <c r="I11" s="21">
        <v>12193</v>
      </c>
      <c r="J11" s="21">
        <f>(H11+I11)</f>
        <v>14202</v>
      </c>
      <c r="K11" s="22">
        <v>612</v>
      </c>
      <c r="L11" s="21">
        <v>4919</v>
      </c>
      <c r="M11" s="21">
        <f>SUM(K11:L11)</f>
        <v>5531</v>
      </c>
      <c r="N11" s="20">
        <f t="shared" ref="N11:S11" si="0">SUM(B11,H11)</f>
        <v>8187</v>
      </c>
      <c r="O11" s="21">
        <f t="shared" si="0"/>
        <v>32411</v>
      </c>
      <c r="P11" s="21">
        <f t="shared" si="0"/>
        <v>40598</v>
      </c>
      <c r="Q11" s="20">
        <f t="shared" si="0"/>
        <v>1605</v>
      </c>
      <c r="R11" s="21">
        <f t="shared" si="0"/>
        <v>12029</v>
      </c>
      <c r="S11" s="21">
        <f t="shared" si="0"/>
        <v>13634</v>
      </c>
      <c r="U11" s="333"/>
      <c r="V11" s="333"/>
    </row>
    <row r="12" spans="1:22">
      <c r="A12" s="2" t="s">
        <v>10</v>
      </c>
      <c r="B12" s="20">
        <v>5425</v>
      </c>
      <c r="C12" s="21">
        <v>20410</v>
      </c>
      <c r="D12" s="21">
        <f>(B12+C12)</f>
        <v>25835</v>
      </c>
      <c r="E12" s="20">
        <v>820</v>
      </c>
      <c r="F12" s="21">
        <v>6372</v>
      </c>
      <c r="G12" s="21">
        <f>(E12+F12)</f>
        <v>7192</v>
      </c>
      <c r="H12" s="20">
        <v>1653</v>
      </c>
      <c r="I12" s="21">
        <v>12020</v>
      </c>
      <c r="J12" s="21">
        <f>(H12+I12)</f>
        <v>13673</v>
      </c>
      <c r="K12" s="22">
        <v>805</v>
      </c>
      <c r="L12" s="21">
        <v>6237</v>
      </c>
      <c r="M12" s="21">
        <f>SUM(K12:L12)</f>
        <v>7042</v>
      </c>
      <c r="N12" s="20">
        <f t="shared" ref="N12:S15" si="1">SUM(B12,H12)</f>
        <v>7078</v>
      </c>
      <c r="O12" s="21">
        <f t="shared" si="1"/>
        <v>32430</v>
      </c>
      <c r="P12" s="21">
        <f t="shared" si="1"/>
        <v>39508</v>
      </c>
      <c r="Q12" s="20">
        <f t="shared" si="1"/>
        <v>1625</v>
      </c>
      <c r="R12" s="21">
        <f t="shared" si="1"/>
        <v>12609</v>
      </c>
      <c r="S12" s="26">
        <f t="shared" si="1"/>
        <v>14234</v>
      </c>
    </row>
    <row r="13" spans="1:22">
      <c r="A13" s="2" t="s">
        <v>11</v>
      </c>
      <c r="B13" s="20">
        <v>4866</v>
      </c>
      <c r="C13" s="21">
        <v>20816</v>
      </c>
      <c r="D13" s="21">
        <f>(B13+C13)</f>
        <v>25682</v>
      </c>
      <c r="E13" s="20">
        <v>886</v>
      </c>
      <c r="F13" s="21">
        <v>6906</v>
      </c>
      <c r="G13" s="21">
        <f>(E13+F13)</f>
        <v>7792</v>
      </c>
      <c r="H13" s="20">
        <v>1384</v>
      </c>
      <c r="I13" s="21">
        <v>11987</v>
      </c>
      <c r="J13" s="21">
        <f>(H13+I13)</f>
        <v>13371</v>
      </c>
      <c r="K13" s="22">
        <v>862</v>
      </c>
      <c r="L13" s="21">
        <v>6319</v>
      </c>
      <c r="M13" s="21">
        <f>SUM(K13:L13)</f>
        <v>7181</v>
      </c>
      <c r="N13" s="20">
        <f t="shared" si="1"/>
        <v>6250</v>
      </c>
      <c r="O13" s="21">
        <f t="shared" si="1"/>
        <v>32803</v>
      </c>
      <c r="P13" s="21">
        <f t="shared" si="1"/>
        <v>39053</v>
      </c>
      <c r="Q13" s="20">
        <f t="shared" si="1"/>
        <v>1748</v>
      </c>
      <c r="R13" s="21">
        <f t="shared" si="1"/>
        <v>13225</v>
      </c>
      <c r="S13" s="26">
        <f t="shared" si="1"/>
        <v>14973</v>
      </c>
    </row>
    <row r="14" spans="1:22">
      <c r="A14" s="2" t="s">
        <v>91</v>
      </c>
      <c r="B14" s="20">
        <v>4577</v>
      </c>
      <c r="C14" s="21">
        <v>22347</v>
      </c>
      <c r="D14" s="21">
        <f>(B14+C14)</f>
        <v>26924</v>
      </c>
      <c r="E14" s="20">
        <v>886</v>
      </c>
      <c r="F14" s="21">
        <v>7641</v>
      </c>
      <c r="G14" s="21">
        <f>(E14+F14)</f>
        <v>8527</v>
      </c>
      <c r="H14" s="20">
        <v>1376</v>
      </c>
      <c r="I14" s="21">
        <v>11898</v>
      </c>
      <c r="J14" s="21">
        <f>(H14+I14)</f>
        <v>13274</v>
      </c>
      <c r="K14" s="22">
        <v>967</v>
      </c>
      <c r="L14" s="21">
        <v>6301</v>
      </c>
      <c r="M14" s="21">
        <f>SUM(K14:L14)</f>
        <v>7268</v>
      </c>
      <c r="N14" s="20">
        <f t="shared" si="1"/>
        <v>5953</v>
      </c>
      <c r="O14" s="21">
        <f t="shared" si="1"/>
        <v>34245</v>
      </c>
      <c r="P14" s="21">
        <f t="shared" si="1"/>
        <v>40198</v>
      </c>
      <c r="Q14" s="20">
        <f t="shared" si="1"/>
        <v>1853</v>
      </c>
      <c r="R14" s="21">
        <f t="shared" si="1"/>
        <v>13942</v>
      </c>
      <c r="S14" s="26">
        <f t="shared" si="1"/>
        <v>15795</v>
      </c>
    </row>
    <row r="15" spans="1:22">
      <c r="A15" s="2" t="s">
        <v>92</v>
      </c>
      <c r="B15" s="20">
        <v>4965</v>
      </c>
      <c r="C15" s="21">
        <v>24724</v>
      </c>
      <c r="D15" s="21">
        <f>(B15+C15)</f>
        <v>29689</v>
      </c>
      <c r="E15" s="20">
        <v>1057</v>
      </c>
      <c r="F15" s="21">
        <v>7801</v>
      </c>
      <c r="G15" s="21">
        <f>(E15+F15)</f>
        <v>8858</v>
      </c>
      <c r="H15" s="20">
        <v>957</v>
      </c>
      <c r="I15" s="21">
        <v>10771</v>
      </c>
      <c r="J15" s="21">
        <f>(H15+I15)</f>
        <v>11728</v>
      </c>
      <c r="K15" s="22">
        <v>834</v>
      </c>
      <c r="L15" s="21">
        <v>5663</v>
      </c>
      <c r="M15" s="21">
        <f>SUM(K15:L15)</f>
        <v>6497</v>
      </c>
      <c r="N15" s="20">
        <f t="shared" si="1"/>
        <v>5922</v>
      </c>
      <c r="O15" s="21">
        <f t="shared" si="1"/>
        <v>35495</v>
      </c>
      <c r="P15" s="21">
        <f t="shared" si="1"/>
        <v>41417</v>
      </c>
      <c r="Q15" s="20">
        <f t="shared" si="1"/>
        <v>1891</v>
      </c>
      <c r="R15" s="21">
        <f t="shared" si="1"/>
        <v>13464</v>
      </c>
      <c r="S15" s="26">
        <f t="shared" si="1"/>
        <v>15355</v>
      </c>
    </row>
    <row r="16" spans="1:22">
      <c r="A16" s="3"/>
      <c r="B16" s="20"/>
      <c r="C16" s="21"/>
      <c r="D16" s="21"/>
      <c r="E16" s="20"/>
      <c r="F16" s="21"/>
      <c r="G16" s="21"/>
      <c r="H16" s="20"/>
      <c r="I16" s="21"/>
      <c r="J16" s="21"/>
      <c r="K16" s="20"/>
      <c r="L16" s="21"/>
      <c r="M16" s="21"/>
      <c r="N16" s="20"/>
      <c r="O16" s="21"/>
      <c r="P16" s="21"/>
      <c r="Q16" s="20"/>
      <c r="R16" s="21"/>
      <c r="S16" s="26"/>
    </row>
    <row r="17" spans="1:22">
      <c r="A17" s="1" t="s">
        <v>12</v>
      </c>
      <c r="B17" s="20"/>
      <c r="C17" s="21"/>
      <c r="D17" s="21"/>
      <c r="E17" s="20"/>
      <c r="F17" s="21"/>
      <c r="G17" s="21"/>
      <c r="H17" s="20"/>
      <c r="I17" s="21"/>
      <c r="J17" s="21"/>
      <c r="K17" s="20"/>
      <c r="L17" s="21"/>
      <c r="M17" s="21"/>
      <c r="N17" s="20"/>
      <c r="O17" s="21"/>
      <c r="P17" s="21"/>
      <c r="Q17" s="20"/>
      <c r="R17" s="21"/>
      <c r="S17" s="26"/>
    </row>
    <row r="18" spans="1:22">
      <c r="A18" s="2" t="s">
        <v>115</v>
      </c>
      <c r="B18" s="20">
        <v>796</v>
      </c>
      <c r="C18" s="21">
        <v>2404</v>
      </c>
      <c r="D18" s="21">
        <f>SUM(B18:C18)</f>
        <v>3200</v>
      </c>
      <c r="E18" s="20">
        <v>173</v>
      </c>
      <c r="F18" s="21">
        <v>899</v>
      </c>
      <c r="G18" s="21">
        <f>SUM(E18:F18)</f>
        <v>1072</v>
      </c>
      <c r="H18" s="20">
        <v>201</v>
      </c>
      <c r="I18" s="21">
        <v>1015</v>
      </c>
      <c r="J18" s="21">
        <f>SUM(H18:I18)</f>
        <v>1216</v>
      </c>
      <c r="K18" s="22">
        <v>64</v>
      </c>
      <c r="L18" s="21">
        <v>416</v>
      </c>
      <c r="M18" s="21">
        <f>SUM(K18:L18)</f>
        <v>480</v>
      </c>
      <c r="N18" s="20">
        <f t="shared" ref="N18:S18" si="2">SUM(B18,H18)</f>
        <v>997</v>
      </c>
      <c r="O18" s="21">
        <f t="shared" si="2"/>
        <v>3419</v>
      </c>
      <c r="P18" s="21">
        <f t="shared" si="2"/>
        <v>4416</v>
      </c>
      <c r="Q18" s="20">
        <f t="shared" si="2"/>
        <v>237</v>
      </c>
      <c r="R18" s="21">
        <f t="shared" si="2"/>
        <v>1315</v>
      </c>
      <c r="S18" s="21">
        <f t="shared" si="2"/>
        <v>1552</v>
      </c>
      <c r="U18" s="333"/>
      <c r="V18" s="333"/>
    </row>
    <row r="19" spans="1:22">
      <c r="A19" s="2" t="s">
        <v>10</v>
      </c>
      <c r="B19" s="20">
        <v>758</v>
      </c>
      <c r="C19" s="21">
        <v>2571</v>
      </c>
      <c r="D19" s="21">
        <f>SUM(B19:C19)</f>
        <v>3329</v>
      </c>
      <c r="E19" s="20">
        <v>176</v>
      </c>
      <c r="F19" s="21">
        <v>967</v>
      </c>
      <c r="G19" s="21">
        <f>SUM(E19:F19)</f>
        <v>1143</v>
      </c>
      <c r="H19" s="20">
        <v>183</v>
      </c>
      <c r="I19" s="21">
        <v>1068</v>
      </c>
      <c r="J19" s="21">
        <f>SUM(H19:I19)</f>
        <v>1251</v>
      </c>
      <c r="K19" s="22">
        <v>90</v>
      </c>
      <c r="L19" s="21">
        <v>575</v>
      </c>
      <c r="M19" s="21">
        <f>SUM(K19:L19)</f>
        <v>665</v>
      </c>
      <c r="N19" s="20">
        <f t="shared" ref="N19:S22" si="3">SUM(B19,H19)</f>
        <v>941</v>
      </c>
      <c r="O19" s="21">
        <f t="shared" si="3"/>
        <v>3639</v>
      </c>
      <c r="P19" s="21">
        <f t="shared" si="3"/>
        <v>4580</v>
      </c>
      <c r="Q19" s="20">
        <f t="shared" si="3"/>
        <v>266</v>
      </c>
      <c r="R19" s="21">
        <f t="shared" si="3"/>
        <v>1542</v>
      </c>
      <c r="S19" s="26">
        <f t="shared" si="3"/>
        <v>1808</v>
      </c>
    </row>
    <row r="20" spans="1:22">
      <c r="A20" s="2" t="s">
        <v>11</v>
      </c>
      <c r="B20" s="20">
        <v>736</v>
      </c>
      <c r="C20" s="21">
        <v>2627</v>
      </c>
      <c r="D20" s="21">
        <f>SUM(B20:C20)</f>
        <v>3363</v>
      </c>
      <c r="E20" s="20">
        <v>159</v>
      </c>
      <c r="F20" s="21">
        <v>1050</v>
      </c>
      <c r="G20" s="21">
        <f>SUM(E20:F20)</f>
        <v>1209</v>
      </c>
      <c r="H20" s="20">
        <v>146</v>
      </c>
      <c r="I20" s="21">
        <v>1285</v>
      </c>
      <c r="J20" s="21">
        <f>SUM(H20:I20)</f>
        <v>1431</v>
      </c>
      <c r="K20" s="22">
        <v>102</v>
      </c>
      <c r="L20" s="21">
        <v>630</v>
      </c>
      <c r="M20" s="21">
        <f>SUM(K20:L20)</f>
        <v>732</v>
      </c>
      <c r="N20" s="20">
        <f t="shared" si="3"/>
        <v>882</v>
      </c>
      <c r="O20" s="21">
        <f t="shared" si="3"/>
        <v>3912</v>
      </c>
      <c r="P20" s="21">
        <f t="shared" si="3"/>
        <v>4794</v>
      </c>
      <c r="Q20" s="20">
        <f t="shared" si="3"/>
        <v>261</v>
      </c>
      <c r="R20" s="21">
        <f t="shared" si="3"/>
        <v>1680</v>
      </c>
      <c r="S20" s="26">
        <f t="shared" si="3"/>
        <v>1941</v>
      </c>
    </row>
    <row r="21" spans="1:22">
      <c r="A21" s="303" t="s">
        <v>91</v>
      </c>
      <c r="B21" s="20">
        <v>772</v>
      </c>
      <c r="C21" s="21">
        <v>2935</v>
      </c>
      <c r="D21" s="21">
        <f>SUM(B21:C21)</f>
        <v>3707</v>
      </c>
      <c r="E21" s="20">
        <v>154</v>
      </c>
      <c r="F21" s="21">
        <v>847</v>
      </c>
      <c r="G21" s="21">
        <f>SUM(E21:F21)</f>
        <v>1001</v>
      </c>
      <c r="H21" s="20">
        <v>138</v>
      </c>
      <c r="I21" s="21">
        <v>1369</v>
      </c>
      <c r="J21" s="21">
        <f>SUM(H21:I21)</f>
        <v>1507</v>
      </c>
      <c r="K21" s="22">
        <v>123</v>
      </c>
      <c r="L21" s="21">
        <v>601</v>
      </c>
      <c r="M21" s="21">
        <f>SUM(K21:L21)</f>
        <v>724</v>
      </c>
      <c r="N21" s="20">
        <f t="shared" si="3"/>
        <v>910</v>
      </c>
      <c r="O21" s="21">
        <f t="shared" si="3"/>
        <v>4304</v>
      </c>
      <c r="P21" s="21">
        <f t="shared" si="3"/>
        <v>5214</v>
      </c>
      <c r="Q21" s="20">
        <f t="shared" si="3"/>
        <v>277</v>
      </c>
      <c r="R21" s="21">
        <f t="shared" si="3"/>
        <v>1448</v>
      </c>
      <c r="S21" s="26">
        <f t="shared" si="3"/>
        <v>1725</v>
      </c>
    </row>
    <row r="22" spans="1:22">
      <c r="A22" s="303" t="s">
        <v>92</v>
      </c>
      <c r="B22" s="20">
        <v>765</v>
      </c>
      <c r="C22" s="21">
        <v>2983</v>
      </c>
      <c r="D22" s="21">
        <f>SUM(B22:C22)</f>
        <v>3748</v>
      </c>
      <c r="E22" s="20">
        <v>157</v>
      </c>
      <c r="F22" s="21">
        <v>915</v>
      </c>
      <c r="G22" s="21">
        <f>SUM(E22:F22)</f>
        <v>1072</v>
      </c>
      <c r="H22" s="20">
        <v>132</v>
      </c>
      <c r="I22" s="21">
        <v>1351</v>
      </c>
      <c r="J22" s="21">
        <f>SUM(H22:I22)</f>
        <v>1483</v>
      </c>
      <c r="K22" s="22">
        <v>110</v>
      </c>
      <c r="L22" s="21">
        <v>595</v>
      </c>
      <c r="M22" s="21">
        <f>SUM(K22:L22)</f>
        <v>705</v>
      </c>
      <c r="N22" s="20">
        <f t="shared" si="3"/>
        <v>897</v>
      </c>
      <c r="O22" s="21">
        <f t="shared" si="3"/>
        <v>4334</v>
      </c>
      <c r="P22" s="21">
        <f t="shared" si="3"/>
        <v>5231</v>
      </c>
      <c r="Q22" s="20">
        <f t="shared" si="3"/>
        <v>267</v>
      </c>
      <c r="R22" s="21">
        <f t="shared" si="3"/>
        <v>1510</v>
      </c>
      <c r="S22" s="26">
        <f t="shared" si="3"/>
        <v>1777</v>
      </c>
    </row>
    <row r="23" spans="1:22">
      <c r="A23" s="2"/>
      <c r="B23" s="20"/>
      <c r="C23" s="21"/>
      <c r="D23" s="21"/>
      <c r="E23" s="20"/>
      <c r="F23" s="21"/>
      <c r="G23" s="21"/>
      <c r="H23" s="20"/>
      <c r="I23" s="21"/>
      <c r="J23" s="21"/>
      <c r="K23" s="20"/>
      <c r="L23" s="21"/>
      <c r="M23" s="21"/>
      <c r="N23" s="20"/>
      <c r="O23" s="21"/>
      <c r="P23" s="21"/>
      <c r="Q23" s="20"/>
      <c r="R23" s="21"/>
      <c r="S23" s="26"/>
    </row>
    <row r="24" spans="1:22">
      <c r="A24" s="1" t="s">
        <v>13</v>
      </c>
      <c r="B24" s="20"/>
      <c r="C24" s="21"/>
      <c r="D24" s="21"/>
      <c r="E24" s="20"/>
      <c r="F24" s="21"/>
      <c r="G24" s="21"/>
      <c r="H24" s="20"/>
      <c r="I24" s="21"/>
      <c r="J24" s="21"/>
      <c r="K24" s="20"/>
      <c r="L24" s="21"/>
      <c r="M24" s="21"/>
      <c r="N24" s="20"/>
      <c r="O24" s="21"/>
      <c r="P24" s="21"/>
      <c r="Q24" s="20"/>
      <c r="R24" s="21"/>
      <c r="S24" s="26"/>
    </row>
    <row r="25" spans="1:22">
      <c r="A25" s="2" t="s">
        <v>115</v>
      </c>
      <c r="B25" s="20">
        <v>16362</v>
      </c>
      <c r="C25" s="21">
        <v>14391</v>
      </c>
      <c r="D25" s="21">
        <f>SUM(B25:C25)</f>
        <v>30753</v>
      </c>
      <c r="E25" s="20">
        <v>4204</v>
      </c>
      <c r="F25" s="21">
        <v>6005</v>
      </c>
      <c r="G25" s="21">
        <f>SUM(E25:F25)</f>
        <v>10209</v>
      </c>
      <c r="H25" s="20">
        <v>3640</v>
      </c>
      <c r="I25" s="21">
        <v>11694</v>
      </c>
      <c r="J25" s="21">
        <f>SUM(H25:I25)</f>
        <v>15334</v>
      </c>
      <c r="K25" s="22">
        <v>1701</v>
      </c>
      <c r="L25" s="21">
        <v>3673</v>
      </c>
      <c r="M25" s="21">
        <f>SUM(K25:L25)</f>
        <v>5374</v>
      </c>
      <c r="N25" s="20">
        <f t="shared" ref="N25:S25" si="4">SUM(B25,H25)</f>
        <v>20002</v>
      </c>
      <c r="O25" s="21">
        <f t="shared" si="4"/>
        <v>26085</v>
      </c>
      <c r="P25" s="21">
        <f t="shared" si="4"/>
        <v>46087</v>
      </c>
      <c r="Q25" s="20">
        <f t="shared" si="4"/>
        <v>5905</v>
      </c>
      <c r="R25" s="21">
        <f t="shared" si="4"/>
        <v>9678</v>
      </c>
      <c r="S25" s="21">
        <f t="shared" si="4"/>
        <v>15583</v>
      </c>
      <c r="U25" s="333"/>
      <c r="V25" s="333"/>
    </row>
    <row r="26" spans="1:22">
      <c r="A26" s="2" t="s">
        <v>10</v>
      </c>
      <c r="B26" s="20">
        <v>15534</v>
      </c>
      <c r="C26" s="21">
        <v>15250</v>
      </c>
      <c r="D26" s="21">
        <f>SUM(B26:C26)</f>
        <v>30784</v>
      </c>
      <c r="E26" s="20">
        <v>3870</v>
      </c>
      <c r="F26" s="21">
        <v>5542</v>
      </c>
      <c r="G26" s="21">
        <f>SUM(E26:F26)</f>
        <v>9412</v>
      </c>
      <c r="H26" s="20">
        <v>3566</v>
      </c>
      <c r="I26" s="21">
        <v>11738</v>
      </c>
      <c r="J26" s="21">
        <f>SUM(H26:I26)</f>
        <v>15304</v>
      </c>
      <c r="K26" s="22">
        <v>2233</v>
      </c>
      <c r="L26" s="21">
        <v>4579</v>
      </c>
      <c r="M26" s="21">
        <f>SUM(K26:L26)</f>
        <v>6812</v>
      </c>
      <c r="N26" s="20">
        <f t="shared" ref="N26:S29" si="5">SUM(B26,H26)</f>
        <v>19100</v>
      </c>
      <c r="O26" s="21">
        <f t="shared" si="5"/>
        <v>26988</v>
      </c>
      <c r="P26" s="21">
        <f t="shared" si="5"/>
        <v>46088</v>
      </c>
      <c r="Q26" s="20">
        <f t="shared" si="5"/>
        <v>6103</v>
      </c>
      <c r="R26" s="21">
        <f t="shared" si="5"/>
        <v>10121</v>
      </c>
      <c r="S26" s="26">
        <f t="shared" si="5"/>
        <v>16224</v>
      </c>
    </row>
    <row r="27" spans="1:22" ht="11.25" customHeight="1">
      <c r="A27" s="2" t="s">
        <v>11</v>
      </c>
      <c r="B27" s="20">
        <v>14830</v>
      </c>
      <c r="C27" s="21">
        <v>15400</v>
      </c>
      <c r="D27" s="21">
        <f>SUM(B27:C27)</f>
        <v>30230</v>
      </c>
      <c r="E27" s="20">
        <f>4086-35</f>
        <v>4051</v>
      </c>
      <c r="F27" s="21">
        <f>5657-175</f>
        <v>5482</v>
      </c>
      <c r="G27" s="21">
        <f>SUM(E27:F27)</f>
        <v>9533</v>
      </c>
      <c r="H27" s="20">
        <f>3877-15</f>
        <v>3862</v>
      </c>
      <c r="I27" s="21">
        <v>12407</v>
      </c>
      <c r="J27" s="21">
        <f>SUM(H27:I27)</f>
        <v>16269</v>
      </c>
      <c r="K27" s="22">
        <f>2390-11</f>
        <v>2379</v>
      </c>
      <c r="L27" s="21">
        <f>4712-89</f>
        <v>4623</v>
      </c>
      <c r="M27" s="21">
        <f>SUM(K27:L27)</f>
        <v>7002</v>
      </c>
      <c r="N27" s="20">
        <f t="shared" si="5"/>
        <v>18692</v>
      </c>
      <c r="O27" s="21">
        <f t="shared" si="5"/>
        <v>27807</v>
      </c>
      <c r="P27" s="21">
        <f t="shared" si="5"/>
        <v>46499</v>
      </c>
      <c r="Q27" s="20">
        <f t="shared" si="5"/>
        <v>6430</v>
      </c>
      <c r="R27" s="21">
        <f t="shared" si="5"/>
        <v>10105</v>
      </c>
      <c r="S27" s="26">
        <f t="shared" si="5"/>
        <v>16535</v>
      </c>
    </row>
    <row r="28" spans="1:22">
      <c r="A28" s="303" t="s">
        <v>91</v>
      </c>
      <c r="B28" s="20">
        <v>14397</v>
      </c>
      <c r="C28" s="21">
        <v>16127</v>
      </c>
      <c r="D28" s="21">
        <f>SUM(B28:C28)</f>
        <v>30524</v>
      </c>
      <c r="E28" s="20">
        <v>3025</v>
      </c>
      <c r="F28" s="21">
        <v>4204</v>
      </c>
      <c r="G28" s="21">
        <f>SUM(E28:F28)</f>
        <v>7229</v>
      </c>
      <c r="H28" s="20">
        <v>3729</v>
      </c>
      <c r="I28" s="21">
        <v>12589</v>
      </c>
      <c r="J28" s="21">
        <f>SUM(H28:I28)</f>
        <v>16318</v>
      </c>
      <c r="K28" s="22">
        <v>2338</v>
      </c>
      <c r="L28" s="21">
        <v>4520</v>
      </c>
      <c r="M28" s="21">
        <f>SUM(K28:L28)</f>
        <v>6858</v>
      </c>
      <c r="N28" s="20">
        <f t="shared" si="5"/>
        <v>18126</v>
      </c>
      <c r="O28" s="21">
        <f t="shared" si="5"/>
        <v>28716</v>
      </c>
      <c r="P28" s="21">
        <f t="shared" si="5"/>
        <v>46842</v>
      </c>
      <c r="Q28" s="20">
        <f t="shared" si="5"/>
        <v>5363</v>
      </c>
      <c r="R28" s="21">
        <f t="shared" si="5"/>
        <v>8724</v>
      </c>
      <c r="S28" s="26">
        <f t="shared" si="5"/>
        <v>14087</v>
      </c>
    </row>
    <row r="29" spans="1:22">
      <c r="A29" s="303" t="s">
        <v>92</v>
      </c>
      <c r="B29" s="20">
        <v>14761</v>
      </c>
      <c r="C29" s="21">
        <v>17172</v>
      </c>
      <c r="D29" s="21">
        <f>SUM(B29:C29)</f>
        <v>31933</v>
      </c>
      <c r="E29" s="20">
        <v>3091</v>
      </c>
      <c r="F29" s="21">
        <v>4306</v>
      </c>
      <c r="G29" s="21">
        <f>SUM(E29:F29)</f>
        <v>7397</v>
      </c>
      <c r="H29" s="20">
        <v>2978</v>
      </c>
      <c r="I29" s="21">
        <v>11416</v>
      </c>
      <c r="J29" s="21">
        <f>SUM(H29:I29)</f>
        <v>14394</v>
      </c>
      <c r="K29" s="22">
        <v>2264</v>
      </c>
      <c r="L29" s="21">
        <v>4433</v>
      </c>
      <c r="M29" s="21">
        <f>SUM(K29:L29)</f>
        <v>6697</v>
      </c>
      <c r="N29" s="20">
        <f t="shared" si="5"/>
        <v>17739</v>
      </c>
      <c r="O29" s="21">
        <f t="shared" si="5"/>
        <v>28588</v>
      </c>
      <c r="P29" s="21">
        <f t="shared" si="5"/>
        <v>46327</v>
      </c>
      <c r="Q29" s="20">
        <f t="shared" si="5"/>
        <v>5355</v>
      </c>
      <c r="R29" s="21">
        <f t="shared" si="5"/>
        <v>8739</v>
      </c>
      <c r="S29" s="26">
        <f t="shared" si="5"/>
        <v>14094</v>
      </c>
    </row>
    <row r="30" spans="1:22" ht="15" customHeight="1">
      <c r="A30" s="3"/>
      <c r="B30" s="20"/>
      <c r="C30" s="21"/>
      <c r="D30" s="21"/>
      <c r="E30" s="20"/>
      <c r="F30" s="21"/>
      <c r="G30" s="21"/>
      <c r="H30" s="20"/>
      <c r="I30" s="21"/>
      <c r="J30" s="21"/>
      <c r="K30" s="20"/>
      <c r="L30" s="21"/>
      <c r="M30" s="21"/>
      <c r="N30" s="20"/>
      <c r="O30" s="21"/>
      <c r="P30" s="21"/>
      <c r="Q30" s="20"/>
      <c r="R30" s="21"/>
      <c r="S30" s="26"/>
    </row>
    <row r="31" spans="1:22">
      <c r="A31" s="1" t="s">
        <v>14</v>
      </c>
      <c r="B31" s="20"/>
      <c r="C31" s="21"/>
      <c r="D31" s="21"/>
      <c r="E31" s="20"/>
      <c r="F31" s="21"/>
      <c r="G31" s="21"/>
      <c r="H31" s="20"/>
      <c r="I31" s="21"/>
      <c r="J31" s="21"/>
      <c r="K31" s="20"/>
      <c r="L31" s="21"/>
      <c r="M31" s="21"/>
      <c r="N31" s="20"/>
      <c r="O31" s="21"/>
      <c r="P31" s="21"/>
      <c r="Q31" s="20"/>
      <c r="R31" s="21"/>
      <c r="S31" s="26"/>
    </row>
    <row r="32" spans="1:22">
      <c r="A32" s="2" t="s">
        <v>115</v>
      </c>
      <c r="B32" s="20">
        <v>1479</v>
      </c>
      <c r="C32" s="21">
        <v>1521</v>
      </c>
      <c r="D32" s="21">
        <f>SUM(B32:C32)</f>
        <v>3000</v>
      </c>
      <c r="E32" s="20">
        <v>437</v>
      </c>
      <c r="F32" s="21">
        <v>608</v>
      </c>
      <c r="G32" s="21">
        <f>SUM(E32:F32)</f>
        <v>1045</v>
      </c>
      <c r="H32" s="20">
        <v>297</v>
      </c>
      <c r="I32" s="21">
        <v>556</v>
      </c>
      <c r="J32" s="21">
        <f>SUM(H32:I32)</f>
        <v>853</v>
      </c>
      <c r="K32" s="22">
        <v>128</v>
      </c>
      <c r="L32" s="21">
        <v>255</v>
      </c>
      <c r="M32" s="21">
        <f>SUM(K32:L32)</f>
        <v>383</v>
      </c>
      <c r="N32" s="20">
        <f t="shared" ref="N32:S32" si="6">SUM(B32,H32)</f>
        <v>1776</v>
      </c>
      <c r="O32" s="21">
        <f t="shared" si="6"/>
        <v>2077</v>
      </c>
      <c r="P32" s="21">
        <f t="shared" si="6"/>
        <v>3853</v>
      </c>
      <c r="Q32" s="20">
        <f t="shared" si="6"/>
        <v>565</v>
      </c>
      <c r="R32" s="21">
        <f t="shared" si="6"/>
        <v>863</v>
      </c>
      <c r="S32" s="21">
        <f t="shared" si="6"/>
        <v>1428</v>
      </c>
      <c r="U32" s="333"/>
      <c r="V32" s="333"/>
    </row>
    <row r="33" spans="1:22">
      <c r="A33" s="2" t="s">
        <v>10</v>
      </c>
      <c r="B33" s="20">
        <v>1467</v>
      </c>
      <c r="C33" s="21">
        <v>1733</v>
      </c>
      <c r="D33" s="21">
        <f>SUM(B33:C33)</f>
        <v>3200</v>
      </c>
      <c r="E33" s="20">
        <v>450</v>
      </c>
      <c r="F33" s="21">
        <v>777</v>
      </c>
      <c r="G33" s="21">
        <f>SUM(E33:F33)</f>
        <v>1227</v>
      </c>
      <c r="H33" s="20">
        <v>275</v>
      </c>
      <c r="I33" s="21">
        <v>576</v>
      </c>
      <c r="J33" s="21">
        <f>SUM(H33:I33)</f>
        <v>851</v>
      </c>
      <c r="K33" s="22">
        <v>217</v>
      </c>
      <c r="L33" s="21">
        <v>386</v>
      </c>
      <c r="M33" s="21">
        <f>SUM(K33:L33)</f>
        <v>603</v>
      </c>
      <c r="N33" s="20">
        <f>SUM(B33,H33)</f>
        <v>1742</v>
      </c>
      <c r="O33" s="21">
        <f t="shared" ref="O33:S35" si="7">SUM(C33,I33)</f>
        <v>2309</v>
      </c>
      <c r="P33" s="21">
        <f t="shared" si="7"/>
        <v>4051</v>
      </c>
      <c r="Q33" s="20">
        <f t="shared" si="7"/>
        <v>667</v>
      </c>
      <c r="R33" s="21">
        <f t="shared" si="7"/>
        <v>1163</v>
      </c>
      <c r="S33" s="26">
        <f t="shared" si="7"/>
        <v>1830</v>
      </c>
    </row>
    <row r="34" spans="1:22">
      <c r="A34" s="2" t="s">
        <v>11</v>
      </c>
      <c r="B34" s="20">
        <v>1508</v>
      </c>
      <c r="C34" s="21">
        <v>1975</v>
      </c>
      <c r="D34" s="21">
        <f>SUM(B34:C34)</f>
        <v>3483</v>
      </c>
      <c r="E34" s="20">
        <v>490</v>
      </c>
      <c r="F34" s="21">
        <v>837</v>
      </c>
      <c r="G34" s="21">
        <f>SUM(E34:F34)</f>
        <v>1327</v>
      </c>
      <c r="H34" s="20">
        <v>270</v>
      </c>
      <c r="I34" s="21">
        <v>706</v>
      </c>
      <c r="J34" s="21">
        <f>SUM(H34:I34)</f>
        <v>976</v>
      </c>
      <c r="K34" s="22">
        <v>218</v>
      </c>
      <c r="L34" s="21">
        <v>506</v>
      </c>
      <c r="M34" s="21">
        <f>SUM(K34:L34)</f>
        <v>724</v>
      </c>
      <c r="N34" s="20">
        <f>SUM(B34,H34)</f>
        <v>1778</v>
      </c>
      <c r="O34" s="21">
        <f t="shared" si="7"/>
        <v>2681</v>
      </c>
      <c r="P34" s="21">
        <f t="shared" si="7"/>
        <v>4459</v>
      </c>
      <c r="Q34" s="20">
        <f t="shared" si="7"/>
        <v>708</v>
      </c>
      <c r="R34" s="21">
        <f t="shared" si="7"/>
        <v>1343</v>
      </c>
      <c r="S34" s="26">
        <f t="shared" si="7"/>
        <v>2051</v>
      </c>
    </row>
    <row r="35" spans="1:22">
      <c r="A35" s="303" t="s">
        <v>91</v>
      </c>
      <c r="B35" s="20">
        <v>1552</v>
      </c>
      <c r="C35" s="21">
        <v>2374</v>
      </c>
      <c r="D35" s="21">
        <f>SUM(B35:C35)</f>
        <v>3926</v>
      </c>
      <c r="E35" s="20">
        <v>422</v>
      </c>
      <c r="F35" s="21">
        <v>877</v>
      </c>
      <c r="G35" s="21">
        <f>SUM(E35:F35)</f>
        <v>1299</v>
      </c>
      <c r="H35" s="20">
        <v>297</v>
      </c>
      <c r="I35" s="21">
        <v>819</v>
      </c>
      <c r="J35" s="21">
        <f>SUM(H35:I35)</f>
        <v>1116</v>
      </c>
      <c r="K35" s="22">
        <v>250</v>
      </c>
      <c r="L35" s="21">
        <v>525</v>
      </c>
      <c r="M35" s="21">
        <f>SUM(K35:L35)</f>
        <v>775</v>
      </c>
      <c r="N35" s="20">
        <f>SUM(B35,H35)</f>
        <v>1849</v>
      </c>
      <c r="O35" s="21">
        <f t="shared" si="7"/>
        <v>3193</v>
      </c>
      <c r="P35" s="21">
        <f t="shared" si="7"/>
        <v>5042</v>
      </c>
      <c r="Q35" s="20">
        <f t="shared" si="7"/>
        <v>672</v>
      </c>
      <c r="R35" s="21">
        <f t="shared" si="7"/>
        <v>1402</v>
      </c>
      <c r="S35" s="26">
        <f t="shared" si="7"/>
        <v>2074</v>
      </c>
    </row>
    <row r="36" spans="1:22">
      <c r="A36" s="303" t="s">
        <v>92</v>
      </c>
      <c r="B36" s="20">
        <v>1601</v>
      </c>
      <c r="C36" s="21">
        <v>2552</v>
      </c>
      <c r="D36" s="21">
        <f>SUM(B36:C36)</f>
        <v>4153</v>
      </c>
      <c r="E36" s="20">
        <v>511</v>
      </c>
      <c r="F36" s="21">
        <v>911</v>
      </c>
      <c r="G36" s="21">
        <f>SUM(E36:F36)</f>
        <v>1422</v>
      </c>
      <c r="H36" s="20">
        <v>252</v>
      </c>
      <c r="I36" s="21">
        <v>810</v>
      </c>
      <c r="J36" s="21">
        <f>SUM(H36:I36)</f>
        <v>1062</v>
      </c>
      <c r="K36" s="22">
        <v>207</v>
      </c>
      <c r="L36" s="21">
        <v>490</v>
      </c>
      <c r="M36" s="21">
        <f>SUM(K36:L36)</f>
        <v>697</v>
      </c>
      <c r="N36" s="20">
        <f>SUM(B36,H36)</f>
        <v>1853</v>
      </c>
      <c r="O36" s="21">
        <f>SUM(C36,I36)</f>
        <v>3362</v>
      </c>
      <c r="P36" s="21">
        <f>SUM(D36,J36)</f>
        <v>5215</v>
      </c>
      <c r="Q36" s="20">
        <f>SUM(E36,K36)</f>
        <v>718</v>
      </c>
      <c r="R36" s="21">
        <f>SUM(F36,L36)</f>
        <v>1401</v>
      </c>
      <c r="S36" s="26">
        <f>SUM(G36,M36)</f>
        <v>2119</v>
      </c>
    </row>
    <row r="37" spans="1:22">
      <c r="A37" s="2"/>
      <c r="B37" s="20"/>
      <c r="C37" s="21"/>
      <c r="D37" s="21"/>
      <c r="E37" s="20"/>
      <c r="F37" s="21"/>
      <c r="G37" s="21"/>
      <c r="H37" s="20"/>
      <c r="I37" s="21"/>
      <c r="J37" s="21"/>
      <c r="K37" s="22"/>
      <c r="L37" s="21"/>
      <c r="M37" s="21"/>
      <c r="N37" s="20"/>
      <c r="O37" s="21"/>
      <c r="P37" s="21"/>
      <c r="Q37" s="20"/>
      <c r="R37" s="21"/>
      <c r="S37" s="26"/>
    </row>
    <row r="38" spans="1:22" ht="14.25" customHeight="1">
      <c r="A38" s="1" t="s">
        <v>93</v>
      </c>
      <c r="B38" s="20"/>
      <c r="C38" s="21"/>
      <c r="D38" s="21"/>
      <c r="E38" s="20"/>
      <c r="F38" s="21"/>
      <c r="G38" s="21"/>
      <c r="H38" s="20"/>
      <c r="I38" s="21"/>
      <c r="J38" s="21"/>
      <c r="K38" s="20"/>
      <c r="L38" s="21"/>
      <c r="M38" s="21"/>
      <c r="N38" s="20"/>
      <c r="O38" s="21"/>
      <c r="P38" s="21"/>
      <c r="Q38" s="20"/>
      <c r="R38" s="21"/>
      <c r="S38" s="26"/>
    </row>
    <row r="39" spans="1:22" ht="14.25" customHeight="1">
      <c r="A39" s="2" t="s">
        <v>11</v>
      </c>
      <c r="B39" s="20">
        <v>73</v>
      </c>
      <c r="C39" s="21">
        <v>414</v>
      </c>
      <c r="D39" s="21">
        <f>B39+C39</f>
        <v>487</v>
      </c>
      <c r="E39" s="23">
        <v>35</v>
      </c>
      <c r="F39" s="24">
        <v>175</v>
      </c>
      <c r="G39" s="24">
        <f>SUM(E39:F39)</f>
        <v>210</v>
      </c>
      <c r="H39" s="23">
        <v>15</v>
      </c>
      <c r="I39" s="24">
        <v>171</v>
      </c>
      <c r="J39" s="24">
        <f>SUM(H39:I39)</f>
        <v>186</v>
      </c>
      <c r="K39" s="23">
        <v>11</v>
      </c>
      <c r="L39" s="24">
        <v>89</v>
      </c>
      <c r="M39" s="24">
        <f>SUM(K39:L39)</f>
        <v>100</v>
      </c>
      <c r="N39" s="23">
        <f t="shared" ref="N39:O41" si="8">SUM(B39,H39)</f>
        <v>88</v>
      </c>
      <c r="O39" s="24">
        <f t="shared" si="8"/>
        <v>585</v>
      </c>
      <c r="P39" s="24">
        <f>SUM(N39:O39)</f>
        <v>673</v>
      </c>
      <c r="Q39" s="23">
        <f t="shared" ref="Q39:R41" si="9">SUM(E39,K39)</f>
        <v>46</v>
      </c>
      <c r="R39" s="24">
        <f t="shared" si="9"/>
        <v>264</v>
      </c>
      <c r="S39" s="307">
        <f>SUM(Q39:R39)</f>
        <v>310</v>
      </c>
    </row>
    <row r="40" spans="1:22">
      <c r="A40" s="303" t="s">
        <v>91</v>
      </c>
      <c r="B40" s="20">
        <v>89</v>
      </c>
      <c r="C40" s="21">
        <v>506</v>
      </c>
      <c r="D40" s="21">
        <f>B40+C40</f>
        <v>595</v>
      </c>
      <c r="E40" s="20">
        <v>43</v>
      </c>
      <c r="F40" s="21">
        <v>228</v>
      </c>
      <c r="G40" s="24">
        <f>SUM(E40:F40)</f>
        <v>271</v>
      </c>
      <c r="H40" s="20">
        <v>19</v>
      </c>
      <c r="I40" s="21">
        <v>224</v>
      </c>
      <c r="J40" s="24">
        <f>SUM(H40:I40)</f>
        <v>243</v>
      </c>
      <c r="K40" s="22">
        <v>25</v>
      </c>
      <c r="L40" s="21">
        <v>136</v>
      </c>
      <c r="M40" s="24">
        <f>SUM(K40:L40)</f>
        <v>161</v>
      </c>
      <c r="N40" s="20">
        <f t="shared" si="8"/>
        <v>108</v>
      </c>
      <c r="O40" s="21">
        <f t="shared" si="8"/>
        <v>730</v>
      </c>
      <c r="P40" s="21">
        <f>SUM(D40,J40)</f>
        <v>838</v>
      </c>
      <c r="Q40" s="20">
        <f t="shared" si="9"/>
        <v>68</v>
      </c>
      <c r="R40" s="21">
        <f t="shared" si="9"/>
        <v>364</v>
      </c>
      <c r="S40" s="26">
        <f>SUM(G40,M40)</f>
        <v>432</v>
      </c>
    </row>
    <row r="41" spans="1:22">
      <c r="A41" s="303" t="s">
        <v>92</v>
      </c>
      <c r="B41" s="20">
        <v>106</v>
      </c>
      <c r="C41" s="21">
        <v>542</v>
      </c>
      <c r="D41" s="21">
        <f>B41+C41</f>
        <v>648</v>
      </c>
      <c r="E41" s="20">
        <v>40</v>
      </c>
      <c r="F41" s="21">
        <v>248</v>
      </c>
      <c r="G41" s="24">
        <f>SUM(E41:F41)</f>
        <v>288</v>
      </c>
      <c r="H41" s="20">
        <v>16</v>
      </c>
      <c r="I41" s="21">
        <v>256</v>
      </c>
      <c r="J41" s="24">
        <f>SUM(H41:I41)</f>
        <v>272</v>
      </c>
      <c r="K41" s="22">
        <v>35</v>
      </c>
      <c r="L41" s="21">
        <v>131</v>
      </c>
      <c r="M41" s="24">
        <f>SUM(K41:L41)</f>
        <v>166</v>
      </c>
      <c r="N41" s="20">
        <f t="shared" si="8"/>
        <v>122</v>
      </c>
      <c r="O41" s="21">
        <f t="shared" si="8"/>
        <v>798</v>
      </c>
      <c r="P41" s="21">
        <f>SUM(D41,J41)</f>
        <v>920</v>
      </c>
      <c r="Q41" s="20">
        <f t="shared" si="9"/>
        <v>75</v>
      </c>
      <c r="R41" s="21">
        <f t="shared" si="9"/>
        <v>379</v>
      </c>
      <c r="S41" s="26">
        <f>SUM(G41,M41)</f>
        <v>454</v>
      </c>
    </row>
    <row r="42" spans="1:22" ht="13.5" customHeight="1">
      <c r="A42" s="2"/>
      <c r="B42" s="20"/>
      <c r="C42" s="21"/>
      <c r="D42" s="21"/>
      <c r="E42" s="20"/>
      <c r="F42" s="21"/>
      <c r="G42" s="21"/>
      <c r="H42" s="20"/>
      <c r="I42" s="21"/>
      <c r="J42" s="21"/>
      <c r="K42" s="20"/>
      <c r="L42" s="21"/>
      <c r="M42" s="21"/>
      <c r="N42" s="20"/>
      <c r="O42" s="21"/>
      <c r="P42" s="21"/>
      <c r="Q42" s="20"/>
      <c r="R42" s="21"/>
      <c r="S42" s="26"/>
    </row>
    <row r="43" spans="1:22">
      <c r="A43" s="1" t="s">
        <v>16</v>
      </c>
      <c r="B43" s="20"/>
      <c r="C43" s="21"/>
      <c r="D43" s="21"/>
      <c r="E43" s="20"/>
      <c r="F43" s="21"/>
      <c r="G43" s="21"/>
      <c r="H43" s="20"/>
      <c r="I43" s="21"/>
      <c r="J43" s="21"/>
      <c r="K43" s="20"/>
      <c r="L43" s="21"/>
      <c r="M43" s="21"/>
      <c r="N43" s="20"/>
      <c r="O43" s="21"/>
      <c r="P43" s="21"/>
      <c r="Q43" s="20"/>
      <c r="R43" s="21"/>
      <c r="S43" s="26"/>
    </row>
    <row r="44" spans="1:22">
      <c r="A44" s="2" t="s">
        <v>115</v>
      </c>
      <c r="B44" s="20">
        <v>2243</v>
      </c>
      <c r="C44" s="21">
        <v>1486</v>
      </c>
      <c r="D44" s="21">
        <f>SUM(B44:C44)</f>
        <v>3729</v>
      </c>
      <c r="E44" s="20">
        <v>902</v>
      </c>
      <c r="F44" s="21">
        <v>897</v>
      </c>
      <c r="G44" s="21">
        <f>SUM(E44:F44)</f>
        <v>1799</v>
      </c>
      <c r="H44" s="20">
        <v>752</v>
      </c>
      <c r="I44" s="21">
        <v>968</v>
      </c>
      <c r="J44" s="21">
        <f>SUM(H44:I44)</f>
        <v>1720</v>
      </c>
      <c r="K44" s="22">
        <v>1126</v>
      </c>
      <c r="L44" s="21">
        <v>978</v>
      </c>
      <c r="M44" s="21">
        <f>SUM(K44:L44)</f>
        <v>2104</v>
      </c>
      <c r="N44" s="20">
        <f t="shared" ref="N44:S44" si="10">SUM(B44,H44)</f>
        <v>2995</v>
      </c>
      <c r="O44" s="21">
        <f t="shared" si="10"/>
        <v>2454</v>
      </c>
      <c r="P44" s="21">
        <f t="shared" si="10"/>
        <v>5449</v>
      </c>
      <c r="Q44" s="20">
        <f t="shared" si="10"/>
        <v>2028</v>
      </c>
      <c r="R44" s="25">
        <f t="shared" si="10"/>
        <v>1875</v>
      </c>
      <c r="S44" s="21">
        <f t="shared" si="10"/>
        <v>3903</v>
      </c>
      <c r="U44" s="333"/>
      <c r="V44" s="333"/>
    </row>
    <row r="45" spans="1:22">
      <c r="A45" s="2" t="s">
        <v>10</v>
      </c>
      <c r="B45" s="20">
        <v>2146</v>
      </c>
      <c r="C45" s="21">
        <v>1525</v>
      </c>
      <c r="D45" s="21">
        <f>SUM(B45:C45)</f>
        <v>3671</v>
      </c>
      <c r="E45" s="20">
        <v>949</v>
      </c>
      <c r="F45" s="21">
        <v>959</v>
      </c>
      <c r="G45" s="21">
        <f>SUM(E45:F45)</f>
        <v>1908</v>
      </c>
      <c r="H45" s="20">
        <v>639</v>
      </c>
      <c r="I45" s="21">
        <v>1031</v>
      </c>
      <c r="J45" s="21">
        <f>SUM(H45:I45)</f>
        <v>1670</v>
      </c>
      <c r="K45" s="22">
        <v>1209</v>
      </c>
      <c r="L45" s="21">
        <v>1131</v>
      </c>
      <c r="M45" s="21">
        <f>SUM(K45:L45)</f>
        <v>2340</v>
      </c>
      <c r="N45" s="20">
        <f t="shared" ref="N45:S48" si="11">SUM(B45,H45)</f>
        <v>2785</v>
      </c>
      <c r="O45" s="21">
        <f t="shared" si="11"/>
        <v>2556</v>
      </c>
      <c r="P45" s="21">
        <f t="shared" si="11"/>
        <v>5341</v>
      </c>
      <c r="Q45" s="20">
        <f t="shared" si="11"/>
        <v>2158</v>
      </c>
      <c r="R45" s="25">
        <f t="shared" si="11"/>
        <v>2090</v>
      </c>
      <c r="S45" s="26">
        <f t="shared" si="11"/>
        <v>4248</v>
      </c>
    </row>
    <row r="46" spans="1:22">
      <c r="A46" s="2" t="s">
        <v>11</v>
      </c>
      <c r="B46" s="20">
        <v>2051</v>
      </c>
      <c r="C46" s="21">
        <v>1561</v>
      </c>
      <c r="D46" s="21">
        <f>SUM(B46:C46)</f>
        <v>3612</v>
      </c>
      <c r="E46" s="20">
        <v>996</v>
      </c>
      <c r="F46" s="21">
        <v>1056</v>
      </c>
      <c r="G46" s="21">
        <f>SUM(E46:F46)</f>
        <v>2052</v>
      </c>
      <c r="H46" s="20">
        <v>671</v>
      </c>
      <c r="I46" s="21">
        <v>1194</v>
      </c>
      <c r="J46" s="21">
        <f>SUM(H46:I46)</f>
        <v>1865</v>
      </c>
      <c r="K46" s="22">
        <v>1429</v>
      </c>
      <c r="L46" s="21">
        <v>1326</v>
      </c>
      <c r="M46" s="21">
        <f>SUM(K46:L46)</f>
        <v>2755</v>
      </c>
      <c r="N46" s="20">
        <f t="shared" si="11"/>
        <v>2722</v>
      </c>
      <c r="O46" s="21">
        <f t="shared" si="11"/>
        <v>2755</v>
      </c>
      <c r="P46" s="21">
        <f t="shared" si="11"/>
        <v>5477</v>
      </c>
      <c r="Q46" s="20">
        <f t="shared" si="11"/>
        <v>2425</v>
      </c>
      <c r="R46" s="25">
        <f t="shared" si="11"/>
        <v>2382</v>
      </c>
      <c r="S46" s="26">
        <f t="shared" si="11"/>
        <v>4807</v>
      </c>
    </row>
    <row r="47" spans="1:22">
      <c r="A47" s="303" t="s">
        <v>91</v>
      </c>
      <c r="B47" s="20">
        <v>1954</v>
      </c>
      <c r="C47" s="21">
        <v>1597</v>
      </c>
      <c r="D47" s="21">
        <f>SUM(B47:C47)</f>
        <v>3551</v>
      </c>
      <c r="E47" s="20">
        <v>852</v>
      </c>
      <c r="F47" s="21">
        <v>957</v>
      </c>
      <c r="G47" s="21">
        <f>SUM(E47:F47)</f>
        <v>1809</v>
      </c>
      <c r="H47" s="20">
        <v>670</v>
      </c>
      <c r="I47" s="21">
        <v>1184</v>
      </c>
      <c r="J47" s="21">
        <f>SUM(H47:I47)</f>
        <v>1854</v>
      </c>
      <c r="K47" s="22">
        <v>1467</v>
      </c>
      <c r="L47" s="21">
        <v>1472</v>
      </c>
      <c r="M47" s="21">
        <f>SUM(K47:L47)</f>
        <v>2939</v>
      </c>
      <c r="N47" s="20">
        <f t="shared" si="11"/>
        <v>2624</v>
      </c>
      <c r="O47" s="21">
        <f t="shared" si="11"/>
        <v>2781</v>
      </c>
      <c r="P47" s="21">
        <f t="shared" si="11"/>
        <v>5405</v>
      </c>
      <c r="Q47" s="20">
        <f t="shared" si="11"/>
        <v>2319</v>
      </c>
      <c r="R47" s="21">
        <f t="shared" si="11"/>
        <v>2429</v>
      </c>
      <c r="S47" s="26">
        <f t="shared" si="11"/>
        <v>4748</v>
      </c>
    </row>
    <row r="48" spans="1:22">
      <c r="A48" s="303" t="s">
        <v>92</v>
      </c>
      <c r="B48" s="20">
        <v>1559</v>
      </c>
      <c r="C48" s="21">
        <v>1439</v>
      </c>
      <c r="D48" s="21">
        <f>SUM(B48:C48)</f>
        <v>2998</v>
      </c>
      <c r="E48" s="20">
        <v>622</v>
      </c>
      <c r="F48" s="21">
        <v>814</v>
      </c>
      <c r="G48" s="21">
        <f>SUM(E48:F48)</f>
        <v>1436</v>
      </c>
      <c r="H48" s="20">
        <v>589</v>
      </c>
      <c r="I48" s="21">
        <v>1186</v>
      </c>
      <c r="J48" s="21">
        <f>SUM(H48:I48)</f>
        <v>1775</v>
      </c>
      <c r="K48" s="22">
        <v>1259</v>
      </c>
      <c r="L48" s="21">
        <v>1317</v>
      </c>
      <c r="M48" s="21">
        <f>SUM(K48:L48)</f>
        <v>2576</v>
      </c>
      <c r="N48" s="20">
        <f t="shared" si="11"/>
        <v>2148</v>
      </c>
      <c r="O48" s="21">
        <f t="shared" si="11"/>
        <v>2625</v>
      </c>
      <c r="P48" s="21">
        <f t="shared" si="11"/>
        <v>4773</v>
      </c>
      <c r="Q48" s="20">
        <f t="shared" si="11"/>
        <v>1881</v>
      </c>
      <c r="R48" s="21">
        <f t="shared" si="11"/>
        <v>2131</v>
      </c>
      <c r="S48" s="26">
        <f t="shared" si="11"/>
        <v>4012</v>
      </c>
    </row>
    <row r="49" spans="1:22" ht="14.25" customHeight="1">
      <c r="A49" s="2"/>
      <c r="B49" s="20"/>
      <c r="C49" s="21"/>
      <c r="D49" s="21"/>
      <c r="E49" s="20"/>
      <c r="F49" s="21"/>
      <c r="G49" s="21"/>
      <c r="H49" s="20"/>
      <c r="I49" s="21"/>
      <c r="J49" s="21"/>
      <c r="K49" s="20"/>
      <c r="L49" s="21"/>
      <c r="M49" s="21"/>
      <c r="N49" s="20"/>
      <c r="O49" s="21"/>
      <c r="P49" s="21"/>
      <c r="Q49" s="20"/>
      <c r="R49" s="21"/>
      <c r="S49" s="26"/>
    </row>
    <row r="50" spans="1:22" ht="14.25" customHeight="1">
      <c r="A50" s="1" t="s">
        <v>17</v>
      </c>
      <c r="B50" s="20"/>
      <c r="C50" s="21"/>
      <c r="D50" s="21"/>
      <c r="E50" s="20"/>
      <c r="F50" s="21"/>
      <c r="G50" s="21"/>
      <c r="H50" s="20"/>
      <c r="I50" s="21"/>
      <c r="J50" s="21"/>
      <c r="K50" s="20"/>
      <c r="L50" s="21"/>
      <c r="M50" s="21"/>
      <c r="N50" s="20"/>
      <c r="O50" s="21"/>
      <c r="P50" s="21"/>
      <c r="Q50" s="20"/>
      <c r="R50" s="21"/>
      <c r="S50" s="26"/>
    </row>
    <row r="51" spans="1:22" ht="14.25" customHeight="1">
      <c r="A51" s="2" t="s">
        <v>11</v>
      </c>
      <c r="B51" s="20">
        <v>0</v>
      </c>
      <c r="C51" s="21">
        <v>0</v>
      </c>
      <c r="D51" s="21">
        <f>B51+C51</f>
        <v>0</v>
      </c>
      <c r="E51" s="23">
        <v>70</v>
      </c>
      <c r="F51" s="24">
        <v>189</v>
      </c>
      <c r="G51" s="24">
        <f>SUM(E51:F51)</f>
        <v>259</v>
      </c>
      <c r="H51" s="23">
        <v>0</v>
      </c>
      <c r="I51" s="24">
        <v>0</v>
      </c>
      <c r="J51" s="24">
        <f>SUM(H51:I51)</f>
        <v>0</v>
      </c>
      <c r="K51" s="23">
        <v>55</v>
      </c>
      <c r="L51" s="24">
        <v>458</v>
      </c>
      <c r="M51" s="24">
        <f>SUM(K51:L51)</f>
        <v>513</v>
      </c>
      <c r="N51" s="23">
        <f t="shared" ref="N51:O53" si="12">SUM(B51,H51)</f>
        <v>0</v>
      </c>
      <c r="O51" s="24">
        <f t="shared" si="12"/>
        <v>0</v>
      </c>
      <c r="P51" s="24">
        <f>SUM(N51:O51)</f>
        <v>0</v>
      </c>
      <c r="Q51" s="23">
        <f t="shared" ref="Q51:R53" si="13">SUM(E51,K51)</f>
        <v>125</v>
      </c>
      <c r="R51" s="24">
        <f t="shared" si="13"/>
        <v>647</v>
      </c>
      <c r="S51" s="307">
        <f>SUM(Q51:R51)</f>
        <v>772</v>
      </c>
    </row>
    <row r="52" spans="1:22">
      <c r="A52" s="303" t="s">
        <v>91</v>
      </c>
      <c r="B52" s="20">
        <v>0</v>
      </c>
      <c r="C52" s="21">
        <v>0</v>
      </c>
      <c r="D52" s="21">
        <f>B52+C52</f>
        <v>0</v>
      </c>
      <c r="E52" s="20">
        <v>64</v>
      </c>
      <c r="F52" s="21">
        <v>181</v>
      </c>
      <c r="G52" s="24">
        <f>SUM(E52:F52)</f>
        <v>245</v>
      </c>
      <c r="H52" s="20">
        <v>0</v>
      </c>
      <c r="I52" s="21">
        <v>0</v>
      </c>
      <c r="J52" s="24">
        <f>SUM(H52:I52)</f>
        <v>0</v>
      </c>
      <c r="K52" s="22">
        <v>67</v>
      </c>
      <c r="L52" s="21">
        <v>522</v>
      </c>
      <c r="M52" s="24">
        <f>SUM(K52:L52)</f>
        <v>589</v>
      </c>
      <c r="N52" s="20">
        <f t="shared" si="12"/>
        <v>0</v>
      </c>
      <c r="O52" s="21">
        <f t="shared" si="12"/>
        <v>0</v>
      </c>
      <c r="P52" s="21">
        <f>SUM(D52,J52)</f>
        <v>0</v>
      </c>
      <c r="Q52" s="20">
        <f t="shared" si="13"/>
        <v>131</v>
      </c>
      <c r="R52" s="21">
        <f t="shared" si="13"/>
        <v>703</v>
      </c>
      <c r="S52" s="26">
        <f>SUM(G52,M52)</f>
        <v>834</v>
      </c>
    </row>
    <row r="53" spans="1:22">
      <c r="A53" s="303" t="s">
        <v>92</v>
      </c>
      <c r="B53" s="20">
        <v>0</v>
      </c>
      <c r="C53" s="21">
        <v>0</v>
      </c>
      <c r="D53" s="26">
        <f>B53+C53</f>
        <v>0</v>
      </c>
      <c r="E53" s="25">
        <v>59</v>
      </c>
      <c r="F53" s="21">
        <v>176</v>
      </c>
      <c r="G53" s="24">
        <f>SUM(E53:F53)</f>
        <v>235</v>
      </c>
      <c r="H53" s="20">
        <v>0</v>
      </c>
      <c r="I53" s="21">
        <v>0</v>
      </c>
      <c r="J53" s="24">
        <f>SUM(H53:I53)</f>
        <v>0</v>
      </c>
      <c r="K53" s="22">
        <v>74</v>
      </c>
      <c r="L53" s="21">
        <v>556</v>
      </c>
      <c r="M53" s="24">
        <f>SUM(K53:L53)</f>
        <v>630</v>
      </c>
      <c r="N53" s="20">
        <f t="shared" si="12"/>
        <v>0</v>
      </c>
      <c r="O53" s="21">
        <f t="shared" si="12"/>
        <v>0</v>
      </c>
      <c r="P53" s="21">
        <f>SUM(D53,J53)</f>
        <v>0</v>
      </c>
      <c r="Q53" s="20">
        <f t="shared" si="13"/>
        <v>133</v>
      </c>
      <c r="R53" s="21">
        <f t="shared" si="13"/>
        <v>732</v>
      </c>
      <c r="S53" s="26">
        <f>SUM(G53,M53)</f>
        <v>865</v>
      </c>
    </row>
    <row r="54" spans="1:22" ht="14.25" customHeight="1">
      <c r="A54" s="2"/>
      <c r="B54" s="20"/>
      <c r="C54" s="21"/>
      <c r="D54" s="26"/>
      <c r="H54" s="20"/>
      <c r="I54" s="21"/>
      <c r="J54" s="21"/>
      <c r="K54" s="20"/>
      <c r="L54" s="21"/>
      <c r="M54" s="21"/>
      <c r="N54" s="20"/>
      <c r="O54" s="21"/>
      <c r="P54" s="21"/>
      <c r="Q54" s="20"/>
      <c r="R54" s="21"/>
      <c r="S54" s="26"/>
    </row>
    <row r="55" spans="1:22">
      <c r="A55" s="27" t="s">
        <v>18</v>
      </c>
      <c r="B55" s="20"/>
      <c r="C55" s="21"/>
      <c r="D55" s="21"/>
      <c r="E55" s="20"/>
      <c r="F55" s="21"/>
      <c r="G55" s="21"/>
      <c r="H55" s="20"/>
      <c r="I55" s="21"/>
      <c r="J55" s="21"/>
      <c r="K55" s="20"/>
      <c r="L55" s="21"/>
      <c r="M55" s="21"/>
      <c r="N55" s="20"/>
      <c r="O55" s="21"/>
      <c r="P55" s="21"/>
      <c r="Q55" s="20"/>
      <c r="R55" s="21"/>
      <c r="S55" s="26"/>
    </row>
    <row r="56" spans="1:22">
      <c r="A56" s="2" t="s">
        <v>115</v>
      </c>
      <c r="B56" s="20">
        <v>502</v>
      </c>
      <c r="C56" s="21">
        <v>669</v>
      </c>
      <c r="D56" s="21">
        <f>SUM(B56:C56)</f>
        <v>1171</v>
      </c>
      <c r="E56" s="20">
        <v>200</v>
      </c>
      <c r="F56" s="21">
        <v>325</v>
      </c>
      <c r="G56" s="21">
        <f>SUM(E56:F56)</f>
        <v>525</v>
      </c>
      <c r="H56" s="20">
        <v>263</v>
      </c>
      <c r="I56" s="21">
        <v>871</v>
      </c>
      <c r="J56" s="21">
        <f>SUM(H56:I56)</f>
        <v>1134</v>
      </c>
      <c r="K56" s="22">
        <v>886</v>
      </c>
      <c r="L56" s="21">
        <v>1145</v>
      </c>
      <c r="M56" s="21">
        <f>SUM(K56:L56)</f>
        <v>2031</v>
      </c>
      <c r="N56" s="20">
        <f t="shared" ref="N56:S56" si="14">SUM(B56,H56)</f>
        <v>765</v>
      </c>
      <c r="O56" s="21">
        <f t="shared" si="14"/>
        <v>1540</v>
      </c>
      <c r="P56" s="21">
        <f t="shared" si="14"/>
        <v>2305</v>
      </c>
      <c r="Q56" s="20">
        <f t="shared" si="14"/>
        <v>1086</v>
      </c>
      <c r="R56" s="21">
        <f t="shared" si="14"/>
        <v>1470</v>
      </c>
      <c r="S56" s="21">
        <f t="shared" si="14"/>
        <v>2556</v>
      </c>
      <c r="U56" s="333"/>
      <c r="V56" s="333"/>
    </row>
    <row r="57" spans="1:22">
      <c r="A57" s="2" t="s">
        <v>10</v>
      </c>
      <c r="B57" s="20">
        <v>604</v>
      </c>
      <c r="C57" s="21">
        <v>862</v>
      </c>
      <c r="D57" s="21">
        <f>SUM(B57:C57)</f>
        <v>1466</v>
      </c>
      <c r="E57" s="20">
        <v>185</v>
      </c>
      <c r="F57" s="21">
        <v>272</v>
      </c>
      <c r="G57" s="21">
        <f>SUM(E57:F57)</f>
        <v>457</v>
      </c>
      <c r="H57" s="20">
        <v>357</v>
      </c>
      <c r="I57" s="21">
        <v>1117</v>
      </c>
      <c r="J57" s="21">
        <f>SUM(H57:I57)</f>
        <v>1474</v>
      </c>
      <c r="K57" s="22">
        <v>844</v>
      </c>
      <c r="L57" s="21">
        <v>1168</v>
      </c>
      <c r="M57" s="21">
        <f>SUM(K57:L57)</f>
        <v>2012</v>
      </c>
      <c r="N57" s="20">
        <f t="shared" ref="N57:S60" si="15">SUM(B57,H57)</f>
        <v>961</v>
      </c>
      <c r="O57" s="21">
        <f t="shared" si="15"/>
        <v>1979</v>
      </c>
      <c r="P57" s="21">
        <f t="shared" si="15"/>
        <v>2940</v>
      </c>
      <c r="Q57" s="20">
        <f t="shared" si="15"/>
        <v>1029</v>
      </c>
      <c r="R57" s="21">
        <f t="shared" si="15"/>
        <v>1440</v>
      </c>
      <c r="S57" s="26">
        <f t="shared" si="15"/>
        <v>2469</v>
      </c>
    </row>
    <row r="58" spans="1:22">
      <c r="A58" s="2" t="s">
        <v>11</v>
      </c>
      <c r="B58" s="20">
        <v>667</v>
      </c>
      <c r="C58" s="21">
        <v>951</v>
      </c>
      <c r="D58" s="21">
        <f>SUM(B58:C58)</f>
        <v>1618</v>
      </c>
      <c r="E58" s="20">
        <v>173</v>
      </c>
      <c r="F58" s="21">
        <v>260</v>
      </c>
      <c r="G58" s="21">
        <f>SUM(E58:F58)</f>
        <v>433</v>
      </c>
      <c r="H58" s="20">
        <v>367</v>
      </c>
      <c r="I58" s="21">
        <v>1233</v>
      </c>
      <c r="J58" s="21">
        <f>SUM(H58:I58)</f>
        <v>1600</v>
      </c>
      <c r="K58" s="22">
        <v>787</v>
      </c>
      <c r="L58" s="21">
        <v>1126</v>
      </c>
      <c r="M58" s="21">
        <f>SUM(K58:L58)</f>
        <v>1913</v>
      </c>
      <c r="N58" s="20">
        <f t="shared" si="15"/>
        <v>1034</v>
      </c>
      <c r="O58" s="21">
        <f t="shared" si="15"/>
        <v>2184</v>
      </c>
      <c r="P58" s="21">
        <f t="shared" si="15"/>
        <v>3218</v>
      </c>
      <c r="Q58" s="20">
        <f t="shared" si="15"/>
        <v>960</v>
      </c>
      <c r="R58" s="21">
        <f t="shared" si="15"/>
        <v>1386</v>
      </c>
      <c r="S58" s="26">
        <f t="shared" si="15"/>
        <v>2346</v>
      </c>
    </row>
    <row r="59" spans="1:22">
      <c r="A59" s="303" t="s">
        <v>94</v>
      </c>
      <c r="B59" s="20">
        <v>654</v>
      </c>
      <c r="C59" s="21">
        <v>1016</v>
      </c>
      <c r="D59" s="21">
        <f>SUM(B59:C59)</f>
        <v>1670</v>
      </c>
      <c r="E59" s="20">
        <v>128</v>
      </c>
      <c r="F59" s="21">
        <v>264</v>
      </c>
      <c r="G59" s="21">
        <f>SUM(E59:F59)</f>
        <v>392</v>
      </c>
      <c r="H59" s="20">
        <v>444</v>
      </c>
      <c r="I59" s="21">
        <v>1337</v>
      </c>
      <c r="J59" s="21">
        <f>SUM(H59:I59)</f>
        <v>1781</v>
      </c>
      <c r="K59" s="22">
        <v>782</v>
      </c>
      <c r="L59" s="21">
        <v>1118</v>
      </c>
      <c r="M59" s="21">
        <f>SUM(K59:L59)</f>
        <v>1900</v>
      </c>
      <c r="N59" s="20">
        <f t="shared" si="15"/>
        <v>1098</v>
      </c>
      <c r="O59" s="21">
        <f t="shared" si="15"/>
        <v>2353</v>
      </c>
      <c r="P59" s="21">
        <f t="shared" si="15"/>
        <v>3451</v>
      </c>
      <c r="Q59" s="20">
        <f t="shared" si="15"/>
        <v>910</v>
      </c>
      <c r="R59" s="21">
        <f t="shared" si="15"/>
        <v>1382</v>
      </c>
      <c r="S59" s="26">
        <f t="shared" si="15"/>
        <v>2292</v>
      </c>
    </row>
    <row r="60" spans="1:22">
      <c r="A60" s="303" t="s">
        <v>92</v>
      </c>
      <c r="B60" s="20">
        <v>656</v>
      </c>
      <c r="C60" s="21">
        <v>1041</v>
      </c>
      <c r="D60" s="21">
        <f>SUM(B60:C60)</f>
        <v>1697</v>
      </c>
      <c r="E60" s="20">
        <v>141</v>
      </c>
      <c r="F60" s="21">
        <v>285</v>
      </c>
      <c r="G60" s="21">
        <f>SUM(E60:F60)</f>
        <v>426</v>
      </c>
      <c r="H60" s="20">
        <v>446</v>
      </c>
      <c r="I60" s="21">
        <v>1344</v>
      </c>
      <c r="J60" s="21">
        <f>SUM(H60:I60)</f>
        <v>1790</v>
      </c>
      <c r="K60" s="22">
        <v>760</v>
      </c>
      <c r="L60" s="21">
        <v>1141</v>
      </c>
      <c r="M60" s="21">
        <f>SUM(K60:L60)</f>
        <v>1901</v>
      </c>
      <c r="N60" s="20">
        <f t="shared" si="15"/>
        <v>1102</v>
      </c>
      <c r="O60" s="21">
        <f t="shared" si="15"/>
        <v>2385</v>
      </c>
      <c r="P60" s="21">
        <f t="shared" si="15"/>
        <v>3487</v>
      </c>
      <c r="Q60" s="20">
        <f t="shared" si="15"/>
        <v>901</v>
      </c>
      <c r="R60" s="21">
        <f t="shared" si="15"/>
        <v>1426</v>
      </c>
      <c r="S60" s="26">
        <f t="shared" si="15"/>
        <v>2327</v>
      </c>
    </row>
    <row r="61" spans="1:22" ht="14.25" customHeight="1">
      <c r="A61" s="2"/>
      <c r="B61" s="20"/>
      <c r="C61" s="21"/>
      <c r="D61" s="21"/>
      <c r="E61" s="20"/>
      <c r="F61" s="21"/>
      <c r="G61" s="21"/>
      <c r="H61" s="20"/>
      <c r="I61" s="21"/>
      <c r="J61" s="21"/>
      <c r="K61" s="20"/>
      <c r="L61" s="21"/>
      <c r="M61" s="21"/>
      <c r="N61" s="20"/>
      <c r="O61" s="21"/>
      <c r="P61" s="21"/>
      <c r="Q61" s="20"/>
      <c r="R61" s="21"/>
      <c r="S61" s="26"/>
    </row>
    <row r="62" spans="1:22">
      <c r="A62" s="27" t="s">
        <v>19</v>
      </c>
      <c r="B62" s="20"/>
      <c r="C62" s="21"/>
      <c r="D62" s="21"/>
      <c r="E62" s="20"/>
      <c r="F62" s="21"/>
      <c r="G62" s="21"/>
      <c r="H62" s="20"/>
      <c r="I62" s="21"/>
      <c r="J62" s="21"/>
      <c r="K62" s="20"/>
      <c r="L62" s="21"/>
      <c r="M62" s="21"/>
      <c r="N62" s="20"/>
      <c r="O62" s="21"/>
      <c r="P62" s="21"/>
      <c r="Q62" s="20"/>
      <c r="R62" s="21"/>
      <c r="S62" s="26"/>
    </row>
    <row r="63" spans="1:22">
      <c r="A63" s="2" t="s">
        <v>115</v>
      </c>
      <c r="B63" s="20">
        <v>108</v>
      </c>
      <c r="C63" s="21">
        <v>75</v>
      </c>
      <c r="D63" s="21">
        <f>SUM(B63:C63)</f>
        <v>183</v>
      </c>
      <c r="E63" s="20">
        <v>38</v>
      </c>
      <c r="F63" s="21">
        <v>36</v>
      </c>
      <c r="G63" s="21">
        <f>SUM(E63:F63)</f>
        <v>74</v>
      </c>
      <c r="H63" s="20">
        <v>63</v>
      </c>
      <c r="I63" s="21">
        <v>111</v>
      </c>
      <c r="J63" s="21">
        <f>SUM(H63:I63)</f>
        <v>174</v>
      </c>
      <c r="K63" s="22">
        <v>606</v>
      </c>
      <c r="L63" s="21">
        <v>250</v>
      </c>
      <c r="M63" s="21">
        <f>SUM(K63:L63)</f>
        <v>856</v>
      </c>
      <c r="N63" s="20">
        <f t="shared" ref="N63:S63" si="16">SUM(B63,H63)</f>
        <v>171</v>
      </c>
      <c r="O63" s="21">
        <f t="shared" si="16"/>
        <v>186</v>
      </c>
      <c r="P63" s="21">
        <f t="shared" si="16"/>
        <v>357</v>
      </c>
      <c r="Q63" s="20">
        <f t="shared" si="16"/>
        <v>644</v>
      </c>
      <c r="R63" s="21">
        <f t="shared" si="16"/>
        <v>286</v>
      </c>
      <c r="S63" s="21">
        <f t="shared" si="16"/>
        <v>930</v>
      </c>
      <c r="U63" s="333"/>
      <c r="V63" s="333"/>
    </row>
    <row r="64" spans="1:22">
      <c r="A64" s="2" t="s">
        <v>10</v>
      </c>
      <c r="B64" s="20">
        <v>142</v>
      </c>
      <c r="C64" s="21">
        <v>99</v>
      </c>
      <c r="D64" s="21">
        <f>SUM(B64:C64)</f>
        <v>241</v>
      </c>
      <c r="E64" s="20">
        <v>30</v>
      </c>
      <c r="F64" s="21">
        <v>34</v>
      </c>
      <c r="G64" s="21">
        <f>SUM(E64:F64)</f>
        <v>64</v>
      </c>
      <c r="H64" s="20">
        <v>76</v>
      </c>
      <c r="I64" s="21">
        <v>122</v>
      </c>
      <c r="J64" s="21">
        <f>SUM(H64:I64)</f>
        <v>198</v>
      </c>
      <c r="K64" s="22">
        <v>484</v>
      </c>
      <c r="L64" s="21">
        <v>246</v>
      </c>
      <c r="M64" s="21">
        <f>SUM(K64:L64)</f>
        <v>730</v>
      </c>
      <c r="N64" s="20">
        <f t="shared" ref="N64:S67" si="17">SUM(B64,H64)</f>
        <v>218</v>
      </c>
      <c r="O64" s="21">
        <f t="shared" si="17"/>
        <v>221</v>
      </c>
      <c r="P64" s="21">
        <f t="shared" si="17"/>
        <v>439</v>
      </c>
      <c r="Q64" s="20">
        <f t="shared" si="17"/>
        <v>514</v>
      </c>
      <c r="R64" s="21">
        <f t="shared" si="17"/>
        <v>280</v>
      </c>
      <c r="S64" s="26">
        <f t="shared" si="17"/>
        <v>794</v>
      </c>
    </row>
    <row r="65" spans="1:22">
      <c r="A65" s="2" t="s">
        <v>11</v>
      </c>
      <c r="B65" s="20">
        <v>152</v>
      </c>
      <c r="C65" s="21">
        <v>123</v>
      </c>
      <c r="D65" s="21">
        <f>SUM(B65:C65)</f>
        <v>275</v>
      </c>
      <c r="E65" s="20">
        <v>36</v>
      </c>
      <c r="F65" s="21">
        <v>52</v>
      </c>
      <c r="G65" s="21">
        <f>SUM(E65:F65)</f>
        <v>88</v>
      </c>
      <c r="H65" s="20">
        <v>94</v>
      </c>
      <c r="I65" s="21">
        <v>131</v>
      </c>
      <c r="J65" s="21">
        <f>SUM(H65:I65)</f>
        <v>225</v>
      </c>
      <c r="K65" s="22">
        <v>445</v>
      </c>
      <c r="L65" s="21">
        <v>220</v>
      </c>
      <c r="M65" s="21">
        <f>SUM(K65:L65)</f>
        <v>665</v>
      </c>
      <c r="N65" s="20">
        <f t="shared" si="17"/>
        <v>246</v>
      </c>
      <c r="O65" s="21">
        <f t="shared" si="17"/>
        <v>254</v>
      </c>
      <c r="P65" s="21">
        <f t="shared" si="17"/>
        <v>500</v>
      </c>
      <c r="Q65" s="20">
        <f t="shared" si="17"/>
        <v>481</v>
      </c>
      <c r="R65" s="21">
        <f t="shared" si="17"/>
        <v>272</v>
      </c>
      <c r="S65" s="26">
        <f t="shared" si="17"/>
        <v>753</v>
      </c>
    </row>
    <row r="66" spans="1:22">
      <c r="A66" s="303" t="s">
        <v>94</v>
      </c>
      <c r="B66" s="20">
        <v>163</v>
      </c>
      <c r="C66" s="21">
        <v>155</v>
      </c>
      <c r="D66" s="21">
        <f>SUM(B66:C66)</f>
        <v>318</v>
      </c>
      <c r="E66" s="20">
        <v>17</v>
      </c>
      <c r="F66" s="21">
        <v>44</v>
      </c>
      <c r="G66" s="21">
        <f>SUM(E66:F66)</f>
        <v>61</v>
      </c>
      <c r="H66" s="20">
        <v>107</v>
      </c>
      <c r="I66" s="21">
        <v>150</v>
      </c>
      <c r="J66" s="21">
        <f>SUM(H66:I66)</f>
        <v>257</v>
      </c>
      <c r="K66" s="22">
        <v>379</v>
      </c>
      <c r="L66" s="21">
        <v>200</v>
      </c>
      <c r="M66" s="21">
        <f>SUM(K66:L66)</f>
        <v>579</v>
      </c>
      <c r="N66" s="20">
        <f t="shared" si="17"/>
        <v>270</v>
      </c>
      <c r="O66" s="21">
        <f t="shared" si="17"/>
        <v>305</v>
      </c>
      <c r="P66" s="21">
        <f t="shared" si="17"/>
        <v>575</v>
      </c>
      <c r="Q66" s="20">
        <f t="shared" si="17"/>
        <v>396</v>
      </c>
      <c r="R66" s="21">
        <f t="shared" si="17"/>
        <v>244</v>
      </c>
      <c r="S66" s="26">
        <f t="shared" si="17"/>
        <v>640</v>
      </c>
    </row>
    <row r="67" spans="1:22">
      <c r="A67" s="303" t="s">
        <v>92</v>
      </c>
      <c r="B67" s="20">
        <v>155</v>
      </c>
      <c r="C67" s="21">
        <v>156</v>
      </c>
      <c r="D67" s="21">
        <f>SUM(B67:C67)</f>
        <v>311</v>
      </c>
      <c r="E67" s="20">
        <v>24</v>
      </c>
      <c r="F67" s="21">
        <v>48</v>
      </c>
      <c r="G67" s="21">
        <f>SUM(E67:F67)</f>
        <v>72</v>
      </c>
      <c r="H67" s="20">
        <v>124</v>
      </c>
      <c r="I67" s="21">
        <v>154</v>
      </c>
      <c r="J67" s="21">
        <f>SUM(H67:I67)</f>
        <v>278</v>
      </c>
      <c r="K67" s="22">
        <v>336</v>
      </c>
      <c r="L67" s="21">
        <v>197</v>
      </c>
      <c r="M67" s="21">
        <f>SUM(K67:L67)</f>
        <v>533</v>
      </c>
      <c r="N67" s="20">
        <f t="shared" si="17"/>
        <v>279</v>
      </c>
      <c r="O67" s="21">
        <f t="shared" si="17"/>
        <v>310</v>
      </c>
      <c r="P67" s="21">
        <f t="shared" si="17"/>
        <v>589</v>
      </c>
      <c r="Q67" s="20">
        <f t="shared" si="17"/>
        <v>360</v>
      </c>
      <c r="R67" s="21">
        <f t="shared" si="17"/>
        <v>245</v>
      </c>
      <c r="S67" s="26">
        <f t="shared" si="17"/>
        <v>605</v>
      </c>
    </row>
    <row r="68" spans="1:22" ht="15.75" customHeight="1">
      <c r="A68" s="2"/>
      <c r="B68" s="20"/>
      <c r="C68" s="21"/>
      <c r="D68" s="21"/>
      <c r="E68" s="20"/>
      <c r="F68" s="21"/>
      <c r="G68" s="21"/>
      <c r="H68" s="20"/>
      <c r="I68" s="21"/>
      <c r="J68" s="21"/>
      <c r="K68" s="20"/>
      <c r="L68" s="21"/>
      <c r="M68" s="21"/>
      <c r="N68" s="20"/>
      <c r="O68" s="21"/>
      <c r="P68" s="21"/>
      <c r="Q68" s="20"/>
      <c r="R68" s="21"/>
      <c r="S68" s="26"/>
    </row>
    <row r="69" spans="1:22">
      <c r="A69" s="1" t="s">
        <v>20</v>
      </c>
      <c r="B69" s="20"/>
      <c r="C69" s="21"/>
      <c r="D69" s="21"/>
      <c r="E69" s="20"/>
      <c r="F69" s="21"/>
      <c r="G69" s="21"/>
      <c r="H69" s="20"/>
      <c r="I69" s="21"/>
      <c r="J69" s="21"/>
      <c r="K69" s="20"/>
      <c r="L69" s="21"/>
      <c r="M69" s="21"/>
      <c r="N69" s="20"/>
      <c r="O69" s="21"/>
      <c r="P69" s="21"/>
      <c r="Q69" s="20"/>
      <c r="R69" s="21"/>
      <c r="S69" s="26"/>
    </row>
    <row r="70" spans="1:22">
      <c r="A70" s="2" t="s">
        <v>115</v>
      </c>
      <c r="B70" s="20">
        <v>916</v>
      </c>
      <c r="C70" s="21">
        <v>612</v>
      </c>
      <c r="D70" s="21">
        <f>SUM(B70:C70)</f>
        <v>1528</v>
      </c>
      <c r="E70" s="20">
        <v>71</v>
      </c>
      <c r="F70" s="21">
        <v>88</v>
      </c>
      <c r="G70" s="21">
        <f>SUM(E70:F70)</f>
        <v>159</v>
      </c>
      <c r="H70" s="20">
        <v>573</v>
      </c>
      <c r="I70" s="21">
        <v>1072</v>
      </c>
      <c r="J70" s="21">
        <f>SUM(H70:I70)</f>
        <v>1645</v>
      </c>
      <c r="K70" s="22">
        <v>482</v>
      </c>
      <c r="L70" s="21">
        <v>732</v>
      </c>
      <c r="M70" s="21">
        <f>SUM(K70:L70)</f>
        <v>1214</v>
      </c>
      <c r="N70" s="20">
        <f t="shared" ref="N70:Q70" si="18">SUM(B70,H70)</f>
        <v>1489</v>
      </c>
      <c r="O70" s="21">
        <f t="shared" si="18"/>
        <v>1684</v>
      </c>
      <c r="P70" s="21">
        <f t="shared" si="18"/>
        <v>3173</v>
      </c>
      <c r="Q70" s="20">
        <f t="shared" si="18"/>
        <v>553</v>
      </c>
      <c r="R70" s="21">
        <f>SUM(F70,L70)</f>
        <v>820</v>
      </c>
      <c r="S70" s="21">
        <f>SUM(G70,M70)</f>
        <v>1373</v>
      </c>
      <c r="U70" s="333"/>
      <c r="V70" s="333"/>
    </row>
    <row r="71" spans="1:22">
      <c r="A71" s="2" t="s">
        <v>10</v>
      </c>
      <c r="B71" s="20">
        <v>939</v>
      </c>
      <c r="C71" s="21">
        <v>708</v>
      </c>
      <c r="D71" s="21">
        <f>SUM(B71:C71)</f>
        <v>1647</v>
      </c>
      <c r="E71" s="20">
        <v>95</v>
      </c>
      <c r="F71" s="21">
        <v>99</v>
      </c>
      <c r="G71" s="21">
        <f>SUM(E71:F71)</f>
        <v>194</v>
      </c>
      <c r="H71" s="20">
        <v>573</v>
      </c>
      <c r="I71" s="21">
        <v>1119</v>
      </c>
      <c r="J71" s="21">
        <f>SUM(H71:I71)</f>
        <v>1692</v>
      </c>
      <c r="K71" s="22">
        <v>622</v>
      </c>
      <c r="L71" s="21">
        <v>845</v>
      </c>
      <c r="M71" s="21">
        <f>SUM(K71:L71)</f>
        <v>1467</v>
      </c>
      <c r="N71" s="20">
        <f t="shared" ref="N71:S74" si="19">SUM(B71,H71)</f>
        <v>1512</v>
      </c>
      <c r="O71" s="21">
        <f t="shared" si="19"/>
        <v>1827</v>
      </c>
      <c r="P71" s="21">
        <f t="shared" si="19"/>
        <v>3339</v>
      </c>
      <c r="Q71" s="20">
        <f t="shared" si="19"/>
        <v>717</v>
      </c>
      <c r="R71" s="21">
        <f t="shared" si="19"/>
        <v>944</v>
      </c>
      <c r="S71" s="26">
        <f t="shared" si="19"/>
        <v>1661</v>
      </c>
    </row>
    <row r="72" spans="1:22">
      <c r="A72" s="2" t="s">
        <v>11</v>
      </c>
      <c r="B72" s="20">
        <v>924</v>
      </c>
      <c r="C72" s="21">
        <v>778</v>
      </c>
      <c r="D72" s="21">
        <f>SUM(B72:C72)</f>
        <v>1702</v>
      </c>
      <c r="E72" s="20">
        <v>89</v>
      </c>
      <c r="F72" s="21">
        <v>69</v>
      </c>
      <c r="G72" s="21">
        <f>SUM(E72:F72)</f>
        <v>158</v>
      </c>
      <c r="H72" s="20">
        <v>622</v>
      </c>
      <c r="I72" s="21">
        <v>1251</v>
      </c>
      <c r="J72" s="21">
        <f>SUM(H72:I72)</f>
        <v>1873</v>
      </c>
      <c r="K72" s="22">
        <v>647</v>
      </c>
      <c r="L72" s="21">
        <v>901</v>
      </c>
      <c r="M72" s="21">
        <f>SUM(K72:L72)</f>
        <v>1548</v>
      </c>
      <c r="N72" s="20">
        <f t="shared" si="19"/>
        <v>1546</v>
      </c>
      <c r="O72" s="21">
        <f t="shared" si="19"/>
        <v>2029</v>
      </c>
      <c r="P72" s="21">
        <f t="shared" si="19"/>
        <v>3575</v>
      </c>
      <c r="Q72" s="20">
        <f t="shared" si="19"/>
        <v>736</v>
      </c>
      <c r="R72" s="21">
        <f t="shared" si="19"/>
        <v>970</v>
      </c>
      <c r="S72" s="26">
        <f t="shared" si="19"/>
        <v>1706</v>
      </c>
    </row>
    <row r="73" spans="1:22">
      <c r="A73" s="303" t="s">
        <v>91</v>
      </c>
      <c r="B73" s="20">
        <v>926</v>
      </c>
      <c r="C73" s="21">
        <v>823</v>
      </c>
      <c r="D73" s="21">
        <f>SUM(B73:C73)</f>
        <v>1749</v>
      </c>
      <c r="E73" s="20">
        <v>63</v>
      </c>
      <c r="F73" s="21">
        <v>72</v>
      </c>
      <c r="G73" s="21">
        <f>SUM(E73:F73)</f>
        <v>135</v>
      </c>
      <c r="H73" s="20">
        <v>674</v>
      </c>
      <c r="I73" s="21">
        <v>1312</v>
      </c>
      <c r="J73" s="21">
        <f>SUM(H73:I73)</f>
        <v>1986</v>
      </c>
      <c r="K73" s="22">
        <v>608</v>
      </c>
      <c r="L73" s="21">
        <v>909</v>
      </c>
      <c r="M73" s="21">
        <f>SUM(K73:L73)</f>
        <v>1517</v>
      </c>
      <c r="N73" s="20">
        <f t="shared" si="19"/>
        <v>1600</v>
      </c>
      <c r="O73" s="21">
        <f t="shared" si="19"/>
        <v>2135</v>
      </c>
      <c r="P73" s="21">
        <f t="shared" si="19"/>
        <v>3735</v>
      </c>
      <c r="Q73" s="20">
        <f t="shared" si="19"/>
        <v>671</v>
      </c>
      <c r="R73" s="21">
        <f t="shared" si="19"/>
        <v>981</v>
      </c>
      <c r="S73" s="26">
        <f t="shared" si="19"/>
        <v>1652</v>
      </c>
    </row>
    <row r="74" spans="1:22">
      <c r="A74" s="303" t="s">
        <v>92</v>
      </c>
      <c r="B74" s="25">
        <v>915</v>
      </c>
      <c r="C74" s="21">
        <v>883</v>
      </c>
      <c r="D74" s="26">
        <f>SUM(B74:C74)</f>
        <v>1798</v>
      </c>
      <c r="E74" s="25">
        <v>54</v>
      </c>
      <c r="F74" s="21">
        <v>74</v>
      </c>
      <c r="G74" s="26">
        <f>SUM(E74:F74)</f>
        <v>128</v>
      </c>
      <c r="H74" s="25">
        <v>678</v>
      </c>
      <c r="I74" s="21">
        <v>1312</v>
      </c>
      <c r="J74" s="26">
        <f>SUM(H74:I74)</f>
        <v>1990</v>
      </c>
      <c r="K74" s="308">
        <v>630</v>
      </c>
      <c r="L74" s="21">
        <v>882</v>
      </c>
      <c r="M74" s="21">
        <f>SUM(K74:L74)</f>
        <v>1512</v>
      </c>
      <c r="N74" s="20">
        <f t="shared" si="19"/>
        <v>1593</v>
      </c>
      <c r="O74" s="21">
        <f t="shared" si="19"/>
        <v>2195</v>
      </c>
      <c r="P74" s="21">
        <f t="shared" si="19"/>
        <v>3788</v>
      </c>
      <c r="Q74" s="20">
        <f t="shared" si="19"/>
        <v>684</v>
      </c>
      <c r="R74" s="21">
        <f t="shared" si="19"/>
        <v>956</v>
      </c>
      <c r="S74" s="26">
        <f t="shared" si="19"/>
        <v>1640</v>
      </c>
    </row>
    <row r="77" spans="1:22">
      <c r="A77" s="4" t="s">
        <v>21</v>
      </c>
    </row>
  </sheetData>
  <printOptions horizontalCentered="1"/>
  <pageMargins left="0.39370078740157483" right="0.39370078740157483" top="0.39370078740157483" bottom="0.39370078740157483" header="0.51181102362204722" footer="0.51181102362204722"/>
  <pageSetup paperSize="9" scale="84" fitToHeight="2"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82"/>
  <sheetViews>
    <sheetView zoomScaleNormal="100" workbookViewId="0"/>
  </sheetViews>
  <sheetFormatPr defaultRowHeight="15"/>
  <cols>
    <col min="1" max="1" width="9.28515625" customWidth="1"/>
    <col min="8" max="8" width="9.28515625" customWidth="1"/>
  </cols>
  <sheetData>
    <row r="3" spans="1:11" ht="15.75">
      <c r="A3" s="355" t="s">
        <v>95</v>
      </c>
      <c r="B3" s="355"/>
      <c r="C3" s="355"/>
      <c r="D3" s="355"/>
      <c r="E3" s="355"/>
      <c r="F3" s="355"/>
      <c r="G3" s="355"/>
      <c r="H3" s="355"/>
    </row>
    <row r="4" spans="1:11" ht="15.75">
      <c r="A4" s="355" t="s">
        <v>56</v>
      </c>
      <c r="B4" s="355"/>
      <c r="C4" s="355"/>
      <c r="D4" s="355"/>
      <c r="E4" s="355"/>
      <c r="F4" s="355"/>
      <c r="G4" s="355"/>
      <c r="H4" s="355"/>
    </row>
    <row r="5" spans="1:11" ht="4.5" customHeight="1"/>
    <row r="6" spans="1:11" ht="38.450000000000003" customHeight="1">
      <c r="B6" s="356" t="s">
        <v>96</v>
      </c>
      <c r="C6" s="351"/>
      <c r="D6" s="351"/>
      <c r="E6" s="351"/>
      <c r="F6" s="351"/>
      <c r="G6" s="351"/>
      <c r="H6" s="93"/>
      <c r="I6" s="93"/>
      <c r="J6" s="93"/>
      <c r="K6" s="93"/>
    </row>
    <row r="7" spans="1:11">
      <c r="H7" s="93"/>
      <c r="I7" s="93"/>
      <c r="J7" s="93"/>
      <c r="K7" s="93"/>
    </row>
    <row r="8" spans="1:11">
      <c r="B8" s="356" t="s">
        <v>57</v>
      </c>
      <c r="C8" s="351"/>
      <c r="D8" s="351"/>
      <c r="E8" s="351"/>
      <c r="F8" s="351"/>
      <c r="G8" s="351"/>
      <c r="H8" s="94"/>
      <c r="I8" s="94"/>
      <c r="J8" s="94"/>
      <c r="K8" s="94"/>
    </row>
    <row r="9" spans="1:11" ht="15.75" thickBot="1">
      <c r="B9" s="95"/>
      <c r="C9" s="95"/>
      <c r="D9" s="95"/>
      <c r="E9" s="95"/>
      <c r="F9" s="95"/>
      <c r="G9" s="95"/>
      <c r="H9" s="95"/>
      <c r="I9" s="95"/>
      <c r="J9" s="95"/>
      <c r="K9" s="95"/>
    </row>
    <row r="10" spans="1:11">
      <c r="B10" s="96"/>
      <c r="C10" s="97" t="s">
        <v>4</v>
      </c>
      <c r="D10" s="98"/>
      <c r="E10" s="98"/>
      <c r="F10" s="347" t="s">
        <v>58</v>
      </c>
      <c r="G10" s="347"/>
    </row>
    <row r="11" spans="1:11">
      <c r="B11" s="99" t="s">
        <v>59</v>
      </c>
      <c r="C11" s="100" t="s">
        <v>7</v>
      </c>
      <c r="D11" s="101" t="s">
        <v>8</v>
      </c>
      <c r="E11" s="101" t="s">
        <v>4</v>
      </c>
      <c r="F11" s="102" t="s">
        <v>7</v>
      </c>
      <c r="G11" s="103" t="s">
        <v>8</v>
      </c>
    </row>
    <row r="12" spans="1:11">
      <c r="B12" s="104"/>
      <c r="C12" s="105"/>
      <c r="D12" s="104"/>
      <c r="E12" s="104"/>
      <c r="F12" s="106"/>
      <c r="G12" s="107"/>
    </row>
    <row r="13" spans="1:11">
      <c r="B13" s="95" t="s">
        <v>60</v>
      </c>
      <c r="C13" s="108">
        <v>330</v>
      </c>
      <c r="D13" s="109">
        <v>3140</v>
      </c>
      <c r="E13" s="109">
        <v>3470</v>
      </c>
      <c r="F13" s="110">
        <f>C13/E13</f>
        <v>9.5100864553314124E-2</v>
      </c>
      <c r="G13" s="111">
        <f>D13/E13</f>
        <v>0.90489913544668588</v>
      </c>
    </row>
    <row r="14" spans="1:11">
      <c r="B14" s="95" t="s">
        <v>61</v>
      </c>
      <c r="C14" s="108">
        <v>968</v>
      </c>
      <c r="D14" s="109">
        <v>7071</v>
      </c>
      <c r="E14" s="109">
        <v>8039</v>
      </c>
      <c r="F14" s="110">
        <f t="shared" ref="F14:F76" si="0">C14/E14</f>
        <v>0.1204129866898868</v>
      </c>
      <c r="G14" s="111">
        <f t="shared" ref="G14:G76" si="1">D14/E14</f>
        <v>0.87958701331011324</v>
      </c>
    </row>
    <row r="15" spans="1:11">
      <c r="B15" s="95" t="s">
        <v>62</v>
      </c>
      <c r="C15" s="108">
        <v>1013</v>
      </c>
      <c r="D15" s="109">
        <v>7927</v>
      </c>
      <c r="E15" s="109">
        <v>8940</v>
      </c>
      <c r="F15" s="110">
        <f t="shared" si="0"/>
        <v>0.1133109619686801</v>
      </c>
      <c r="G15" s="111">
        <f t="shared" si="1"/>
        <v>0.88668903803131993</v>
      </c>
    </row>
    <row r="16" spans="1:11">
      <c r="B16" s="95" t="s">
        <v>63</v>
      </c>
      <c r="C16" s="108">
        <v>963</v>
      </c>
      <c r="D16" s="109">
        <v>6806</v>
      </c>
      <c r="E16" s="109">
        <v>7769</v>
      </c>
      <c r="F16" s="110">
        <f t="shared" si="0"/>
        <v>0.12395417685673832</v>
      </c>
      <c r="G16" s="111">
        <f t="shared" si="1"/>
        <v>0.87604582314326163</v>
      </c>
    </row>
    <row r="17" spans="2:7">
      <c r="B17" s="95" t="s">
        <v>64</v>
      </c>
      <c r="C17" s="108">
        <v>678</v>
      </c>
      <c r="D17" s="109">
        <v>6024</v>
      </c>
      <c r="E17" s="109">
        <v>6702</v>
      </c>
      <c r="F17" s="110">
        <f t="shared" si="0"/>
        <v>0.10116383169203223</v>
      </c>
      <c r="G17" s="111">
        <f t="shared" si="1"/>
        <v>0.89883616830796775</v>
      </c>
    </row>
    <row r="18" spans="2:7">
      <c r="B18" s="95" t="s">
        <v>65</v>
      </c>
      <c r="C18" s="108">
        <v>826</v>
      </c>
      <c r="D18" s="109">
        <v>6191</v>
      </c>
      <c r="E18" s="109">
        <v>7017</v>
      </c>
      <c r="F18" s="110">
        <f t="shared" si="0"/>
        <v>0.11771412284452044</v>
      </c>
      <c r="G18" s="111">
        <f t="shared" si="1"/>
        <v>0.88228587715547957</v>
      </c>
    </row>
    <row r="19" spans="2:7">
      <c r="B19" s="95" t="s">
        <v>66</v>
      </c>
      <c r="C19" s="108">
        <v>1409</v>
      </c>
      <c r="D19" s="109">
        <v>6640</v>
      </c>
      <c r="E19" s="109">
        <v>8049</v>
      </c>
      <c r="F19" s="110">
        <f t="shared" si="0"/>
        <v>0.17505280159025965</v>
      </c>
      <c r="G19" s="111">
        <f t="shared" si="1"/>
        <v>0.82494719840974029</v>
      </c>
    </row>
    <row r="20" spans="2:7">
      <c r="B20" s="95" t="s">
        <v>67</v>
      </c>
      <c r="C20" s="108">
        <v>1260</v>
      </c>
      <c r="D20" s="109">
        <v>4074</v>
      </c>
      <c r="E20" s="109">
        <v>5334</v>
      </c>
      <c r="F20" s="110">
        <f t="shared" si="0"/>
        <v>0.23622047244094488</v>
      </c>
      <c r="G20" s="111">
        <f t="shared" si="1"/>
        <v>0.76377952755905509</v>
      </c>
    </row>
    <row r="21" spans="2:7">
      <c r="B21" s="95" t="s">
        <v>68</v>
      </c>
      <c r="C21" s="108">
        <v>366</v>
      </c>
      <c r="D21" s="109">
        <v>1086</v>
      </c>
      <c r="E21" s="112">
        <v>1452</v>
      </c>
      <c r="F21" s="110">
        <f t="shared" si="0"/>
        <v>0.25206611570247933</v>
      </c>
      <c r="G21" s="111">
        <f t="shared" si="1"/>
        <v>0.74793388429752061</v>
      </c>
    </row>
    <row r="22" spans="2:7">
      <c r="B22" s="113" t="s">
        <v>4</v>
      </c>
      <c r="C22" s="114">
        <v>7813</v>
      </c>
      <c r="D22" s="115">
        <v>48959</v>
      </c>
      <c r="E22" s="115">
        <v>56772</v>
      </c>
      <c r="F22" s="116">
        <f t="shared" si="0"/>
        <v>0.13762065807088</v>
      </c>
      <c r="G22" s="117">
        <f t="shared" si="1"/>
        <v>0.86237934192912002</v>
      </c>
    </row>
    <row r="25" spans="2:7">
      <c r="B25" s="357" t="s">
        <v>69</v>
      </c>
      <c r="C25" s="349"/>
      <c r="D25" s="349"/>
      <c r="E25" s="349"/>
      <c r="F25" s="349"/>
      <c r="G25" s="349"/>
    </row>
    <row r="26" spans="2:7" ht="15.75" thickBot="1">
      <c r="B26" s="118"/>
      <c r="C26" s="118"/>
      <c r="D26" s="118"/>
      <c r="E26" s="118"/>
      <c r="F26" s="119"/>
      <c r="G26" s="119"/>
    </row>
    <row r="27" spans="2:7">
      <c r="B27" s="120"/>
      <c r="C27" s="121" t="s">
        <v>4</v>
      </c>
      <c r="D27" s="122"/>
      <c r="E27" s="122"/>
      <c r="F27" s="347" t="s">
        <v>58</v>
      </c>
      <c r="G27" s="347"/>
    </row>
    <row r="28" spans="2:7">
      <c r="B28" s="123" t="s">
        <v>59</v>
      </c>
      <c r="C28" s="124" t="s">
        <v>7</v>
      </c>
      <c r="D28" s="125" t="s">
        <v>8</v>
      </c>
      <c r="E28" s="125" t="s">
        <v>4</v>
      </c>
      <c r="F28" s="102" t="s">
        <v>7</v>
      </c>
      <c r="G28" s="103" t="s">
        <v>8</v>
      </c>
    </row>
    <row r="29" spans="2:7">
      <c r="B29" s="126"/>
      <c r="C29" s="127"/>
      <c r="D29" s="126"/>
      <c r="E29" s="126"/>
      <c r="F29" s="110"/>
      <c r="G29" s="111"/>
    </row>
    <row r="30" spans="2:7">
      <c r="B30" s="128" t="s">
        <v>60</v>
      </c>
      <c r="C30" s="129">
        <v>51</v>
      </c>
      <c r="D30" s="130">
        <v>279</v>
      </c>
      <c r="E30" s="130">
        <v>330</v>
      </c>
      <c r="F30" s="110">
        <f t="shared" si="0"/>
        <v>0.15454545454545454</v>
      </c>
      <c r="G30" s="111">
        <f t="shared" si="1"/>
        <v>0.84545454545454546</v>
      </c>
    </row>
    <row r="31" spans="2:7">
      <c r="B31" s="128" t="s">
        <v>61</v>
      </c>
      <c r="C31" s="129">
        <v>138</v>
      </c>
      <c r="D31" s="130">
        <v>882</v>
      </c>
      <c r="E31" s="130">
        <v>1020</v>
      </c>
      <c r="F31" s="110">
        <f t="shared" si="0"/>
        <v>0.13529411764705881</v>
      </c>
      <c r="G31" s="111">
        <f t="shared" si="1"/>
        <v>0.86470588235294121</v>
      </c>
    </row>
    <row r="32" spans="2:7">
      <c r="B32" s="128" t="s">
        <v>62</v>
      </c>
      <c r="C32" s="129">
        <v>200</v>
      </c>
      <c r="D32" s="130">
        <v>1098</v>
      </c>
      <c r="E32" s="130">
        <v>1298</v>
      </c>
      <c r="F32" s="110">
        <f t="shared" si="0"/>
        <v>0.15408320493066255</v>
      </c>
      <c r="G32" s="111">
        <f t="shared" si="1"/>
        <v>0.84591679506933748</v>
      </c>
    </row>
    <row r="33" spans="2:7">
      <c r="B33" s="128" t="s">
        <v>63</v>
      </c>
      <c r="C33" s="129">
        <v>154</v>
      </c>
      <c r="D33" s="130">
        <v>933</v>
      </c>
      <c r="E33" s="130">
        <v>1087</v>
      </c>
      <c r="F33" s="110">
        <f t="shared" si="0"/>
        <v>0.14167433302667892</v>
      </c>
      <c r="G33" s="111">
        <f t="shared" si="1"/>
        <v>0.85832566697332102</v>
      </c>
    </row>
    <row r="34" spans="2:7">
      <c r="B34" s="128" t="s">
        <v>64</v>
      </c>
      <c r="C34" s="129">
        <v>179</v>
      </c>
      <c r="D34" s="130">
        <v>761</v>
      </c>
      <c r="E34" s="130">
        <v>940</v>
      </c>
      <c r="F34" s="110">
        <f t="shared" si="0"/>
        <v>0.19042553191489361</v>
      </c>
      <c r="G34" s="111">
        <f t="shared" si="1"/>
        <v>0.80957446808510636</v>
      </c>
    </row>
    <row r="35" spans="2:7">
      <c r="B35" s="128" t="s">
        <v>65</v>
      </c>
      <c r="C35" s="129">
        <v>110</v>
      </c>
      <c r="D35" s="130">
        <v>617</v>
      </c>
      <c r="E35" s="130">
        <v>727</v>
      </c>
      <c r="F35" s="110">
        <f t="shared" si="0"/>
        <v>0.15130674002751032</v>
      </c>
      <c r="G35" s="111">
        <f t="shared" si="1"/>
        <v>0.84869325997248968</v>
      </c>
    </row>
    <row r="36" spans="2:7">
      <c r="B36" s="128" t="s">
        <v>66</v>
      </c>
      <c r="C36" s="129">
        <v>153</v>
      </c>
      <c r="D36" s="130">
        <v>622</v>
      </c>
      <c r="E36" s="130">
        <v>775</v>
      </c>
      <c r="F36" s="110">
        <f t="shared" si="0"/>
        <v>0.19741935483870968</v>
      </c>
      <c r="G36" s="111">
        <f t="shared" si="1"/>
        <v>0.80258064516129035</v>
      </c>
    </row>
    <row r="37" spans="2:7">
      <c r="B37" s="128" t="s">
        <v>67</v>
      </c>
      <c r="C37" s="129">
        <v>136</v>
      </c>
      <c r="D37" s="130">
        <v>514</v>
      </c>
      <c r="E37" s="130">
        <v>650</v>
      </c>
      <c r="F37" s="110">
        <f t="shared" si="0"/>
        <v>0.20923076923076922</v>
      </c>
      <c r="G37" s="111">
        <f t="shared" si="1"/>
        <v>0.79076923076923078</v>
      </c>
    </row>
    <row r="38" spans="2:7">
      <c r="B38" s="128" t="s">
        <v>68</v>
      </c>
      <c r="C38" s="129">
        <v>43</v>
      </c>
      <c r="D38" s="130">
        <v>138</v>
      </c>
      <c r="E38" s="131">
        <v>181</v>
      </c>
      <c r="F38" s="110">
        <f t="shared" si="0"/>
        <v>0.23756906077348067</v>
      </c>
      <c r="G38" s="111">
        <f t="shared" si="1"/>
        <v>0.76243093922651939</v>
      </c>
    </row>
    <row r="39" spans="2:7">
      <c r="B39" s="132" t="s">
        <v>4</v>
      </c>
      <c r="C39" s="133">
        <v>1164</v>
      </c>
      <c r="D39" s="134">
        <v>5844</v>
      </c>
      <c r="E39" s="134">
        <v>7008</v>
      </c>
      <c r="F39" s="116">
        <f t="shared" si="0"/>
        <v>0.1660958904109589</v>
      </c>
      <c r="G39" s="117">
        <f t="shared" si="1"/>
        <v>0.83390410958904104</v>
      </c>
    </row>
    <row r="42" spans="2:7" ht="15" customHeight="1">
      <c r="B42" s="358" t="s">
        <v>70</v>
      </c>
      <c r="C42" s="349"/>
      <c r="D42" s="349"/>
      <c r="E42" s="349"/>
      <c r="F42" s="349"/>
      <c r="G42" s="349"/>
    </row>
    <row r="43" spans="2:7" ht="15.75" thickBot="1">
      <c r="B43" s="135"/>
      <c r="C43" s="136"/>
      <c r="D43" s="136"/>
      <c r="E43" s="136"/>
      <c r="F43" s="119"/>
      <c r="G43" s="119"/>
    </row>
    <row r="44" spans="2:7">
      <c r="B44" s="137"/>
      <c r="C44" s="138" t="s">
        <v>4</v>
      </c>
      <c r="D44" s="139"/>
      <c r="E44" s="139"/>
      <c r="F44" s="347" t="s">
        <v>58</v>
      </c>
      <c r="G44" s="347"/>
    </row>
    <row r="45" spans="2:7">
      <c r="B45" s="140" t="s">
        <v>59</v>
      </c>
      <c r="C45" s="141" t="s">
        <v>7</v>
      </c>
      <c r="D45" s="142" t="s">
        <v>8</v>
      </c>
      <c r="E45" s="142" t="s">
        <v>4</v>
      </c>
      <c r="F45" s="102" t="s">
        <v>7</v>
      </c>
      <c r="G45" s="103" t="s">
        <v>8</v>
      </c>
    </row>
    <row r="46" spans="2:7">
      <c r="B46" s="143"/>
      <c r="C46" s="144"/>
      <c r="D46" s="145"/>
      <c r="E46" s="145"/>
      <c r="F46" s="110"/>
      <c r="G46" s="111"/>
    </row>
    <row r="47" spans="2:7">
      <c r="B47" s="146" t="s">
        <v>60</v>
      </c>
      <c r="C47" s="147">
        <v>451</v>
      </c>
      <c r="D47" s="148">
        <v>1120</v>
      </c>
      <c r="E47" s="148">
        <v>1571</v>
      </c>
      <c r="F47" s="110">
        <f t="shared" si="0"/>
        <v>0.28707829408020369</v>
      </c>
      <c r="G47" s="111">
        <f t="shared" si="1"/>
        <v>0.71292170591979631</v>
      </c>
    </row>
    <row r="48" spans="2:7">
      <c r="B48" s="146" t="s">
        <v>61</v>
      </c>
      <c r="C48" s="147">
        <v>2195</v>
      </c>
      <c r="D48" s="148">
        <v>4612</v>
      </c>
      <c r="E48" s="148">
        <v>6807</v>
      </c>
      <c r="F48" s="110">
        <f t="shared" si="0"/>
        <v>0.32246217129425592</v>
      </c>
      <c r="G48" s="111">
        <f t="shared" si="1"/>
        <v>0.67753782870574408</v>
      </c>
    </row>
    <row r="49" spans="2:7">
      <c r="B49" s="146" t="s">
        <v>62</v>
      </c>
      <c r="C49" s="147">
        <v>3190</v>
      </c>
      <c r="D49" s="148">
        <v>6074</v>
      </c>
      <c r="E49" s="148">
        <v>9264</v>
      </c>
      <c r="F49" s="110">
        <f t="shared" si="0"/>
        <v>0.34434369602763387</v>
      </c>
      <c r="G49" s="111">
        <f t="shared" si="1"/>
        <v>0.65565630397236618</v>
      </c>
    </row>
    <row r="50" spans="2:7">
      <c r="B50" s="146" t="s">
        <v>63</v>
      </c>
      <c r="C50" s="147">
        <v>3061</v>
      </c>
      <c r="D50" s="148">
        <v>5262</v>
      </c>
      <c r="E50" s="148">
        <v>8323</v>
      </c>
      <c r="F50" s="110">
        <f t="shared" si="0"/>
        <v>0.36777604229244265</v>
      </c>
      <c r="G50" s="111">
        <f t="shared" si="1"/>
        <v>0.63222395770755735</v>
      </c>
    </row>
    <row r="51" spans="2:7">
      <c r="B51" s="146" t="s">
        <v>64</v>
      </c>
      <c r="C51" s="147">
        <v>2703</v>
      </c>
      <c r="D51" s="148">
        <v>4868</v>
      </c>
      <c r="E51" s="148">
        <v>7571</v>
      </c>
      <c r="F51" s="110">
        <f t="shared" si="0"/>
        <v>0.35702020869105799</v>
      </c>
      <c r="G51" s="111">
        <f t="shared" si="1"/>
        <v>0.64297979130894201</v>
      </c>
    </row>
    <row r="52" spans="2:7">
      <c r="B52" s="146" t="s">
        <v>65</v>
      </c>
      <c r="C52" s="147">
        <v>2728</v>
      </c>
      <c r="D52" s="148">
        <v>4225</v>
      </c>
      <c r="E52" s="148">
        <v>6953</v>
      </c>
      <c r="F52" s="110">
        <f t="shared" si="0"/>
        <v>0.39234862649216168</v>
      </c>
      <c r="G52" s="111">
        <f t="shared" si="1"/>
        <v>0.60765137350783838</v>
      </c>
    </row>
    <row r="53" spans="2:7">
      <c r="B53" s="146" t="s">
        <v>66</v>
      </c>
      <c r="C53" s="147">
        <v>3156</v>
      </c>
      <c r="D53" s="148">
        <v>4646</v>
      </c>
      <c r="E53" s="148">
        <v>7802</v>
      </c>
      <c r="F53" s="110">
        <f t="shared" si="0"/>
        <v>0.40451166367598052</v>
      </c>
      <c r="G53" s="111">
        <f t="shared" si="1"/>
        <v>0.59548833632401943</v>
      </c>
    </row>
    <row r="54" spans="2:7">
      <c r="B54" s="146" t="s">
        <v>67</v>
      </c>
      <c r="C54" s="147">
        <v>3998</v>
      </c>
      <c r="D54" s="148">
        <v>5051</v>
      </c>
      <c r="E54" s="148">
        <v>9049</v>
      </c>
      <c r="F54" s="110">
        <f t="shared" si="0"/>
        <v>0.44181677533429109</v>
      </c>
      <c r="G54" s="111">
        <f t="shared" si="1"/>
        <v>0.55818322466570891</v>
      </c>
    </row>
    <row r="55" spans="2:7">
      <c r="B55" s="146" t="s">
        <v>68</v>
      </c>
      <c r="C55" s="147">
        <v>1612</v>
      </c>
      <c r="D55" s="148">
        <v>1469</v>
      </c>
      <c r="E55" s="149">
        <v>3081</v>
      </c>
      <c r="F55" s="110">
        <f t="shared" si="0"/>
        <v>0.52320675105485237</v>
      </c>
      <c r="G55" s="111">
        <f t="shared" si="1"/>
        <v>0.47679324894514769</v>
      </c>
    </row>
    <row r="56" spans="2:7">
      <c r="B56" s="150" t="s">
        <v>4</v>
      </c>
      <c r="C56" s="151">
        <v>23094</v>
      </c>
      <c r="D56" s="152">
        <v>37327</v>
      </c>
      <c r="E56" s="152">
        <v>60421</v>
      </c>
      <c r="F56" s="116">
        <f t="shared" si="0"/>
        <v>0.38221810297744163</v>
      </c>
      <c r="G56" s="117">
        <f t="shared" si="1"/>
        <v>0.61778189702255837</v>
      </c>
    </row>
    <row r="58" spans="2:7">
      <c r="B58" s="153"/>
      <c r="C58" s="154"/>
      <c r="D58" s="154"/>
      <c r="E58" s="154"/>
      <c r="F58" s="111"/>
      <c r="G58" s="111"/>
    </row>
    <row r="61" spans="2:7">
      <c r="B61" s="155"/>
      <c r="C61" s="156"/>
      <c r="D61" s="156"/>
      <c r="E61" s="156"/>
      <c r="F61" s="156"/>
      <c r="G61" s="156"/>
    </row>
    <row r="62" spans="2:7" ht="15" customHeight="1">
      <c r="B62" s="359" t="s">
        <v>71</v>
      </c>
      <c r="C62" s="349"/>
      <c r="D62" s="349"/>
      <c r="E62" s="349"/>
      <c r="F62" s="349"/>
      <c r="G62" s="349"/>
    </row>
    <row r="63" spans="2:7" ht="15.75" thickBot="1">
      <c r="B63" s="157"/>
      <c r="C63" s="158"/>
      <c r="D63" s="158"/>
      <c r="E63" s="158"/>
      <c r="F63" s="119"/>
      <c r="G63" s="119"/>
    </row>
    <row r="64" spans="2:7">
      <c r="B64" s="159"/>
      <c r="C64" s="160" t="s">
        <v>4</v>
      </c>
      <c r="D64" s="161"/>
      <c r="E64" s="161"/>
      <c r="F64" s="347" t="s">
        <v>58</v>
      </c>
      <c r="G64" s="347"/>
    </row>
    <row r="65" spans="2:7">
      <c r="B65" s="162" t="s">
        <v>59</v>
      </c>
      <c r="C65" s="163" t="s">
        <v>7</v>
      </c>
      <c r="D65" s="164" t="s">
        <v>8</v>
      </c>
      <c r="E65" s="164" t="s">
        <v>4</v>
      </c>
      <c r="F65" s="102" t="s">
        <v>7</v>
      </c>
      <c r="G65" s="103" t="s">
        <v>8</v>
      </c>
    </row>
    <row r="66" spans="2:7">
      <c r="B66" s="165"/>
      <c r="C66" s="166"/>
      <c r="D66" s="167"/>
      <c r="E66" s="167"/>
      <c r="F66" s="110"/>
      <c r="G66" s="111"/>
    </row>
    <row r="67" spans="2:7">
      <c r="B67" s="168" t="s">
        <v>60</v>
      </c>
      <c r="C67" s="169">
        <v>50</v>
      </c>
      <c r="D67" s="170">
        <v>210</v>
      </c>
      <c r="E67" s="170">
        <v>260</v>
      </c>
      <c r="F67" s="110">
        <f t="shared" si="0"/>
        <v>0.19230769230769232</v>
      </c>
      <c r="G67" s="111">
        <f t="shared" si="1"/>
        <v>0.80769230769230771</v>
      </c>
    </row>
    <row r="68" spans="2:7">
      <c r="B68" s="168" t="s">
        <v>61</v>
      </c>
      <c r="C68" s="169">
        <v>268</v>
      </c>
      <c r="D68" s="170">
        <v>831</v>
      </c>
      <c r="E68" s="170">
        <v>1099</v>
      </c>
      <c r="F68" s="110">
        <f t="shared" si="0"/>
        <v>0.24385805277525022</v>
      </c>
      <c r="G68" s="111">
        <f t="shared" si="1"/>
        <v>0.75614194722474981</v>
      </c>
    </row>
    <row r="69" spans="2:7">
      <c r="B69" s="168" t="s">
        <v>62</v>
      </c>
      <c r="C69" s="169">
        <v>371</v>
      </c>
      <c r="D69" s="170">
        <v>898</v>
      </c>
      <c r="E69" s="170">
        <v>1269</v>
      </c>
      <c r="F69" s="110">
        <f t="shared" si="0"/>
        <v>0.29235618597320723</v>
      </c>
      <c r="G69" s="111">
        <f t="shared" si="1"/>
        <v>0.70764381402679277</v>
      </c>
    </row>
    <row r="70" spans="2:7">
      <c r="B70" s="168" t="s">
        <v>63</v>
      </c>
      <c r="C70" s="169">
        <v>328</v>
      </c>
      <c r="D70" s="170">
        <v>634</v>
      </c>
      <c r="E70" s="170">
        <v>962</v>
      </c>
      <c r="F70" s="110">
        <f t="shared" si="0"/>
        <v>0.34095634095634098</v>
      </c>
      <c r="G70" s="111">
        <f t="shared" si="1"/>
        <v>0.65904365904365902</v>
      </c>
    </row>
    <row r="71" spans="2:7">
      <c r="B71" s="168" t="s">
        <v>64</v>
      </c>
      <c r="C71" s="169">
        <v>372</v>
      </c>
      <c r="D71" s="170">
        <v>522</v>
      </c>
      <c r="E71" s="170">
        <v>894</v>
      </c>
      <c r="F71" s="110">
        <f t="shared" si="0"/>
        <v>0.41610738255033558</v>
      </c>
      <c r="G71" s="111">
        <f t="shared" si="1"/>
        <v>0.58389261744966447</v>
      </c>
    </row>
    <row r="72" spans="2:7">
      <c r="B72" s="168" t="s">
        <v>65</v>
      </c>
      <c r="C72" s="169">
        <v>315</v>
      </c>
      <c r="D72" s="170">
        <v>456</v>
      </c>
      <c r="E72" s="170">
        <v>771</v>
      </c>
      <c r="F72" s="110">
        <f t="shared" si="0"/>
        <v>0.40856031128404668</v>
      </c>
      <c r="G72" s="111">
        <f t="shared" si="1"/>
        <v>0.59143968871595332</v>
      </c>
    </row>
    <row r="73" spans="2:7">
      <c r="B73" s="168" t="s">
        <v>66</v>
      </c>
      <c r="C73" s="169">
        <v>320</v>
      </c>
      <c r="D73" s="170">
        <v>506</v>
      </c>
      <c r="E73" s="170">
        <v>826</v>
      </c>
      <c r="F73" s="110">
        <f t="shared" si="0"/>
        <v>0.38740920096852299</v>
      </c>
      <c r="G73" s="111">
        <f t="shared" si="1"/>
        <v>0.61259079903147695</v>
      </c>
    </row>
    <row r="74" spans="2:7">
      <c r="B74" s="168" t="s">
        <v>67</v>
      </c>
      <c r="C74" s="169">
        <v>387</v>
      </c>
      <c r="D74" s="170">
        <v>568</v>
      </c>
      <c r="E74" s="170">
        <v>955</v>
      </c>
      <c r="F74" s="110">
        <f t="shared" si="0"/>
        <v>0.40523560209424087</v>
      </c>
      <c r="G74" s="111">
        <f t="shared" si="1"/>
        <v>0.59476439790575919</v>
      </c>
    </row>
    <row r="75" spans="2:7">
      <c r="B75" s="168" t="s">
        <v>68</v>
      </c>
      <c r="C75" s="169">
        <v>160</v>
      </c>
      <c r="D75" s="170">
        <v>138</v>
      </c>
      <c r="E75" s="171">
        <v>298</v>
      </c>
      <c r="F75" s="110">
        <f t="shared" si="0"/>
        <v>0.53691275167785235</v>
      </c>
      <c r="G75" s="111">
        <f t="shared" si="1"/>
        <v>0.46308724832214765</v>
      </c>
    </row>
    <row r="76" spans="2:7">
      <c r="B76" s="172" t="s">
        <v>4</v>
      </c>
      <c r="C76" s="173">
        <v>2571</v>
      </c>
      <c r="D76" s="174">
        <v>4763</v>
      </c>
      <c r="E76" s="174">
        <v>7334</v>
      </c>
      <c r="F76" s="116">
        <f t="shared" si="0"/>
        <v>0.35055904008726479</v>
      </c>
      <c r="G76" s="117">
        <f t="shared" si="1"/>
        <v>0.64944095991273521</v>
      </c>
    </row>
    <row r="79" spans="2:7" ht="15" customHeight="1">
      <c r="B79" s="352" t="s">
        <v>15</v>
      </c>
      <c r="C79" s="349"/>
      <c r="D79" s="349"/>
      <c r="E79" s="349"/>
      <c r="F79" s="349"/>
      <c r="G79" s="349"/>
    </row>
    <row r="80" spans="2:7" ht="15.75" thickBot="1">
      <c r="B80" s="135"/>
      <c r="C80" s="136"/>
      <c r="D80" s="136"/>
      <c r="E80" s="136"/>
      <c r="F80" s="119"/>
      <c r="G80" s="119"/>
    </row>
    <row r="81" spans="2:7">
      <c r="B81" s="137"/>
      <c r="C81" s="138" t="s">
        <v>4</v>
      </c>
      <c r="D81" s="139"/>
      <c r="E81" s="139"/>
      <c r="F81" s="347" t="s">
        <v>58</v>
      </c>
      <c r="G81" s="347"/>
    </row>
    <row r="82" spans="2:7">
      <c r="B82" s="140" t="s">
        <v>59</v>
      </c>
      <c r="C82" s="141" t="s">
        <v>7</v>
      </c>
      <c r="D82" s="142" t="s">
        <v>8</v>
      </c>
      <c r="E82" s="142" t="s">
        <v>4</v>
      </c>
      <c r="F82" s="102" t="s">
        <v>7</v>
      </c>
      <c r="G82" s="103" t="s">
        <v>8</v>
      </c>
    </row>
    <row r="83" spans="2:7">
      <c r="B83" s="143"/>
      <c r="C83" s="144"/>
      <c r="D83" s="145"/>
      <c r="E83" s="145"/>
      <c r="F83" s="110"/>
      <c r="G83" s="111"/>
    </row>
    <row r="84" spans="2:7">
      <c r="B84" s="146" t="s">
        <v>60</v>
      </c>
      <c r="C84" s="147">
        <v>1</v>
      </c>
      <c r="D84" s="175">
        <v>5</v>
      </c>
      <c r="E84" s="175">
        <v>6</v>
      </c>
      <c r="F84" s="110">
        <f t="shared" ref="F84:F144" si="2">C84/E84</f>
        <v>0.16666666666666666</v>
      </c>
      <c r="G84" s="111">
        <f t="shared" ref="G84:G144" si="3">D84/E84</f>
        <v>0.83333333333333337</v>
      </c>
    </row>
    <row r="85" spans="2:7">
      <c r="B85" s="146" t="s">
        <v>61</v>
      </c>
      <c r="C85" s="147">
        <v>13</v>
      </c>
      <c r="D85" s="175">
        <v>57</v>
      </c>
      <c r="E85" s="175">
        <v>70</v>
      </c>
      <c r="F85" s="110">
        <f t="shared" si="2"/>
        <v>0.18571428571428572</v>
      </c>
      <c r="G85" s="111">
        <f t="shared" si="3"/>
        <v>0.81428571428571428</v>
      </c>
    </row>
    <row r="86" spans="2:7">
      <c r="B86" s="146" t="s">
        <v>62</v>
      </c>
      <c r="C86" s="147">
        <v>17</v>
      </c>
      <c r="D86" s="175">
        <v>147</v>
      </c>
      <c r="E86" s="175">
        <v>164</v>
      </c>
      <c r="F86" s="110">
        <f t="shared" si="2"/>
        <v>0.10365853658536585</v>
      </c>
      <c r="G86" s="111">
        <f t="shared" si="3"/>
        <v>0.89634146341463417</v>
      </c>
    </row>
    <row r="87" spans="2:7">
      <c r="B87" s="146" t="s">
        <v>63</v>
      </c>
      <c r="C87" s="147">
        <v>32</v>
      </c>
      <c r="D87" s="175">
        <v>235</v>
      </c>
      <c r="E87" s="175">
        <v>267</v>
      </c>
      <c r="F87" s="110">
        <f t="shared" si="2"/>
        <v>0.1198501872659176</v>
      </c>
      <c r="G87" s="111">
        <f t="shared" si="3"/>
        <v>0.88014981273408244</v>
      </c>
    </row>
    <row r="88" spans="2:7">
      <c r="B88" s="146" t="s">
        <v>64</v>
      </c>
      <c r="C88" s="147">
        <v>43</v>
      </c>
      <c r="D88" s="175">
        <v>243</v>
      </c>
      <c r="E88" s="175">
        <v>286</v>
      </c>
      <c r="F88" s="110">
        <f t="shared" si="2"/>
        <v>0.15034965034965034</v>
      </c>
      <c r="G88" s="111">
        <f t="shared" si="3"/>
        <v>0.84965034965034969</v>
      </c>
    </row>
    <row r="89" spans="2:7">
      <c r="B89" s="146" t="s">
        <v>65</v>
      </c>
      <c r="C89" s="147">
        <v>34</v>
      </c>
      <c r="D89" s="175">
        <v>199</v>
      </c>
      <c r="E89" s="175">
        <v>233</v>
      </c>
      <c r="F89" s="110">
        <f t="shared" si="2"/>
        <v>0.14592274678111589</v>
      </c>
      <c r="G89" s="111">
        <f t="shared" si="3"/>
        <v>0.85407725321888417</v>
      </c>
    </row>
    <row r="90" spans="2:7">
      <c r="B90" s="146" t="s">
        <v>66</v>
      </c>
      <c r="C90" s="147">
        <v>25</v>
      </c>
      <c r="D90" s="175">
        <v>138</v>
      </c>
      <c r="E90" s="175">
        <v>163</v>
      </c>
      <c r="F90" s="110">
        <f t="shared" si="2"/>
        <v>0.15337423312883436</v>
      </c>
      <c r="G90" s="111">
        <f t="shared" si="3"/>
        <v>0.84662576687116564</v>
      </c>
    </row>
    <row r="91" spans="2:7">
      <c r="B91" s="146" t="s">
        <v>67</v>
      </c>
      <c r="C91" s="147">
        <v>20</v>
      </c>
      <c r="D91" s="175">
        <v>115</v>
      </c>
      <c r="E91" s="175">
        <v>135</v>
      </c>
      <c r="F91" s="110">
        <f t="shared" si="2"/>
        <v>0.14814814814814814</v>
      </c>
      <c r="G91" s="111">
        <f t="shared" si="3"/>
        <v>0.85185185185185186</v>
      </c>
    </row>
    <row r="92" spans="2:7">
      <c r="B92" s="146" t="s">
        <v>68</v>
      </c>
      <c r="C92" s="176">
        <v>12</v>
      </c>
      <c r="D92" s="149">
        <v>38</v>
      </c>
      <c r="E92" s="149">
        <v>50</v>
      </c>
      <c r="F92" s="110">
        <f t="shared" si="2"/>
        <v>0.24</v>
      </c>
      <c r="G92" s="111">
        <f t="shared" si="3"/>
        <v>0.76</v>
      </c>
    </row>
    <row r="93" spans="2:7">
      <c r="B93" s="150" t="s">
        <v>4</v>
      </c>
      <c r="C93" s="151">
        <v>197</v>
      </c>
      <c r="D93" s="152">
        <v>1177</v>
      </c>
      <c r="E93" s="152">
        <v>1374</v>
      </c>
      <c r="F93" s="116">
        <f t="shared" si="2"/>
        <v>0.14337700145560409</v>
      </c>
      <c r="G93" s="117">
        <f t="shared" si="3"/>
        <v>0.85662299854439594</v>
      </c>
    </row>
    <row r="94" spans="2:7">
      <c r="B94" s="150"/>
      <c r="C94" s="177"/>
      <c r="D94" s="177"/>
      <c r="E94" s="177"/>
      <c r="F94" s="111"/>
      <c r="G94" s="111"/>
    </row>
    <row r="95" spans="2:7">
      <c r="B95" s="150"/>
      <c r="C95" s="177"/>
      <c r="D95" s="177"/>
      <c r="E95" s="177"/>
      <c r="F95" s="111"/>
      <c r="G95" s="111"/>
    </row>
    <row r="96" spans="2:7">
      <c r="B96" s="348" t="s">
        <v>72</v>
      </c>
      <c r="C96" s="349"/>
      <c r="D96" s="349"/>
      <c r="E96" s="349"/>
      <c r="F96" s="349"/>
      <c r="G96" s="349"/>
    </row>
    <row r="97" spans="2:13" ht="15.75" thickBot="1">
      <c r="B97" s="178"/>
      <c r="C97" s="179"/>
      <c r="D97" s="179"/>
      <c r="E97" s="179"/>
      <c r="F97" s="119"/>
      <c r="G97" s="119"/>
    </row>
    <row r="98" spans="2:13">
      <c r="B98" s="180"/>
      <c r="C98" s="181" t="s">
        <v>4</v>
      </c>
      <c r="D98" s="182"/>
      <c r="E98" s="182"/>
      <c r="F98" s="347" t="s">
        <v>58</v>
      </c>
      <c r="G98" s="347"/>
    </row>
    <row r="99" spans="2:13">
      <c r="B99" s="183" t="s">
        <v>59</v>
      </c>
      <c r="C99" s="184" t="s">
        <v>7</v>
      </c>
      <c r="D99" s="185" t="s">
        <v>8</v>
      </c>
      <c r="E99" s="185" t="s">
        <v>4</v>
      </c>
      <c r="F99" s="102" t="s">
        <v>7</v>
      </c>
      <c r="G99" s="103" t="s">
        <v>8</v>
      </c>
    </row>
    <row r="100" spans="2:13">
      <c r="B100" s="186"/>
      <c r="C100" s="187"/>
      <c r="D100" s="188"/>
      <c r="E100" s="188"/>
      <c r="F100" s="110"/>
      <c r="G100" s="111"/>
    </row>
    <row r="101" spans="2:13">
      <c r="B101" s="189" t="s">
        <v>60</v>
      </c>
      <c r="C101" s="190">
        <v>11</v>
      </c>
      <c r="D101" s="191">
        <v>23</v>
      </c>
      <c r="E101" s="191">
        <v>34</v>
      </c>
      <c r="F101" s="110">
        <f t="shared" si="2"/>
        <v>0.3235294117647059</v>
      </c>
      <c r="G101" s="111">
        <f t="shared" si="3"/>
        <v>0.67647058823529416</v>
      </c>
    </row>
    <row r="102" spans="2:13">
      <c r="B102" s="189" t="s">
        <v>61</v>
      </c>
      <c r="C102" s="190">
        <v>157</v>
      </c>
      <c r="D102" s="191">
        <v>330</v>
      </c>
      <c r="E102" s="191">
        <v>487</v>
      </c>
      <c r="F102" s="110">
        <f t="shared" si="2"/>
        <v>0.32238193018480493</v>
      </c>
      <c r="G102" s="111">
        <f t="shared" si="3"/>
        <v>0.67761806981519512</v>
      </c>
    </row>
    <row r="103" spans="2:13">
      <c r="B103" s="189" t="s">
        <v>62</v>
      </c>
      <c r="C103" s="190">
        <v>371</v>
      </c>
      <c r="D103" s="191">
        <v>606</v>
      </c>
      <c r="E103" s="191">
        <v>977</v>
      </c>
      <c r="F103" s="110">
        <f t="shared" si="2"/>
        <v>0.37973387922210849</v>
      </c>
      <c r="G103" s="111">
        <f t="shared" si="3"/>
        <v>0.62026612077789145</v>
      </c>
    </row>
    <row r="104" spans="2:13">
      <c r="B104" s="189" t="s">
        <v>63</v>
      </c>
      <c r="C104" s="190">
        <v>571</v>
      </c>
      <c r="D104" s="191">
        <v>833</v>
      </c>
      <c r="E104" s="191">
        <v>1404</v>
      </c>
      <c r="F104" s="110">
        <f t="shared" si="2"/>
        <v>0.40669515669515671</v>
      </c>
      <c r="G104" s="111">
        <f t="shared" si="3"/>
        <v>0.59330484330484334</v>
      </c>
    </row>
    <row r="105" spans="2:13">
      <c r="B105" s="189" t="s">
        <v>64</v>
      </c>
      <c r="C105" s="190">
        <v>493</v>
      </c>
      <c r="D105" s="191">
        <v>737</v>
      </c>
      <c r="E105" s="191">
        <v>1230</v>
      </c>
      <c r="F105" s="110">
        <f t="shared" si="2"/>
        <v>0.40081300813008131</v>
      </c>
      <c r="G105" s="111">
        <f t="shared" si="3"/>
        <v>0.59918699186991875</v>
      </c>
    </row>
    <row r="106" spans="2:13">
      <c r="B106" s="189" t="s">
        <v>65</v>
      </c>
      <c r="C106" s="190">
        <v>555</v>
      </c>
      <c r="D106" s="191">
        <v>675</v>
      </c>
      <c r="E106" s="191">
        <v>1230</v>
      </c>
      <c r="F106" s="110">
        <f t="shared" si="2"/>
        <v>0.45121951219512196</v>
      </c>
      <c r="G106" s="111">
        <f t="shared" si="3"/>
        <v>0.54878048780487809</v>
      </c>
    </row>
    <row r="107" spans="2:13">
      <c r="B107" s="189" t="s">
        <v>66</v>
      </c>
      <c r="C107" s="190">
        <v>648</v>
      </c>
      <c r="D107" s="191">
        <v>698</v>
      </c>
      <c r="E107" s="191">
        <v>1346</v>
      </c>
      <c r="F107" s="110">
        <f t="shared" si="2"/>
        <v>0.48142644873699852</v>
      </c>
      <c r="G107" s="111">
        <f t="shared" si="3"/>
        <v>0.51857355126300153</v>
      </c>
    </row>
    <row r="108" spans="2:13">
      <c r="B108" s="189" t="s">
        <v>67</v>
      </c>
      <c r="C108" s="190">
        <v>806</v>
      </c>
      <c r="D108" s="191">
        <v>650</v>
      </c>
      <c r="E108" s="191">
        <v>1456</v>
      </c>
      <c r="F108" s="110">
        <f t="shared" si="2"/>
        <v>0.5535714285714286</v>
      </c>
      <c r="G108" s="111">
        <f t="shared" si="3"/>
        <v>0.44642857142857145</v>
      </c>
    </row>
    <row r="109" spans="2:13">
      <c r="B109" s="189" t="s">
        <v>68</v>
      </c>
      <c r="C109" s="190">
        <v>417</v>
      </c>
      <c r="D109" s="191">
        <v>204</v>
      </c>
      <c r="E109" s="192">
        <v>621</v>
      </c>
      <c r="F109" s="110">
        <f t="shared" si="2"/>
        <v>0.67149758454106279</v>
      </c>
      <c r="G109" s="111">
        <f t="shared" si="3"/>
        <v>0.32850241545893721</v>
      </c>
    </row>
    <row r="110" spans="2:13">
      <c r="B110" s="193" t="s">
        <v>4</v>
      </c>
      <c r="C110" s="194">
        <v>4029</v>
      </c>
      <c r="D110" s="195">
        <v>4756</v>
      </c>
      <c r="E110" s="195">
        <v>8785</v>
      </c>
      <c r="F110" s="116">
        <f t="shared" si="2"/>
        <v>0.45862265224815024</v>
      </c>
      <c r="G110" s="117">
        <f t="shared" si="3"/>
        <v>0.54137734775184976</v>
      </c>
    </row>
    <row r="111" spans="2:13">
      <c r="B111" s="193"/>
      <c r="C111" s="196"/>
      <c r="D111" s="196"/>
      <c r="E111" s="196"/>
      <c r="F111" s="111"/>
      <c r="G111" s="111"/>
    </row>
    <row r="112" spans="2:13">
      <c r="H112" s="197"/>
      <c r="I112" s="197"/>
      <c r="J112" s="197"/>
      <c r="M112" s="111"/>
    </row>
    <row r="113" spans="2:13">
      <c r="B113" s="350" t="s">
        <v>73</v>
      </c>
      <c r="C113" s="351"/>
      <c r="D113" s="351"/>
      <c r="E113" s="351"/>
      <c r="F113" s="351"/>
      <c r="G113" s="351"/>
      <c r="H113" s="197"/>
      <c r="I113" s="197"/>
      <c r="J113" s="197"/>
      <c r="M113" s="111"/>
    </row>
    <row r="114" spans="2:13" ht="15.75" thickBot="1">
      <c r="B114" s="198"/>
      <c r="C114" s="199"/>
      <c r="D114" s="199"/>
      <c r="E114" s="199"/>
      <c r="F114" s="199"/>
      <c r="G114" s="199"/>
      <c r="H114" s="199"/>
      <c r="I114" s="199"/>
      <c r="J114" s="199"/>
      <c r="M114" s="111"/>
    </row>
    <row r="115" spans="2:13">
      <c r="B115" s="200"/>
      <c r="C115" s="201" t="s">
        <v>4</v>
      </c>
      <c r="D115" s="202"/>
      <c r="E115" s="202"/>
      <c r="F115" s="347" t="s">
        <v>58</v>
      </c>
      <c r="G115" s="347"/>
    </row>
    <row r="116" spans="2:13">
      <c r="B116" s="203" t="s">
        <v>59</v>
      </c>
      <c r="C116" s="204" t="s">
        <v>7</v>
      </c>
      <c r="D116" s="205" t="s">
        <v>8</v>
      </c>
      <c r="E116" s="205" t="s">
        <v>4</v>
      </c>
      <c r="F116" s="102" t="s">
        <v>7</v>
      </c>
      <c r="G116" s="103" t="s">
        <v>8</v>
      </c>
    </row>
    <row r="117" spans="2:13">
      <c r="B117" s="206"/>
      <c r="C117" s="207"/>
      <c r="D117" s="208"/>
      <c r="E117" s="209"/>
      <c r="F117" s="110"/>
      <c r="G117" s="111"/>
    </row>
    <row r="118" spans="2:13">
      <c r="B118" s="198" t="s">
        <v>60</v>
      </c>
      <c r="C118" s="210">
        <v>0</v>
      </c>
      <c r="D118" s="211">
        <v>2</v>
      </c>
      <c r="E118" s="199">
        <v>2</v>
      </c>
      <c r="F118" s="110">
        <f t="shared" si="2"/>
        <v>0</v>
      </c>
      <c r="G118" s="111">
        <f t="shared" si="3"/>
        <v>1</v>
      </c>
    </row>
    <row r="119" spans="2:13">
      <c r="B119" s="198" t="s">
        <v>61</v>
      </c>
      <c r="C119" s="210">
        <v>8</v>
      </c>
      <c r="D119" s="211">
        <v>54</v>
      </c>
      <c r="E119" s="199">
        <v>62</v>
      </c>
      <c r="F119" s="110">
        <f t="shared" si="2"/>
        <v>0.12903225806451613</v>
      </c>
      <c r="G119" s="111">
        <f t="shared" si="3"/>
        <v>0.87096774193548387</v>
      </c>
    </row>
    <row r="120" spans="2:13">
      <c r="B120" s="198" t="s">
        <v>62</v>
      </c>
      <c r="C120" s="210">
        <v>16</v>
      </c>
      <c r="D120" s="211">
        <v>137</v>
      </c>
      <c r="E120" s="199">
        <v>153</v>
      </c>
      <c r="F120" s="110">
        <f t="shared" si="2"/>
        <v>0.10457516339869281</v>
      </c>
      <c r="G120" s="111">
        <f t="shared" si="3"/>
        <v>0.89542483660130723</v>
      </c>
    </row>
    <row r="121" spans="2:13">
      <c r="B121" s="198" t="s">
        <v>63</v>
      </c>
      <c r="C121" s="210">
        <v>23</v>
      </c>
      <c r="D121" s="211">
        <v>156</v>
      </c>
      <c r="E121" s="199">
        <v>179</v>
      </c>
      <c r="F121" s="110">
        <f t="shared" si="2"/>
        <v>0.12849162011173185</v>
      </c>
      <c r="G121" s="111">
        <f t="shared" si="3"/>
        <v>0.87150837988826813</v>
      </c>
    </row>
    <row r="122" spans="2:13">
      <c r="B122" s="198" t="s">
        <v>64</v>
      </c>
      <c r="C122" s="210">
        <v>23</v>
      </c>
      <c r="D122" s="211">
        <v>111</v>
      </c>
      <c r="E122" s="199">
        <v>134</v>
      </c>
      <c r="F122" s="110">
        <f t="shared" si="2"/>
        <v>0.17164179104477612</v>
      </c>
      <c r="G122" s="111">
        <f t="shared" si="3"/>
        <v>0.82835820895522383</v>
      </c>
    </row>
    <row r="123" spans="2:13">
      <c r="B123" s="198" t="s">
        <v>65</v>
      </c>
      <c r="C123" s="210">
        <v>15</v>
      </c>
      <c r="D123" s="211">
        <v>68</v>
      </c>
      <c r="E123" s="199">
        <v>83</v>
      </c>
      <c r="F123" s="110">
        <f t="shared" si="2"/>
        <v>0.18072289156626506</v>
      </c>
      <c r="G123" s="111">
        <f t="shared" si="3"/>
        <v>0.81927710843373491</v>
      </c>
    </row>
    <row r="124" spans="2:13">
      <c r="B124" s="198" t="s">
        <v>66</v>
      </c>
      <c r="C124" s="210">
        <v>21</v>
      </c>
      <c r="D124" s="211">
        <v>111</v>
      </c>
      <c r="E124" s="199">
        <v>132</v>
      </c>
      <c r="F124" s="110">
        <f t="shared" si="2"/>
        <v>0.15909090909090909</v>
      </c>
      <c r="G124" s="111">
        <f t="shared" si="3"/>
        <v>0.84090909090909094</v>
      </c>
    </row>
    <row r="125" spans="2:13">
      <c r="B125" s="198" t="s">
        <v>67</v>
      </c>
      <c r="C125" s="210">
        <v>20</v>
      </c>
      <c r="D125" s="211">
        <v>70</v>
      </c>
      <c r="E125" s="199">
        <v>90</v>
      </c>
      <c r="F125" s="110">
        <f t="shared" si="2"/>
        <v>0.22222222222222221</v>
      </c>
      <c r="G125" s="111">
        <f t="shared" si="3"/>
        <v>0.77777777777777779</v>
      </c>
    </row>
    <row r="126" spans="2:13">
      <c r="B126" s="198" t="s">
        <v>68</v>
      </c>
      <c r="C126" s="212">
        <v>7</v>
      </c>
      <c r="D126" s="213">
        <v>23</v>
      </c>
      <c r="E126" s="199">
        <v>30</v>
      </c>
      <c r="F126" s="110">
        <f t="shared" si="2"/>
        <v>0.23333333333333334</v>
      </c>
      <c r="G126" s="111">
        <f t="shared" si="3"/>
        <v>0.76666666666666672</v>
      </c>
    </row>
    <row r="127" spans="2:13">
      <c r="B127" s="214" t="s">
        <v>4</v>
      </c>
      <c r="C127" s="215">
        <v>133</v>
      </c>
      <c r="D127" s="216">
        <v>732</v>
      </c>
      <c r="E127" s="216">
        <v>865</v>
      </c>
      <c r="F127" s="116">
        <f t="shared" si="2"/>
        <v>0.15375722543352602</v>
      </c>
      <c r="G127" s="117">
        <f t="shared" si="3"/>
        <v>0.84624277456647401</v>
      </c>
    </row>
    <row r="129" spans="2:7">
      <c r="B129" s="217"/>
      <c r="C129" s="218"/>
      <c r="D129" s="218"/>
      <c r="E129" s="218"/>
      <c r="F129" s="111"/>
      <c r="G129" s="111"/>
    </row>
    <row r="130" spans="2:7" ht="15" customHeight="1">
      <c r="B130" s="352" t="s">
        <v>74</v>
      </c>
      <c r="C130" s="349"/>
      <c r="D130" s="349"/>
      <c r="E130" s="349"/>
      <c r="F130" s="349"/>
      <c r="G130" s="349"/>
    </row>
    <row r="131" spans="2:7" ht="15.75" thickBot="1">
      <c r="B131" s="219"/>
      <c r="C131" s="220"/>
      <c r="D131" s="220"/>
      <c r="E131" s="220"/>
      <c r="F131" s="119"/>
      <c r="G131" s="119"/>
    </row>
    <row r="132" spans="2:7">
      <c r="B132" s="221"/>
      <c r="C132" s="222" t="s">
        <v>4</v>
      </c>
      <c r="D132" s="223"/>
      <c r="E132" s="223"/>
      <c r="F132" s="347" t="s">
        <v>58</v>
      </c>
      <c r="G132" s="347"/>
    </row>
    <row r="133" spans="2:7">
      <c r="B133" s="224" t="s">
        <v>59</v>
      </c>
      <c r="C133" s="225" t="s">
        <v>7</v>
      </c>
      <c r="D133" s="226" t="s">
        <v>8</v>
      </c>
      <c r="E133" s="226" t="s">
        <v>4</v>
      </c>
      <c r="F133" s="102" t="s">
        <v>7</v>
      </c>
      <c r="G133" s="103" t="s">
        <v>8</v>
      </c>
    </row>
    <row r="134" spans="2:7">
      <c r="B134" s="227"/>
      <c r="C134" s="228"/>
      <c r="D134" s="229"/>
      <c r="E134" s="229"/>
      <c r="F134" s="110"/>
      <c r="G134" s="111"/>
    </row>
    <row r="135" spans="2:7">
      <c r="B135" s="230" t="s">
        <v>60</v>
      </c>
      <c r="C135" s="231">
        <v>21</v>
      </c>
      <c r="D135" s="232">
        <v>45</v>
      </c>
      <c r="E135" s="232">
        <v>66</v>
      </c>
      <c r="F135" s="110">
        <f t="shared" si="2"/>
        <v>0.31818181818181818</v>
      </c>
      <c r="G135" s="111">
        <f t="shared" si="3"/>
        <v>0.68181818181818177</v>
      </c>
    </row>
    <row r="136" spans="2:7">
      <c r="B136" s="230" t="s">
        <v>61</v>
      </c>
      <c r="C136" s="231">
        <v>84</v>
      </c>
      <c r="D136" s="232">
        <v>260</v>
      </c>
      <c r="E136" s="232">
        <v>344</v>
      </c>
      <c r="F136" s="110">
        <f t="shared" si="2"/>
        <v>0.2441860465116279</v>
      </c>
      <c r="G136" s="111">
        <f t="shared" si="3"/>
        <v>0.7558139534883721</v>
      </c>
    </row>
    <row r="137" spans="2:7">
      <c r="B137" s="230" t="s">
        <v>62</v>
      </c>
      <c r="C137" s="231">
        <v>190</v>
      </c>
      <c r="D137" s="232">
        <v>411</v>
      </c>
      <c r="E137" s="232">
        <v>601</v>
      </c>
      <c r="F137" s="110">
        <f t="shared" si="2"/>
        <v>0.31613976705490848</v>
      </c>
      <c r="G137" s="111">
        <f t="shared" si="3"/>
        <v>0.68386023294509146</v>
      </c>
    </row>
    <row r="138" spans="2:7">
      <c r="B138" s="230" t="s">
        <v>63</v>
      </c>
      <c r="C138" s="231">
        <v>276</v>
      </c>
      <c r="D138" s="232">
        <v>565</v>
      </c>
      <c r="E138" s="232">
        <v>841</v>
      </c>
      <c r="F138" s="110">
        <f t="shared" si="2"/>
        <v>0.32818073721759811</v>
      </c>
      <c r="G138" s="111">
        <f t="shared" si="3"/>
        <v>0.67181926278240189</v>
      </c>
    </row>
    <row r="139" spans="2:7">
      <c r="B139" s="230" t="s">
        <v>64</v>
      </c>
      <c r="C139" s="231">
        <v>279</v>
      </c>
      <c r="D139" s="232">
        <v>521</v>
      </c>
      <c r="E139" s="232">
        <v>800</v>
      </c>
      <c r="F139" s="110">
        <f t="shared" si="2"/>
        <v>0.34875</v>
      </c>
      <c r="G139" s="111">
        <f t="shared" si="3"/>
        <v>0.65125</v>
      </c>
    </row>
    <row r="140" spans="2:7">
      <c r="B140" s="230" t="s">
        <v>65</v>
      </c>
      <c r="C140" s="231">
        <v>334</v>
      </c>
      <c r="D140" s="232">
        <v>617</v>
      </c>
      <c r="E140" s="232">
        <v>951</v>
      </c>
      <c r="F140" s="110">
        <f t="shared" si="2"/>
        <v>0.35120925341745529</v>
      </c>
      <c r="G140" s="111">
        <f t="shared" si="3"/>
        <v>0.64879074658254465</v>
      </c>
    </row>
    <row r="141" spans="2:7">
      <c r="B141" s="230" t="s">
        <v>66</v>
      </c>
      <c r="C141" s="231">
        <v>348</v>
      </c>
      <c r="D141" s="232">
        <v>734</v>
      </c>
      <c r="E141" s="232">
        <v>1082</v>
      </c>
      <c r="F141" s="110">
        <f t="shared" si="2"/>
        <v>0.32162661737523107</v>
      </c>
      <c r="G141" s="111">
        <f t="shared" si="3"/>
        <v>0.67837338262476898</v>
      </c>
    </row>
    <row r="142" spans="2:7">
      <c r="B142" s="230" t="s">
        <v>67</v>
      </c>
      <c r="C142" s="231">
        <v>296</v>
      </c>
      <c r="D142" s="232">
        <v>519</v>
      </c>
      <c r="E142" s="232">
        <v>815</v>
      </c>
      <c r="F142" s="110">
        <f t="shared" si="2"/>
        <v>0.36319018404907977</v>
      </c>
      <c r="G142" s="111">
        <f t="shared" si="3"/>
        <v>0.63680981595092023</v>
      </c>
    </row>
    <row r="143" spans="2:7">
      <c r="B143" s="230" t="s">
        <v>68</v>
      </c>
      <c r="C143" s="231">
        <v>175</v>
      </c>
      <c r="D143" s="232">
        <v>139</v>
      </c>
      <c r="E143" s="233">
        <v>314</v>
      </c>
      <c r="F143" s="110">
        <f t="shared" si="2"/>
        <v>0.5573248407643312</v>
      </c>
      <c r="G143" s="111">
        <f t="shared" si="3"/>
        <v>0.4426751592356688</v>
      </c>
    </row>
    <row r="144" spans="2:7">
      <c r="B144" s="234" t="s">
        <v>4</v>
      </c>
      <c r="C144" s="235">
        <v>2003</v>
      </c>
      <c r="D144" s="236">
        <v>3811</v>
      </c>
      <c r="E144" s="236">
        <v>5814</v>
      </c>
      <c r="F144" s="116">
        <f t="shared" si="2"/>
        <v>0.34451324389404886</v>
      </c>
      <c r="G144" s="117">
        <f t="shared" si="3"/>
        <v>0.6554867561059512</v>
      </c>
    </row>
    <row r="145" spans="2:7" ht="15" customHeight="1"/>
    <row r="146" spans="2:7">
      <c r="B146" s="237"/>
      <c r="C146" s="238"/>
      <c r="D146" s="238"/>
      <c r="E146" s="238"/>
      <c r="F146" s="111"/>
      <c r="G146" s="111"/>
    </row>
    <row r="147" spans="2:7" ht="28.7" customHeight="1">
      <c r="B147" s="353" t="s">
        <v>75</v>
      </c>
      <c r="C147" s="349"/>
      <c r="D147" s="349"/>
      <c r="E147" s="349"/>
      <c r="F147" s="349"/>
      <c r="G147" s="349"/>
    </row>
    <row r="148" spans="2:7" ht="15.75" thickBot="1">
      <c r="B148" s="239"/>
      <c r="C148" s="240"/>
      <c r="D148" s="240"/>
      <c r="E148" s="240"/>
      <c r="F148" s="119"/>
      <c r="G148" s="119"/>
    </row>
    <row r="149" spans="2:7">
      <c r="B149" s="241"/>
      <c r="C149" s="242" t="s">
        <v>4</v>
      </c>
      <c r="D149" s="243"/>
      <c r="E149" s="243"/>
      <c r="F149" s="347" t="s">
        <v>58</v>
      </c>
      <c r="G149" s="347"/>
    </row>
    <row r="150" spans="2:7">
      <c r="B150" s="244" t="s">
        <v>59</v>
      </c>
      <c r="C150" s="245" t="s">
        <v>7</v>
      </c>
      <c r="D150" s="246" t="s">
        <v>8</v>
      </c>
      <c r="E150" s="246" t="s">
        <v>4</v>
      </c>
      <c r="F150" s="102" t="s">
        <v>7</v>
      </c>
      <c r="G150" s="103" t="s">
        <v>8</v>
      </c>
    </row>
    <row r="151" spans="2:7">
      <c r="B151" s="247"/>
      <c r="C151" s="248"/>
      <c r="D151" s="249"/>
      <c r="E151" s="249"/>
      <c r="F151" s="110"/>
      <c r="G151" s="111"/>
    </row>
    <row r="152" spans="2:7">
      <c r="B152" s="250" t="s">
        <v>60</v>
      </c>
      <c r="C152" s="251">
        <v>0</v>
      </c>
      <c r="D152" s="252">
        <v>1</v>
      </c>
      <c r="E152" s="252">
        <v>1</v>
      </c>
      <c r="F152" s="110">
        <f t="shared" ref="F152:F181" si="4">C152/E152</f>
        <v>0</v>
      </c>
      <c r="G152" s="111">
        <f t="shared" ref="G152:G181" si="5">D152/E152</f>
        <v>1</v>
      </c>
    </row>
    <row r="153" spans="2:7">
      <c r="B153" s="250" t="s">
        <v>61</v>
      </c>
      <c r="C153" s="251">
        <v>27</v>
      </c>
      <c r="D153" s="252">
        <v>37</v>
      </c>
      <c r="E153" s="252">
        <v>64</v>
      </c>
      <c r="F153" s="110">
        <f t="shared" si="4"/>
        <v>0.421875</v>
      </c>
      <c r="G153" s="111">
        <f t="shared" si="5"/>
        <v>0.578125</v>
      </c>
    </row>
    <row r="154" spans="2:7">
      <c r="B154" s="250" t="s">
        <v>62</v>
      </c>
      <c r="C154" s="251">
        <v>52</v>
      </c>
      <c r="D154" s="252">
        <v>87</v>
      </c>
      <c r="E154" s="252">
        <v>139</v>
      </c>
      <c r="F154" s="110">
        <f t="shared" si="4"/>
        <v>0.37410071942446044</v>
      </c>
      <c r="G154" s="111">
        <f t="shared" si="5"/>
        <v>0.62589928057553956</v>
      </c>
    </row>
    <row r="155" spans="2:7">
      <c r="B155" s="250" t="s">
        <v>63</v>
      </c>
      <c r="C155" s="251">
        <v>63</v>
      </c>
      <c r="D155" s="252">
        <v>82</v>
      </c>
      <c r="E155" s="252">
        <v>145</v>
      </c>
      <c r="F155" s="110">
        <f t="shared" si="4"/>
        <v>0.43448275862068964</v>
      </c>
      <c r="G155" s="111">
        <f t="shared" si="5"/>
        <v>0.56551724137931036</v>
      </c>
    </row>
    <row r="156" spans="2:7">
      <c r="B156" s="250" t="s">
        <v>64</v>
      </c>
      <c r="C156" s="251">
        <v>80</v>
      </c>
      <c r="D156" s="252">
        <v>79</v>
      </c>
      <c r="E156" s="252">
        <v>159</v>
      </c>
      <c r="F156" s="110">
        <f t="shared" si="4"/>
        <v>0.50314465408805031</v>
      </c>
      <c r="G156" s="111">
        <f t="shared" si="5"/>
        <v>0.49685534591194969</v>
      </c>
    </row>
    <row r="157" spans="2:7">
      <c r="B157" s="250" t="s">
        <v>65</v>
      </c>
      <c r="C157" s="251">
        <v>94</v>
      </c>
      <c r="D157" s="252">
        <v>71</v>
      </c>
      <c r="E157" s="252">
        <v>165</v>
      </c>
      <c r="F157" s="110">
        <f t="shared" si="4"/>
        <v>0.5696969696969697</v>
      </c>
      <c r="G157" s="111">
        <f t="shared" si="5"/>
        <v>0.4303030303030303</v>
      </c>
    </row>
    <row r="158" spans="2:7">
      <c r="B158" s="250" t="s">
        <v>66</v>
      </c>
      <c r="C158" s="251">
        <v>114</v>
      </c>
      <c r="D158" s="252">
        <v>77</v>
      </c>
      <c r="E158" s="252">
        <v>191</v>
      </c>
      <c r="F158" s="110">
        <f t="shared" si="4"/>
        <v>0.59685863874345546</v>
      </c>
      <c r="G158" s="111">
        <f t="shared" si="5"/>
        <v>0.40314136125654448</v>
      </c>
    </row>
    <row r="159" spans="2:7">
      <c r="B159" s="250" t="s">
        <v>67</v>
      </c>
      <c r="C159" s="251">
        <v>134</v>
      </c>
      <c r="D159" s="252">
        <v>99</v>
      </c>
      <c r="E159" s="252">
        <v>233</v>
      </c>
      <c r="F159" s="110">
        <f t="shared" si="4"/>
        <v>0.57510729613733902</v>
      </c>
      <c r="G159" s="111">
        <f t="shared" si="5"/>
        <v>0.42489270386266093</v>
      </c>
    </row>
    <row r="160" spans="2:7">
      <c r="B160" s="250" t="s">
        <v>68</v>
      </c>
      <c r="C160" s="251">
        <v>75</v>
      </c>
      <c r="D160" s="252">
        <v>22</v>
      </c>
      <c r="E160" s="253">
        <v>97</v>
      </c>
      <c r="F160" s="110">
        <f t="shared" si="4"/>
        <v>0.77319587628865982</v>
      </c>
      <c r="G160" s="111">
        <f t="shared" si="5"/>
        <v>0.22680412371134021</v>
      </c>
    </row>
    <row r="161" spans="2:7">
      <c r="B161" s="254" t="s">
        <v>4</v>
      </c>
      <c r="C161" s="255">
        <v>639</v>
      </c>
      <c r="D161" s="256">
        <v>555</v>
      </c>
      <c r="E161" s="256">
        <v>1194</v>
      </c>
      <c r="F161" s="116">
        <f t="shared" si="4"/>
        <v>0.53517587939698497</v>
      </c>
      <c r="G161" s="117">
        <f t="shared" si="5"/>
        <v>0.46482412060301509</v>
      </c>
    </row>
    <row r="163" spans="2:7">
      <c r="B163" s="257"/>
      <c r="C163" s="258"/>
      <c r="D163" s="258"/>
      <c r="E163" s="258"/>
      <c r="F163" s="111"/>
      <c r="G163" s="111"/>
    </row>
    <row r="164" spans="2:7">
      <c r="B164" s="354"/>
      <c r="C164" s="349"/>
      <c r="D164" s="349"/>
      <c r="E164" s="349"/>
      <c r="F164" s="349"/>
      <c r="G164" s="349"/>
    </row>
    <row r="165" spans="2:7">
      <c r="B165" s="259"/>
      <c r="C165" s="156"/>
      <c r="D165" s="156"/>
      <c r="E165" s="156"/>
      <c r="F165" s="156"/>
      <c r="G165" s="156"/>
    </row>
    <row r="166" spans="2:7">
      <c r="B166" s="259"/>
      <c r="C166" s="156"/>
      <c r="D166" s="156"/>
      <c r="E166" s="156"/>
      <c r="F166" s="156"/>
      <c r="G166" s="156"/>
    </row>
    <row r="167" spans="2:7">
      <c r="B167" s="354" t="s">
        <v>76</v>
      </c>
      <c r="C167" s="349"/>
      <c r="D167" s="349"/>
      <c r="E167" s="349"/>
      <c r="F167" s="349"/>
      <c r="G167" s="349"/>
    </row>
    <row r="168" spans="2:7" ht="15.75" thickBot="1">
      <c r="B168" s="260"/>
      <c r="C168" s="261"/>
      <c r="D168" s="261"/>
      <c r="E168" s="261"/>
      <c r="F168" s="119"/>
      <c r="G168" s="119"/>
    </row>
    <row r="169" spans="2:7">
      <c r="B169" s="200"/>
      <c r="C169" s="201" t="s">
        <v>4</v>
      </c>
      <c r="D169" s="202"/>
      <c r="E169" s="202"/>
      <c r="F169" s="347" t="s">
        <v>58</v>
      </c>
      <c r="G169" s="347"/>
    </row>
    <row r="170" spans="2:7">
      <c r="B170" s="203" t="s">
        <v>59</v>
      </c>
      <c r="C170" s="204" t="s">
        <v>7</v>
      </c>
      <c r="D170" s="205" t="s">
        <v>8</v>
      </c>
      <c r="E170" s="205" t="s">
        <v>4</v>
      </c>
      <c r="F170" s="102" t="s">
        <v>7</v>
      </c>
      <c r="G170" s="103" t="s">
        <v>8</v>
      </c>
    </row>
    <row r="171" spans="2:7">
      <c r="B171" s="206"/>
      <c r="C171" s="262"/>
      <c r="D171" s="209"/>
      <c r="E171" s="209"/>
      <c r="F171" s="110"/>
      <c r="G171" s="111"/>
    </row>
    <row r="172" spans="2:7">
      <c r="B172" s="198" t="s">
        <v>60</v>
      </c>
      <c r="C172" s="210">
        <v>59</v>
      </c>
      <c r="D172" s="199">
        <v>76</v>
      </c>
      <c r="E172" s="199">
        <v>135</v>
      </c>
      <c r="F172" s="110">
        <f t="shared" si="4"/>
        <v>0.43703703703703706</v>
      </c>
      <c r="G172" s="111">
        <f t="shared" si="5"/>
        <v>0.562962962962963</v>
      </c>
    </row>
    <row r="173" spans="2:7">
      <c r="B173" s="198" t="s">
        <v>61</v>
      </c>
      <c r="C173" s="210">
        <v>202</v>
      </c>
      <c r="D173" s="199">
        <v>355</v>
      </c>
      <c r="E173" s="199">
        <v>557</v>
      </c>
      <c r="F173" s="110">
        <f t="shared" si="4"/>
        <v>0.36265709156193898</v>
      </c>
      <c r="G173" s="111">
        <f t="shared" si="5"/>
        <v>0.63734290843806107</v>
      </c>
    </row>
    <row r="174" spans="2:7">
      <c r="B174" s="198" t="s">
        <v>62</v>
      </c>
      <c r="C174" s="210">
        <v>273</v>
      </c>
      <c r="D174" s="199">
        <v>410</v>
      </c>
      <c r="E174" s="199">
        <v>683</v>
      </c>
      <c r="F174" s="110">
        <f t="shared" si="4"/>
        <v>0.39970717423133234</v>
      </c>
      <c r="G174" s="111">
        <f t="shared" si="5"/>
        <v>0.6002928257686676</v>
      </c>
    </row>
    <row r="175" spans="2:7">
      <c r="B175" s="198" t="s">
        <v>63</v>
      </c>
      <c r="C175" s="210">
        <v>287</v>
      </c>
      <c r="D175" s="199">
        <v>467</v>
      </c>
      <c r="E175" s="199">
        <v>754</v>
      </c>
      <c r="F175" s="110">
        <f t="shared" si="4"/>
        <v>0.38063660477453581</v>
      </c>
      <c r="G175" s="111">
        <f t="shared" si="5"/>
        <v>0.61936339522546424</v>
      </c>
    </row>
    <row r="176" spans="2:7">
      <c r="B176" s="198" t="s">
        <v>64</v>
      </c>
      <c r="C176" s="210">
        <v>268</v>
      </c>
      <c r="D176" s="199">
        <v>417</v>
      </c>
      <c r="E176" s="199">
        <v>685</v>
      </c>
      <c r="F176" s="110">
        <f t="shared" si="4"/>
        <v>0.39124087591240875</v>
      </c>
      <c r="G176" s="111">
        <f t="shared" si="5"/>
        <v>0.60875912408759125</v>
      </c>
    </row>
    <row r="177" spans="2:11">
      <c r="B177" s="198" t="s">
        <v>65</v>
      </c>
      <c r="C177" s="210">
        <v>343</v>
      </c>
      <c r="D177" s="199">
        <v>466</v>
      </c>
      <c r="E177" s="199">
        <v>809</v>
      </c>
      <c r="F177" s="110">
        <f t="shared" si="4"/>
        <v>0.42398022249690975</v>
      </c>
      <c r="G177" s="111">
        <f t="shared" si="5"/>
        <v>0.57601977750309019</v>
      </c>
    </row>
    <row r="178" spans="2:11">
      <c r="B178" s="198" t="s">
        <v>66</v>
      </c>
      <c r="C178" s="210">
        <v>345</v>
      </c>
      <c r="D178" s="199">
        <v>491</v>
      </c>
      <c r="E178" s="199">
        <v>836</v>
      </c>
      <c r="F178" s="110">
        <f t="shared" si="4"/>
        <v>0.41267942583732059</v>
      </c>
      <c r="G178" s="111">
        <f t="shared" si="5"/>
        <v>0.58732057416267947</v>
      </c>
    </row>
    <row r="179" spans="2:11">
      <c r="B179" s="198" t="s">
        <v>67</v>
      </c>
      <c r="C179" s="210">
        <v>342</v>
      </c>
      <c r="D179" s="199">
        <v>338</v>
      </c>
      <c r="E179" s="199">
        <v>680</v>
      </c>
      <c r="F179" s="110">
        <f t="shared" si="4"/>
        <v>0.50294117647058822</v>
      </c>
      <c r="G179" s="111">
        <f t="shared" si="5"/>
        <v>0.49705882352941178</v>
      </c>
    </row>
    <row r="180" spans="2:11">
      <c r="B180" s="198" t="s">
        <v>68</v>
      </c>
      <c r="C180" s="210">
        <v>158</v>
      </c>
      <c r="D180" s="199">
        <v>131</v>
      </c>
      <c r="E180" s="213">
        <v>289</v>
      </c>
      <c r="F180" s="110">
        <f t="shared" si="4"/>
        <v>0.54671280276816614</v>
      </c>
      <c r="G180" s="111">
        <f t="shared" si="5"/>
        <v>0.45328719723183392</v>
      </c>
    </row>
    <row r="181" spans="2:11">
      <c r="B181" s="214" t="s">
        <v>4</v>
      </c>
      <c r="C181" s="215">
        <v>2277</v>
      </c>
      <c r="D181" s="216">
        <v>3151</v>
      </c>
      <c r="E181" s="216">
        <v>5428</v>
      </c>
      <c r="F181" s="116">
        <f t="shared" si="4"/>
        <v>0.41949152542372881</v>
      </c>
      <c r="G181" s="117">
        <f t="shared" si="5"/>
        <v>0.58050847457627119</v>
      </c>
    </row>
    <row r="182" spans="2:11">
      <c r="K182" s="263"/>
    </row>
  </sheetData>
  <mergeCells count="24">
    <mergeCell ref="B79:G79"/>
    <mergeCell ref="A3:H3"/>
    <mergeCell ref="A4:H4"/>
    <mergeCell ref="B6:G6"/>
    <mergeCell ref="B8:G8"/>
    <mergeCell ref="F10:G10"/>
    <mergeCell ref="B25:G25"/>
    <mergeCell ref="F27:G27"/>
    <mergeCell ref="B42:G42"/>
    <mergeCell ref="F44:G44"/>
    <mergeCell ref="B62:G62"/>
    <mergeCell ref="F64:G64"/>
    <mergeCell ref="F169:G169"/>
    <mergeCell ref="F81:G81"/>
    <mergeCell ref="B96:G96"/>
    <mergeCell ref="F98:G98"/>
    <mergeCell ref="B113:G113"/>
    <mergeCell ref="F115:G115"/>
    <mergeCell ref="B130:G130"/>
    <mergeCell ref="F132:G132"/>
    <mergeCell ref="B147:G147"/>
    <mergeCell ref="F149:G149"/>
    <mergeCell ref="B164:G164"/>
    <mergeCell ref="B167:G167"/>
  </mergeCells>
  <printOptions horizontalCentered="1"/>
  <pageMargins left="0.70866141732283472" right="0.70866141732283472" top="0.35433070866141736" bottom="0.35433070866141736" header="0.31496062992125984" footer="0.31496062992125984"/>
  <pageSetup paperSize="9" scale="91" orientation="portrait" r:id="rId1"/>
  <headerFooter>
    <oddFooter>&amp;R&amp;A</oddFooter>
  </headerFooter>
  <rowBreaks count="2" manualBreakCount="2">
    <brk id="111" max="16383" man="1"/>
    <brk id="163"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76"/>
  <sheetViews>
    <sheetView zoomScaleNormal="100" workbookViewId="0"/>
  </sheetViews>
  <sheetFormatPr defaultColWidth="9.140625" defaultRowHeight="12.75"/>
  <cols>
    <col min="1" max="1" width="9.140625" style="51"/>
    <col min="2" max="2" width="36.42578125" style="51" customWidth="1"/>
    <col min="3" max="5" width="11.140625" style="51" customWidth="1"/>
    <col min="6" max="13" width="10.42578125" style="51" customWidth="1"/>
    <col min="14" max="17" width="9.85546875" style="51" customWidth="1"/>
    <col min="18" max="16384" width="9.140625" style="51"/>
  </cols>
  <sheetData>
    <row r="2" spans="2:23">
      <c r="F2" s="52"/>
      <c r="G2" s="52"/>
      <c r="H2" s="52"/>
      <c r="I2" s="52"/>
      <c r="J2" s="52"/>
      <c r="K2" s="52"/>
      <c r="L2" s="52"/>
      <c r="M2" s="52"/>
      <c r="O2" s="52"/>
      <c r="P2" s="52"/>
      <c r="Q2" s="52"/>
      <c r="R2" s="52"/>
      <c r="S2" s="52"/>
      <c r="T2" s="52"/>
      <c r="U2" s="52"/>
      <c r="V2" s="52"/>
      <c r="W2" s="52"/>
    </row>
    <row r="3" spans="2:23" ht="19.5" customHeight="1">
      <c r="B3" s="367" t="s">
        <v>29</v>
      </c>
      <c r="C3" s="367"/>
      <c r="D3" s="367"/>
      <c r="E3" s="367"/>
      <c r="F3" s="367"/>
      <c r="G3" s="367"/>
      <c r="H3" s="367"/>
      <c r="I3" s="367"/>
      <c r="J3" s="367"/>
      <c r="K3" s="367"/>
      <c r="L3" s="367"/>
      <c r="M3" s="367"/>
      <c r="N3" s="367"/>
      <c r="O3" s="367"/>
      <c r="P3" s="367"/>
      <c r="Q3" s="367"/>
      <c r="R3" s="53"/>
      <c r="S3" s="53"/>
      <c r="T3" s="53"/>
      <c r="U3" s="53"/>
      <c r="V3" s="53"/>
      <c r="W3" s="53"/>
    </row>
    <row r="4" spans="2:23" ht="25.5" customHeight="1">
      <c r="B4" s="368" t="s">
        <v>97</v>
      </c>
      <c r="C4" s="368"/>
      <c r="D4" s="368"/>
      <c r="E4" s="368"/>
      <c r="F4" s="368"/>
      <c r="G4" s="368"/>
      <c r="H4" s="368"/>
      <c r="I4" s="368"/>
      <c r="J4" s="368"/>
      <c r="K4" s="368"/>
      <c r="L4" s="368"/>
      <c r="M4" s="368"/>
      <c r="N4" s="368"/>
      <c r="O4" s="368"/>
      <c r="P4" s="368"/>
      <c r="Q4" s="368"/>
      <c r="R4" s="53"/>
      <c r="S4" s="53"/>
      <c r="T4" s="53"/>
      <c r="U4" s="53"/>
      <c r="V4" s="53"/>
      <c r="W4" s="53"/>
    </row>
    <row r="5" spans="2:23">
      <c r="B5" s="52"/>
      <c r="C5" s="52"/>
      <c r="D5" s="52"/>
      <c r="E5" s="52"/>
      <c r="G5" s="52"/>
      <c r="H5" s="52"/>
      <c r="J5" s="52"/>
      <c r="K5" s="52"/>
      <c r="L5" s="52"/>
      <c r="M5" s="52"/>
      <c r="N5" s="52"/>
      <c r="O5" s="52"/>
      <c r="P5" s="52"/>
      <c r="Q5" s="52"/>
      <c r="R5" s="52"/>
      <c r="S5" s="52"/>
      <c r="T5" s="52"/>
      <c r="U5" s="52"/>
      <c r="V5" s="52"/>
      <c r="W5" s="52"/>
    </row>
    <row r="6" spans="2:23" ht="15" customHeight="1">
      <c r="B6" s="54"/>
      <c r="C6" s="370" t="s">
        <v>116</v>
      </c>
      <c r="D6" s="369"/>
      <c r="E6" s="371"/>
      <c r="F6" s="369" t="s">
        <v>99</v>
      </c>
      <c r="G6" s="369"/>
      <c r="H6" s="369"/>
      <c r="I6" s="370" t="s">
        <v>95</v>
      </c>
      <c r="J6" s="369"/>
      <c r="K6" s="371"/>
      <c r="L6" s="370" t="s">
        <v>30</v>
      </c>
      <c r="M6" s="371"/>
      <c r="N6" s="370" t="s">
        <v>117</v>
      </c>
      <c r="O6" s="371"/>
      <c r="P6" s="369" t="s">
        <v>98</v>
      </c>
      <c r="Q6" s="371"/>
    </row>
    <row r="7" spans="2:23">
      <c r="B7" s="55"/>
      <c r="C7" s="372" t="s">
        <v>31</v>
      </c>
      <c r="D7" s="360"/>
      <c r="E7" s="373"/>
      <c r="F7" s="360" t="s">
        <v>31</v>
      </c>
      <c r="G7" s="360"/>
      <c r="H7" s="360"/>
      <c r="I7" s="361" t="s">
        <v>31</v>
      </c>
      <c r="J7" s="362"/>
      <c r="K7" s="363"/>
      <c r="L7" s="364" t="s">
        <v>32</v>
      </c>
      <c r="M7" s="365"/>
      <c r="N7" s="364" t="s">
        <v>32</v>
      </c>
      <c r="O7" s="365"/>
      <c r="P7" s="366" t="s">
        <v>32</v>
      </c>
      <c r="Q7" s="365"/>
    </row>
    <row r="8" spans="2:23" s="58" customFormat="1">
      <c r="B8" s="56"/>
      <c r="C8" s="314" t="s">
        <v>7</v>
      </c>
      <c r="D8" s="315" t="s">
        <v>8</v>
      </c>
      <c r="E8" s="316" t="s">
        <v>4</v>
      </c>
      <c r="F8" s="302" t="s">
        <v>7</v>
      </c>
      <c r="G8" s="302" t="s">
        <v>8</v>
      </c>
      <c r="H8" s="302" t="s">
        <v>4</v>
      </c>
      <c r="I8" s="314" t="s">
        <v>7</v>
      </c>
      <c r="J8" s="315" t="s">
        <v>8</v>
      </c>
      <c r="K8" s="316" t="s">
        <v>4</v>
      </c>
      <c r="L8" s="312" t="s">
        <v>7</v>
      </c>
      <c r="M8" s="313" t="s">
        <v>8</v>
      </c>
      <c r="N8" s="312" t="s">
        <v>7</v>
      </c>
      <c r="O8" s="313" t="s">
        <v>8</v>
      </c>
      <c r="P8" s="337" t="s">
        <v>7</v>
      </c>
      <c r="Q8" s="57" t="s">
        <v>8</v>
      </c>
    </row>
    <row r="9" spans="2:23">
      <c r="B9" s="59"/>
      <c r="C9" s="62"/>
      <c r="D9" s="60"/>
      <c r="E9" s="334"/>
      <c r="F9" s="60"/>
      <c r="G9" s="61"/>
      <c r="H9" s="61"/>
      <c r="I9" s="62"/>
      <c r="J9" s="60"/>
      <c r="K9" s="334"/>
      <c r="L9" s="63"/>
      <c r="M9" s="64"/>
      <c r="N9" s="63"/>
      <c r="O9" s="64"/>
      <c r="P9" s="338"/>
      <c r="Q9" s="64"/>
    </row>
    <row r="10" spans="2:23" s="69" customFormat="1">
      <c r="B10" s="55" t="s">
        <v>33</v>
      </c>
      <c r="C10" s="66">
        <v>1745</v>
      </c>
      <c r="D10" s="65">
        <v>1349</v>
      </c>
      <c r="E10" s="335">
        <v>3094</v>
      </c>
      <c r="F10" s="65">
        <f>34+1586</f>
        <v>1620</v>
      </c>
      <c r="G10" s="65">
        <f>223+1278</f>
        <v>1501</v>
      </c>
      <c r="H10" s="65">
        <f>SUM(F10:G10)</f>
        <v>3121</v>
      </c>
      <c r="I10" s="66">
        <f>41+1236</f>
        <v>1277</v>
      </c>
      <c r="J10" s="65">
        <f>207+1500</f>
        <v>1707</v>
      </c>
      <c r="K10" s="335">
        <f>SUM(I10:J10)</f>
        <v>2984</v>
      </c>
      <c r="L10" s="67">
        <f>C10/E10</f>
        <v>0.56399482870071105</v>
      </c>
      <c r="M10" s="68">
        <f>D10/E10</f>
        <v>0.43600517129928895</v>
      </c>
      <c r="N10" s="67">
        <f t="shared" ref="N10:N27" si="0">F10/H10</f>
        <v>0.51906440243511698</v>
      </c>
      <c r="O10" s="68">
        <f t="shared" ref="O10:O27" si="1">G10/H10</f>
        <v>0.48093559756488308</v>
      </c>
      <c r="P10" s="81">
        <f>I10/K10</f>
        <v>0.42794906166219837</v>
      </c>
      <c r="Q10" s="68">
        <f>J10/K10</f>
        <v>0.57205093833780163</v>
      </c>
    </row>
    <row r="11" spans="2:23">
      <c r="B11" s="59"/>
      <c r="C11" s="62"/>
      <c r="D11" s="60"/>
      <c r="E11" s="334"/>
      <c r="F11" s="60"/>
      <c r="G11" s="61"/>
      <c r="H11" s="61"/>
      <c r="I11" s="70"/>
      <c r="J11" s="71"/>
      <c r="K11" s="72"/>
      <c r="L11" s="73"/>
      <c r="M11" s="74"/>
      <c r="N11" s="73"/>
      <c r="O11" s="74"/>
      <c r="P11" s="339"/>
      <c r="Q11" s="74"/>
    </row>
    <row r="12" spans="2:23" s="69" customFormat="1">
      <c r="B12" s="55" t="s">
        <v>34</v>
      </c>
      <c r="C12" s="66">
        <v>139</v>
      </c>
      <c r="D12" s="65">
        <v>121</v>
      </c>
      <c r="E12" s="335">
        <v>260</v>
      </c>
      <c r="F12" s="65">
        <v>134</v>
      </c>
      <c r="G12" s="65">
        <v>121</v>
      </c>
      <c r="H12" s="65">
        <f>SUM(F12:G12)</f>
        <v>255</v>
      </c>
      <c r="I12" s="66">
        <v>100</v>
      </c>
      <c r="J12" s="65">
        <v>138</v>
      </c>
      <c r="K12" s="335">
        <f>SUM(I12:J12)</f>
        <v>238</v>
      </c>
      <c r="L12" s="67">
        <f>C12/E12</f>
        <v>0.5346153846153846</v>
      </c>
      <c r="M12" s="68">
        <f>D12/E12</f>
        <v>0.4653846153846154</v>
      </c>
      <c r="N12" s="67">
        <f t="shared" si="0"/>
        <v>0.52549019607843139</v>
      </c>
      <c r="O12" s="68">
        <f t="shared" si="1"/>
        <v>0.47450980392156861</v>
      </c>
      <c r="P12" s="81">
        <f>I12/K12</f>
        <v>0.42016806722689076</v>
      </c>
      <c r="Q12" s="68">
        <f>J12/K12</f>
        <v>0.57983193277310929</v>
      </c>
    </row>
    <row r="13" spans="2:23">
      <c r="B13" s="59"/>
      <c r="C13" s="62"/>
      <c r="D13" s="60"/>
      <c r="E13" s="334"/>
      <c r="F13" s="60"/>
      <c r="G13" s="61"/>
      <c r="H13" s="61"/>
      <c r="I13" s="62"/>
      <c r="J13" s="60"/>
      <c r="K13" s="334"/>
      <c r="L13" s="73"/>
      <c r="M13" s="74"/>
      <c r="N13" s="73"/>
      <c r="O13" s="74"/>
      <c r="P13" s="339"/>
      <c r="Q13" s="74"/>
    </row>
    <row r="14" spans="2:23" s="69" customFormat="1">
      <c r="B14" s="55" t="s">
        <v>35</v>
      </c>
      <c r="C14" s="66">
        <v>1934</v>
      </c>
      <c r="D14" s="65">
        <v>704</v>
      </c>
      <c r="E14" s="335">
        <v>2638</v>
      </c>
      <c r="F14" s="65">
        <v>1910</v>
      </c>
      <c r="G14" s="65">
        <v>780</v>
      </c>
      <c r="H14" s="65">
        <f>SUM(F14:G14)</f>
        <v>2690</v>
      </c>
      <c r="I14" s="66">
        <v>1727</v>
      </c>
      <c r="J14" s="65">
        <v>1011</v>
      </c>
      <c r="K14" s="335">
        <f>SUM(I14:J14)</f>
        <v>2738</v>
      </c>
      <c r="L14" s="67">
        <f>C14/E14</f>
        <v>0.73313115996967404</v>
      </c>
      <c r="M14" s="68">
        <f>D14/E14</f>
        <v>0.26686884003032602</v>
      </c>
      <c r="N14" s="67">
        <f t="shared" si="0"/>
        <v>0.71003717472118955</v>
      </c>
      <c r="O14" s="68">
        <f t="shared" si="1"/>
        <v>0.2899628252788104</v>
      </c>
      <c r="P14" s="81">
        <f>I14/K14</f>
        <v>0.63075237399561723</v>
      </c>
      <c r="Q14" s="68">
        <f>J14/K14</f>
        <v>0.36924762600438277</v>
      </c>
    </row>
    <row r="15" spans="2:23">
      <c r="B15" s="55"/>
      <c r="C15" s="62"/>
      <c r="D15" s="60"/>
      <c r="E15" s="334"/>
      <c r="F15" s="60"/>
      <c r="G15" s="61"/>
      <c r="H15" s="61"/>
      <c r="I15" s="62"/>
      <c r="J15" s="60"/>
      <c r="K15" s="334"/>
      <c r="L15" s="73"/>
      <c r="M15" s="74"/>
      <c r="N15" s="73"/>
      <c r="O15" s="74"/>
      <c r="P15" s="339"/>
      <c r="Q15" s="74"/>
    </row>
    <row r="16" spans="2:23" s="69" customFormat="1">
      <c r="B16" s="55" t="s">
        <v>36</v>
      </c>
      <c r="C16" s="66">
        <v>222</v>
      </c>
      <c r="D16" s="65">
        <v>103</v>
      </c>
      <c r="E16" s="335">
        <v>325</v>
      </c>
      <c r="F16" s="65">
        <v>231</v>
      </c>
      <c r="G16" s="65">
        <v>116</v>
      </c>
      <c r="H16" s="65">
        <f>SUM(F16:G16)</f>
        <v>347</v>
      </c>
      <c r="I16" s="66">
        <v>226</v>
      </c>
      <c r="J16" s="65">
        <v>177</v>
      </c>
      <c r="K16" s="335">
        <f>SUM(I16:J16)</f>
        <v>403</v>
      </c>
      <c r="L16" s="67">
        <f>C16/E16</f>
        <v>0.68307692307692303</v>
      </c>
      <c r="M16" s="68">
        <f>D16/E16</f>
        <v>0.31692307692307692</v>
      </c>
      <c r="N16" s="67">
        <f t="shared" si="0"/>
        <v>0.66570605187319887</v>
      </c>
      <c r="O16" s="68">
        <f t="shared" si="1"/>
        <v>0.33429394812680113</v>
      </c>
      <c r="P16" s="81">
        <f>I16/K16</f>
        <v>0.56079404466501237</v>
      </c>
      <c r="Q16" s="68">
        <f>J16/K16</f>
        <v>0.43920595533498757</v>
      </c>
    </row>
    <row r="17" spans="2:17">
      <c r="B17" s="75"/>
      <c r="C17" s="77"/>
      <c r="D17" s="76"/>
      <c r="E17" s="336"/>
      <c r="F17" s="76"/>
      <c r="G17" s="76"/>
      <c r="H17" s="76"/>
      <c r="I17" s="62"/>
      <c r="J17" s="60"/>
      <c r="K17" s="334"/>
      <c r="L17" s="73"/>
      <c r="M17" s="74"/>
      <c r="N17" s="73"/>
      <c r="O17" s="74"/>
      <c r="P17" s="339"/>
      <c r="Q17" s="74"/>
    </row>
    <row r="18" spans="2:17" s="69" customFormat="1">
      <c r="B18" s="55" t="s">
        <v>37</v>
      </c>
      <c r="C18" s="66"/>
      <c r="D18" s="65"/>
      <c r="E18" s="335"/>
      <c r="F18" s="65"/>
      <c r="G18" s="65"/>
      <c r="H18" s="65"/>
      <c r="I18" s="66"/>
      <c r="J18" s="65">
        <v>5</v>
      </c>
      <c r="K18" s="335">
        <f>SUM(I18:J18)</f>
        <v>5</v>
      </c>
      <c r="L18" s="67"/>
      <c r="M18" s="68"/>
      <c r="N18" s="67"/>
      <c r="O18" s="68"/>
      <c r="P18" s="81">
        <f>I18/K18</f>
        <v>0</v>
      </c>
      <c r="Q18" s="68">
        <f>J18/K18</f>
        <v>1</v>
      </c>
    </row>
    <row r="19" spans="2:17">
      <c r="B19" s="75"/>
      <c r="C19" s="77"/>
      <c r="D19" s="76"/>
      <c r="E19" s="336"/>
      <c r="F19" s="76"/>
      <c r="G19" s="76"/>
      <c r="H19" s="76"/>
      <c r="I19" s="77"/>
      <c r="J19" s="76"/>
      <c r="K19" s="336"/>
      <c r="L19" s="73"/>
      <c r="M19" s="74"/>
      <c r="N19" s="73"/>
      <c r="O19" s="74"/>
      <c r="P19" s="339"/>
      <c r="Q19" s="74"/>
    </row>
    <row r="20" spans="2:17">
      <c r="B20" s="78" t="s">
        <v>38</v>
      </c>
      <c r="C20" s="66"/>
      <c r="D20" s="65"/>
      <c r="E20" s="335"/>
      <c r="F20" s="65"/>
      <c r="G20" s="65"/>
      <c r="H20" s="65"/>
      <c r="I20" s="66">
        <v>14</v>
      </c>
      <c r="J20" s="65">
        <v>39</v>
      </c>
      <c r="K20" s="335">
        <f>SUM(I20:J20)</f>
        <v>53</v>
      </c>
      <c r="L20" s="67"/>
      <c r="M20" s="68"/>
      <c r="N20" s="67"/>
      <c r="O20" s="68"/>
      <c r="P20" s="81">
        <f>I20/K20</f>
        <v>0.26415094339622641</v>
      </c>
      <c r="Q20" s="68">
        <f>J20/K20</f>
        <v>0.73584905660377353</v>
      </c>
    </row>
    <row r="21" spans="2:17">
      <c r="B21" s="55"/>
      <c r="C21" s="70"/>
      <c r="D21" s="71"/>
      <c r="E21" s="72"/>
      <c r="F21" s="71"/>
      <c r="G21" s="71"/>
      <c r="H21" s="71"/>
      <c r="I21" s="70"/>
      <c r="J21" s="71"/>
      <c r="K21" s="72"/>
      <c r="L21" s="79"/>
      <c r="M21" s="80"/>
      <c r="N21" s="79"/>
      <c r="O21" s="80"/>
      <c r="P21" s="86"/>
      <c r="Q21" s="80"/>
    </row>
    <row r="22" spans="2:17" s="69" customFormat="1">
      <c r="B22" s="55" t="s">
        <v>39</v>
      </c>
      <c r="C22" s="66">
        <v>89</v>
      </c>
      <c r="D22" s="65">
        <v>71</v>
      </c>
      <c r="E22" s="335">
        <v>160</v>
      </c>
      <c r="F22" s="65">
        <v>105</v>
      </c>
      <c r="G22" s="65">
        <v>95</v>
      </c>
      <c r="H22" s="65">
        <f>SUM(F22:G22)</f>
        <v>200</v>
      </c>
      <c r="I22" s="66">
        <v>116</v>
      </c>
      <c r="J22" s="65">
        <v>120</v>
      </c>
      <c r="K22" s="335">
        <f>SUM(I22:J22)</f>
        <v>236</v>
      </c>
      <c r="L22" s="67">
        <f>C22/E22</f>
        <v>0.55625000000000002</v>
      </c>
      <c r="M22" s="68">
        <f>D22/E22</f>
        <v>0.44374999999999998</v>
      </c>
      <c r="N22" s="67">
        <f t="shared" si="0"/>
        <v>0.52500000000000002</v>
      </c>
      <c r="O22" s="68">
        <f t="shared" si="1"/>
        <v>0.47499999999999998</v>
      </c>
      <c r="P22" s="81">
        <f>I22/K22</f>
        <v>0.49152542372881358</v>
      </c>
      <c r="Q22" s="68">
        <f>J22/K22</f>
        <v>0.50847457627118642</v>
      </c>
    </row>
    <row r="23" spans="2:17">
      <c r="B23" s="55"/>
      <c r="C23" s="62"/>
      <c r="D23" s="60"/>
      <c r="E23" s="334"/>
      <c r="F23" s="60"/>
      <c r="G23" s="61"/>
      <c r="H23" s="61"/>
      <c r="I23" s="62"/>
      <c r="J23" s="60"/>
      <c r="K23" s="334"/>
      <c r="L23" s="73"/>
      <c r="M23" s="74"/>
      <c r="N23" s="73"/>
      <c r="O23" s="74"/>
      <c r="P23" s="339"/>
      <c r="Q23" s="74"/>
    </row>
    <row r="24" spans="2:17" s="69" customFormat="1">
      <c r="B24" s="55" t="s">
        <v>40</v>
      </c>
      <c r="C24" s="66">
        <v>32</v>
      </c>
      <c r="D24" s="65">
        <v>14</v>
      </c>
      <c r="E24" s="335">
        <v>46</v>
      </c>
      <c r="F24" s="65">
        <v>33</v>
      </c>
      <c r="G24" s="65">
        <v>15</v>
      </c>
      <c r="H24" s="65">
        <f>SUM(F24:G24)</f>
        <v>48</v>
      </c>
      <c r="I24" s="66">
        <v>29</v>
      </c>
      <c r="J24" s="65">
        <v>35</v>
      </c>
      <c r="K24" s="335">
        <f>SUM(I24:J24)</f>
        <v>64</v>
      </c>
      <c r="L24" s="67">
        <f>C24/E24</f>
        <v>0.69565217391304346</v>
      </c>
      <c r="M24" s="68">
        <f>D24/E24</f>
        <v>0.30434782608695654</v>
      </c>
      <c r="N24" s="67">
        <f t="shared" si="0"/>
        <v>0.6875</v>
      </c>
      <c r="O24" s="68">
        <f t="shared" si="1"/>
        <v>0.3125</v>
      </c>
      <c r="P24" s="81">
        <f>I24/K24</f>
        <v>0.453125</v>
      </c>
      <c r="Q24" s="68">
        <f>J24/K24</f>
        <v>0.546875</v>
      </c>
    </row>
    <row r="25" spans="2:17">
      <c r="B25" s="55" t="s">
        <v>41</v>
      </c>
      <c r="C25" s="77"/>
      <c r="D25" s="76"/>
      <c r="E25" s="336"/>
      <c r="F25" s="76"/>
      <c r="G25" s="76"/>
      <c r="H25" s="76"/>
      <c r="I25" s="77"/>
      <c r="J25" s="76"/>
      <c r="K25" s="336"/>
      <c r="L25" s="73"/>
      <c r="M25" s="74"/>
      <c r="N25" s="73"/>
      <c r="O25" s="74"/>
      <c r="P25" s="339"/>
      <c r="Q25" s="74"/>
    </row>
    <row r="26" spans="2:17">
      <c r="B26" s="75"/>
      <c r="C26" s="62"/>
      <c r="D26" s="60"/>
      <c r="E26" s="334"/>
      <c r="F26" s="60"/>
      <c r="G26" s="61"/>
      <c r="H26" s="61"/>
      <c r="I26" s="62"/>
      <c r="J26" s="60"/>
      <c r="K26" s="334"/>
      <c r="L26" s="73"/>
      <c r="M26" s="74"/>
      <c r="N26" s="73"/>
      <c r="O26" s="74"/>
      <c r="P26" s="339"/>
      <c r="Q26" s="74"/>
    </row>
    <row r="27" spans="2:17" s="69" customFormat="1">
      <c r="B27" s="55" t="s">
        <v>42</v>
      </c>
      <c r="C27" s="66">
        <v>144</v>
      </c>
      <c r="D27" s="65">
        <v>28</v>
      </c>
      <c r="E27" s="335">
        <v>172</v>
      </c>
      <c r="F27" s="65">
        <v>142</v>
      </c>
      <c r="G27" s="65">
        <v>29</v>
      </c>
      <c r="H27" s="65">
        <f>SUM(F27:G27)</f>
        <v>171</v>
      </c>
      <c r="I27" s="66">
        <v>142</v>
      </c>
      <c r="J27" s="65">
        <v>45</v>
      </c>
      <c r="K27" s="335">
        <f>SUM(I27:J27)</f>
        <v>187</v>
      </c>
      <c r="L27" s="67">
        <f>C27/E27</f>
        <v>0.83720930232558144</v>
      </c>
      <c r="M27" s="68">
        <f>D27/E27</f>
        <v>0.16279069767441862</v>
      </c>
      <c r="N27" s="67">
        <f t="shared" si="0"/>
        <v>0.83040935672514615</v>
      </c>
      <c r="O27" s="68">
        <f t="shared" si="1"/>
        <v>0.16959064327485379</v>
      </c>
      <c r="P27" s="81">
        <f>I27/K27</f>
        <v>0.75935828877005351</v>
      </c>
      <c r="Q27" s="68">
        <f>J27/K27</f>
        <v>0.24064171122994651</v>
      </c>
    </row>
    <row r="28" spans="2:17" s="69" customFormat="1">
      <c r="B28" s="82"/>
      <c r="C28" s="84"/>
      <c r="D28" s="83"/>
      <c r="E28" s="85"/>
      <c r="F28" s="83"/>
      <c r="G28" s="83"/>
      <c r="H28" s="83"/>
      <c r="I28" s="84"/>
      <c r="J28" s="83"/>
      <c r="K28" s="85"/>
      <c r="L28" s="79"/>
      <c r="M28" s="80"/>
      <c r="N28" s="79"/>
      <c r="O28" s="80"/>
      <c r="P28" s="86"/>
      <c r="Q28" s="80"/>
    </row>
    <row r="29" spans="2:17" s="69" customFormat="1">
      <c r="B29" s="87"/>
      <c r="C29" s="87"/>
      <c r="D29" s="87"/>
      <c r="E29" s="87"/>
      <c r="F29" s="51"/>
      <c r="G29" s="51"/>
      <c r="H29" s="51"/>
      <c r="I29" s="51"/>
      <c r="J29" s="51"/>
      <c r="K29" s="51"/>
      <c r="L29" s="51"/>
      <c r="M29" s="51"/>
      <c r="N29" s="51"/>
      <c r="O29" s="51"/>
      <c r="P29" s="51"/>
      <c r="Q29" s="51"/>
    </row>
    <row r="30" spans="2:17">
      <c r="B30" s="88" t="s">
        <v>43</v>
      </c>
      <c r="C30" s="88"/>
      <c r="D30" s="88"/>
      <c r="E30" s="88"/>
    </row>
    <row r="31" spans="2:17">
      <c r="B31" s="89" t="s">
        <v>44</v>
      </c>
      <c r="C31" s="89"/>
      <c r="D31" s="89"/>
      <c r="E31" s="89"/>
      <c r="F31" s="309"/>
      <c r="G31" s="309"/>
      <c r="H31" s="309"/>
      <c r="I31" s="69"/>
      <c r="J31" s="69"/>
      <c r="K31" s="69"/>
      <c r="L31" s="69"/>
      <c r="M31" s="69"/>
      <c r="N31" s="69"/>
      <c r="O31" s="69"/>
      <c r="P31" s="69"/>
      <c r="Q31" s="69"/>
    </row>
    <row r="32" spans="2:17">
      <c r="B32" s="90" t="s">
        <v>45</v>
      </c>
      <c r="C32" s="90"/>
      <c r="D32" s="90"/>
      <c r="E32" s="90"/>
    </row>
    <row r="33" spans="2:17">
      <c r="B33" s="91" t="s">
        <v>46</v>
      </c>
      <c r="C33" s="91"/>
      <c r="D33" s="91"/>
      <c r="E33" s="91"/>
    </row>
    <row r="34" spans="2:17">
      <c r="B34" s="91" t="s">
        <v>47</v>
      </c>
      <c r="C34" s="91"/>
      <c r="D34" s="91"/>
      <c r="E34" s="91"/>
    </row>
    <row r="35" spans="2:17" s="69" customFormat="1">
      <c r="B35" s="91" t="s">
        <v>48</v>
      </c>
      <c r="C35" s="91"/>
      <c r="D35" s="91"/>
      <c r="E35" s="91"/>
      <c r="F35" s="51"/>
      <c r="G35" s="51"/>
      <c r="H35" s="51"/>
      <c r="I35" s="51"/>
      <c r="J35" s="51"/>
      <c r="K35" s="51"/>
      <c r="L35" s="51"/>
      <c r="M35" s="51"/>
      <c r="N35" s="51"/>
      <c r="O35" s="51"/>
      <c r="P35" s="51"/>
      <c r="Q35" s="51"/>
    </row>
    <row r="36" spans="2:17" s="92" customFormat="1">
      <c r="B36" s="91" t="s">
        <v>49</v>
      </c>
      <c r="C36" s="91"/>
      <c r="D36" s="91"/>
      <c r="E36" s="91"/>
      <c r="F36" s="51"/>
      <c r="G36" s="51"/>
      <c r="H36" s="51"/>
      <c r="I36" s="51"/>
      <c r="J36" s="51"/>
      <c r="K36" s="51"/>
      <c r="L36" s="51"/>
      <c r="M36" s="51"/>
      <c r="N36" s="51"/>
      <c r="O36" s="51"/>
      <c r="P36" s="51"/>
      <c r="Q36" s="51"/>
    </row>
    <row r="37" spans="2:17">
      <c r="B37" s="90" t="s">
        <v>50</v>
      </c>
      <c r="C37" s="90"/>
      <c r="D37" s="90"/>
      <c r="E37" s="90"/>
    </row>
    <row r="38" spans="2:17">
      <c r="B38" s="89" t="s">
        <v>51</v>
      </c>
      <c r="C38" s="89"/>
      <c r="D38" s="89"/>
      <c r="E38" s="89"/>
      <c r="F38" s="309"/>
      <c r="G38" s="309"/>
      <c r="H38" s="309"/>
      <c r="I38" s="69"/>
      <c r="J38" s="69"/>
      <c r="K38" s="69"/>
      <c r="L38" s="69"/>
      <c r="M38" s="69"/>
      <c r="N38" s="69"/>
      <c r="O38" s="69"/>
      <c r="P38" s="69"/>
      <c r="Q38" s="69"/>
    </row>
    <row r="39" spans="2:17">
      <c r="B39" s="89" t="s">
        <v>52</v>
      </c>
      <c r="C39" s="89"/>
      <c r="D39" s="89"/>
      <c r="E39" s="89"/>
      <c r="F39" s="309"/>
      <c r="G39" s="309"/>
      <c r="H39" s="309"/>
      <c r="I39" s="69"/>
      <c r="J39" s="69"/>
      <c r="K39" s="69"/>
      <c r="L39" s="69"/>
      <c r="M39" s="69"/>
      <c r="N39" s="69"/>
      <c r="O39" s="69"/>
      <c r="P39" s="69"/>
      <c r="Q39" s="69"/>
    </row>
    <row r="40" spans="2:17">
      <c r="B40" s="89" t="s">
        <v>53</v>
      </c>
      <c r="C40" s="89"/>
      <c r="D40" s="89"/>
      <c r="E40" s="89"/>
    </row>
    <row r="41" spans="2:17">
      <c r="B41" s="91" t="s">
        <v>54</v>
      </c>
      <c r="C41" s="91"/>
      <c r="D41" s="91"/>
      <c r="E41" s="91"/>
    </row>
    <row r="42" spans="2:17">
      <c r="B42" s="91" t="s">
        <v>55</v>
      </c>
      <c r="C42" s="91"/>
      <c r="D42" s="91"/>
      <c r="E42" s="91"/>
    </row>
    <row r="43" spans="2:17">
      <c r="F43" s="60"/>
      <c r="G43" s="60"/>
      <c r="H43" s="60"/>
      <c r="I43" s="60"/>
      <c r="J43" s="60"/>
      <c r="K43" s="60"/>
      <c r="L43" s="60"/>
      <c r="M43" s="60"/>
      <c r="N43" s="92"/>
      <c r="O43" s="92"/>
      <c r="P43" s="92"/>
      <c r="Q43" s="92"/>
    </row>
    <row r="44" spans="2:17">
      <c r="F44" s="60"/>
      <c r="G44" s="60"/>
      <c r="H44" s="60"/>
      <c r="I44" s="60"/>
      <c r="J44" s="60"/>
      <c r="K44" s="60"/>
      <c r="L44" s="60"/>
      <c r="M44" s="60"/>
    </row>
    <row r="45" spans="2:17">
      <c r="F45" s="61"/>
      <c r="G45" s="61"/>
      <c r="H45" s="61"/>
      <c r="I45" s="61"/>
      <c r="J45" s="61"/>
      <c r="K45" s="61"/>
      <c r="L45" s="61"/>
      <c r="M45" s="61"/>
    </row>
    <row r="46" spans="2:17">
      <c r="F46" s="61"/>
      <c r="G46" s="61"/>
      <c r="H46" s="61"/>
      <c r="I46" s="61"/>
      <c r="J46" s="61"/>
      <c r="K46" s="61"/>
      <c r="L46" s="61"/>
      <c r="M46" s="61"/>
    </row>
    <row r="47" spans="2:17">
      <c r="F47" s="61"/>
      <c r="G47" s="61"/>
      <c r="H47" s="61"/>
      <c r="I47" s="61"/>
      <c r="J47" s="61"/>
      <c r="K47" s="61"/>
      <c r="L47" s="61"/>
      <c r="M47" s="61"/>
    </row>
    <row r="48" spans="2:17">
      <c r="F48" s="61"/>
      <c r="G48" s="61"/>
      <c r="H48" s="61"/>
      <c r="I48" s="61"/>
      <c r="J48" s="61"/>
      <c r="K48" s="61"/>
      <c r="L48" s="61"/>
      <c r="M48" s="61"/>
    </row>
    <row r="49" spans="2:17" customFormat="1" ht="15">
      <c r="B49" s="51"/>
      <c r="C49" s="51"/>
      <c r="D49" s="51"/>
      <c r="E49" s="51"/>
      <c r="F49" s="61"/>
      <c r="G49" s="61"/>
      <c r="H49" s="61"/>
      <c r="I49" s="61"/>
      <c r="J49" s="61"/>
      <c r="K49" s="61"/>
      <c r="L49" s="61"/>
      <c r="M49" s="61"/>
      <c r="N49" s="51"/>
      <c r="O49" s="51"/>
      <c r="P49" s="51"/>
      <c r="Q49" s="51"/>
    </row>
    <row r="50" spans="2:17">
      <c r="F50" s="61"/>
      <c r="G50" s="61"/>
      <c r="H50" s="61"/>
      <c r="I50" s="61"/>
      <c r="J50" s="61"/>
      <c r="K50" s="61"/>
      <c r="L50" s="61"/>
      <c r="M50" s="61"/>
    </row>
    <row r="51" spans="2:17">
      <c r="F51" s="61"/>
      <c r="G51" s="61"/>
      <c r="H51" s="61"/>
      <c r="I51" s="61"/>
      <c r="J51" s="61"/>
      <c r="K51" s="61"/>
      <c r="L51" s="61"/>
      <c r="M51" s="61"/>
    </row>
    <row r="52" spans="2:17">
      <c r="F52" s="61"/>
      <c r="G52" s="61"/>
      <c r="H52" s="61"/>
      <c r="I52" s="61"/>
      <c r="J52" s="61"/>
      <c r="K52" s="61"/>
      <c r="L52" s="61"/>
      <c r="M52" s="61"/>
    </row>
    <row r="53" spans="2:17">
      <c r="F53" s="61"/>
      <c r="G53" s="61"/>
      <c r="H53" s="61"/>
      <c r="I53" s="61"/>
      <c r="J53" s="61"/>
      <c r="K53" s="61"/>
      <c r="L53" s="61"/>
      <c r="M53" s="61"/>
    </row>
    <row r="54" spans="2:17">
      <c r="F54" s="61"/>
      <c r="G54" s="61"/>
      <c r="H54" s="61"/>
      <c r="I54" s="61"/>
      <c r="J54" s="61"/>
      <c r="K54" s="61"/>
      <c r="L54" s="61"/>
      <c r="M54" s="61"/>
    </row>
    <row r="55" spans="2:17">
      <c r="F55" s="61"/>
      <c r="G55" s="61"/>
      <c r="H55" s="61"/>
      <c r="I55" s="61"/>
      <c r="J55" s="61"/>
      <c r="K55" s="61"/>
      <c r="L55" s="61"/>
      <c r="M55" s="61"/>
    </row>
    <row r="56" spans="2:17">
      <c r="F56" s="61"/>
      <c r="G56" s="61"/>
      <c r="H56" s="61"/>
      <c r="I56" s="61"/>
      <c r="J56" s="61"/>
      <c r="K56" s="61"/>
      <c r="L56" s="61"/>
      <c r="M56" s="61"/>
    </row>
    <row r="57" spans="2:17">
      <c r="F57" s="61"/>
      <c r="G57" s="61"/>
      <c r="H57" s="61"/>
      <c r="I57" s="61"/>
      <c r="J57" s="61"/>
      <c r="K57" s="61"/>
      <c r="L57" s="61"/>
      <c r="M57" s="61"/>
    </row>
    <row r="58" spans="2:17">
      <c r="F58" s="61"/>
      <c r="G58" s="61"/>
      <c r="H58" s="61"/>
      <c r="I58" s="61"/>
      <c r="J58" s="61"/>
      <c r="K58" s="61"/>
      <c r="L58" s="61"/>
      <c r="M58" s="61"/>
    </row>
    <row r="59" spans="2:17" ht="15">
      <c r="F59" s="310"/>
      <c r="G59" s="310"/>
      <c r="H59" s="310"/>
      <c r="I59"/>
      <c r="J59"/>
      <c r="K59"/>
      <c r="L59"/>
      <c r="M59"/>
      <c r="N59"/>
      <c r="O59"/>
      <c r="P59"/>
      <c r="Q59"/>
    </row>
    <row r="60" spans="2:17">
      <c r="F60" s="61"/>
      <c r="G60" s="61"/>
      <c r="H60" s="61"/>
      <c r="I60" s="61"/>
      <c r="J60" s="61"/>
      <c r="K60" s="61"/>
      <c r="L60" s="61"/>
      <c r="M60" s="61"/>
    </row>
    <row r="61" spans="2:17">
      <c r="F61" s="61"/>
      <c r="G61" s="61"/>
      <c r="H61" s="61"/>
      <c r="I61" s="61"/>
      <c r="J61" s="61"/>
      <c r="K61" s="61"/>
      <c r="L61" s="61"/>
      <c r="M61" s="61"/>
    </row>
    <row r="62" spans="2:17">
      <c r="F62" s="61"/>
      <c r="G62" s="61"/>
      <c r="H62" s="61"/>
      <c r="I62" s="61"/>
      <c r="J62" s="61"/>
      <c r="K62" s="61"/>
      <c r="L62" s="61"/>
      <c r="M62" s="61"/>
    </row>
    <row r="63" spans="2:17">
      <c r="F63" s="61"/>
      <c r="G63" s="61"/>
      <c r="H63" s="61"/>
      <c r="I63" s="61"/>
      <c r="J63" s="61"/>
      <c r="K63" s="61"/>
      <c r="L63" s="61"/>
      <c r="M63" s="61"/>
    </row>
    <row r="64" spans="2:17">
      <c r="F64" s="61"/>
      <c r="G64" s="61"/>
      <c r="H64" s="61"/>
      <c r="I64" s="61"/>
      <c r="J64" s="61"/>
      <c r="K64" s="61"/>
      <c r="L64" s="61"/>
      <c r="M64" s="61"/>
    </row>
    <row r="65" spans="6:13">
      <c r="F65" s="61"/>
      <c r="G65" s="61"/>
      <c r="H65" s="61"/>
      <c r="I65" s="61"/>
      <c r="J65" s="61"/>
      <c r="K65" s="61"/>
      <c r="L65" s="61"/>
      <c r="M65" s="61"/>
    </row>
    <row r="66" spans="6:13">
      <c r="F66" s="61"/>
      <c r="G66" s="61"/>
      <c r="H66" s="61"/>
      <c r="I66" s="61"/>
      <c r="J66" s="61"/>
      <c r="K66" s="61"/>
      <c r="L66" s="61"/>
      <c r="M66" s="61"/>
    </row>
    <row r="67" spans="6:13">
      <c r="F67" s="61"/>
      <c r="G67" s="61"/>
      <c r="H67" s="61"/>
      <c r="I67" s="61"/>
      <c r="J67" s="61"/>
      <c r="K67" s="61"/>
      <c r="L67" s="61"/>
      <c r="M67" s="61"/>
    </row>
    <row r="68" spans="6:13">
      <c r="F68" s="61"/>
      <c r="G68" s="61"/>
      <c r="H68" s="61"/>
      <c r="I68" s="61"/>
      <c r="J68" s="61"/>
      <c r="K68" s="61"/>
      <c r="L68" s="61"/>
      <c r="M68" s="61"/>
    </row>
    <row r="69" spans="6:13">
      <c r="F69" s="61"/>
      <c r="G69" s="61"/>
      <c r="H69" s="61"/>
      <c r="I69" s="61"/>
      <c r="J69" s="61"/>
      <c r="K69" s="61"/>
      <c r="L69" s="61"/>
      <c r="M69" s="61"/>
    </row>
    <row r="70" spans="6:13">
      <c r="F70" s="61"/>
      <c r="G70" s="61"/>
      <c r="H70" s="61"/>
      <c r="I70" s="61"/>
      <c r="J70" s="61"/>
      <c r="K70" s="61"/>
      <c r="L70" s="61"/>
      <c r="M70" s="61"/>
    </row>
    <row r="71" spans="6:13">
      <c r="F71" s="61"/>
      <c r="G71" s="61"/>
      <c r="H71" s="61"/>
      <c r="I71" s="61"/>
      <c r="J71" s="61"/>
      <c r="K71" s="61"/>
      <c r="L71" s="61"/>
      <c r="M71" s="61"/>
    </row>
    <row r="72" spans="6:13">
      <c r="F72" s="61"/>
      <c r="G72" s="61"/>
      <c r="H72" s="61"/>
      <c r="I72" s="61"/>
      <c r="J72" s="61"/>
      <c r="K72" s="61"/>
      <c r="L72" s="61"/>
      <c r="M72" s="61"/>
    </row>
    <row r="73" spans="6:13">
      <c r="F73" s="61"/>
      <c r="G73" s="61"/>
      <c r="H73" s="61"/>
      <c r="I73" s="61"/>
      <c r="J73" s="61"/>
      <c r="K73" s="61"/>
      <c r="L73" s="61"/>
      <c r="M73" s="61"/>
    </row>
    <row r="74" spans="6:13">
      <c r="F74" s="61"/>
      <c r="G74" s="61"/>
      <c r="H74" s="61"/>
      <c r="I74" s="61"/>
      <c r="J74" s="61"/>
      <c r="K74" s="61"/>
      <c r="L74" s="61"/>
      <c r="M74" s="61"/>
    </row>
    <row r="75" spans="6:13">
      <c r="F75" s="61"/>
      <c r="G75" s="61"/>
      <c r="H75" s="61"/>
      <c r="I75" s="61"/>
      <c r="J75" s="61"/>
      <c r="K75" s="61"/>
      <c r="L75" s="61"/>
      <c r="M75" s="61"/>
    </row>
    <row r="76" spans="6:13">
      <c r="F76" s="61"/>
      <c r="G76" s="61"/>
      <c r="H76" s="61"/>
      <c r="I76" s="61"/>
      <c r="J76" s="61"/>
      <c r="K76" s="61"/>
      <c r="L76" s="61"/>
      <c r="M76" s="61"/>
    </row>
  </sheetData>
  <mergeCells count="14">
    <mergeCell ref="F7:H7"/>
    <mergeCell ref="I7:K7"/>
    <mergeCell ref="N7:O7"/>
    <mergeCell ref="P7:Q7"/>
    <mergeCell ref="B3:Q3"/>
    <mergeCell ref="B4:Q4"/>
    <mergeCell ref="F6:H6"/>
    <mergeCell ref="I6:K6"/>
    <mergeCell ref="N6:O6"/>
    <mergeCell ref="P6:Q6"/>
    <mergeCell ref="C6:E6"/>
    <mergeCell ref="C7:E7"/>
    <mergeCell ref="L6:M6"/>
    <mergeCell ref="L7:M7"/>
  </mergeCells>
  <printOptions horizontalCentered="1"/>
  <pageMargins left="0.31496062992125984" right="0.31496062992125984" top="0.35433070866141736" bottom="0.35433070866141736" header="0.31496062992125984" footer="0.31496062992125984"/>
  <pageSetup paperSize="9" scale="67" orientation="landscape" r:id="rId1"/>
  <headerFooter>
    <oddFooter>&amp;R&amp;A</oddFooter>
  </headerFooter>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6"/>
  <sheetViews>
    <sheetView tabSelected="1" zoomScaleNormal="100" zoomScaleSheetLayoutView="100" workbookViewId="0"/>
  </sheetViews>
  <sheetFormatPr defaultRowHeight="12.75"/>
  <cols>
    <col min="1" max="1" width="10.85546875" style="271" customWidth="1"/>
    <col min="2" max="16" width="10.140625" style="271" customWidth="1"/>
    <col min="17" max="256" width="9.140625" style="271"/>
    <col min="257" max="257" width="10.85546875" style="271" customWidth="1"/>
    <col min="258" max="272" width="10.140625" style="271" customWidth="1"/>
    <col min="273" max="512" width="9.140625" style="271"/>
    <col min="513" max="513" width="10.85546875" style="271" customWidth="1"/>
    <col min="514" max="528" width="10.140625" style="271" customWidth="1"/>
    <col min="529" max="768" width="9.140625" style="271"/>
    <col min="769" max="769" width="10.85546875" style="271" customWidth="1"/>
    <col min="770" max="784" width="10.140625" style="271" customWidth="1"/>
    <col min="785" max="1024" width="9.140625" style="271"/>
    <col min="1025" max="1025" width="10.85546875" style="271" customWidth="1"/>
    <col min="1026" max="1040" width="10.140625" style="271" customWidth="1"/>
    <col min="1041" max="1280" width="9.140625" style="271"/>
    <col min="1281" max="1281" width="10.85546875" style="271" customWidth="1"/>
    <col min="1282" max="1296" width="10.140625" style="271" customWidth="1"/>
    <col min="1297" max="1536" width="9.140625" style="271"/>
    <col min="1537" max="1537" width="10.85546875" style="271" customWidth="1"/>
    <col min="1538" max="1552" width="10.140625" style="271" customWidth="1"/>
    <col min="1553" max="1792" width="9.140625" style="271"/>
    <col min="1793" max="1793" width="10.85546875" style="271" customWidth="1"/>
    <col min="1794" max="1808" width="10.140625" style="271" customWidth="1"/>
    <col min="1809" max="2048" width="9.140625" style="271"/>
    <col min="2049" max="2049" width="10.85546875" style="271" customWidth="1"/>
    <col min="2050" max="2064" width="10.140625" style="271" customWidth="1"/>
    <col min="2065" max="2304" width="9.140625" style="271"/>
    <col min="2305" max="2305" width="10.85546875" style="271" customWidth="1"/>
    <col min="2306" max="2320" width="10.140625" style="271" customWidth="1"/>
    <col min="2321" max="2560" width="9.140625" style="271"/>
    <col min="2561" max="2561" width="10.85546875" style="271" customWidth="1"/>
    <col min="2562" max="2576" width="10.140625" style="271" customWidth="1"/>
    <col min="2577" max="2816" width="9.140625" style="271"/>
    <col min="2817" max="2817" width="10.85546875" style="271" customWidth="1"/>
    <col min="2818" max="2832" width="10.140625" style="271" customWidth="1"/>
    <col min="2833" max="3072" width="9.140625" style="271"/>
    <col min="3073" max="3073" width="10.85546875" style="271" customWidth="1"/>
    <col min="3074" max="3088" width="10.140625" style="271" customWidth="1"/>
    <col min="3089" max="3328" width="9.140625" style="271"/>
    <col min="3329" max="3329" width="10.85546875" style="271" customWidth="1"/>
    <col min="3330" max="3344" width="10.140625" style="271" customWidth="1"/>
    <col min="3345" max="3584" width="9.140625" style="271"/>
    <col min="3585" max="3585" width="10.85546875" style="271" customWidth="1"/>
    <col min="3586" max="3600" width="10.140625" style="271" customWidth="1"/>
    <col min="3601" max="3840" width="9.140625" style="271"/>
    <col min="3841" max="3841" width="10.85546875" style="271" customWidth="1"/>
    <col min="3842" max="3856" width="10.140625" style="271" customWidth="1"/>
    <col min="3857" max="4096" width="9.140625" style="271"/>
    <col min="4097" max="4097" width="10.85546875" style="271" customWidth="1"/>
    <col min="4098" max="4112" width="10.140625" style="271" customWidth="1"/>
    <col min="4113" max="4352" width="9.140625" style="271"/>
    <col min="4353" max="4353" width="10.85546875" style="271" customWidth="1"/>
    <col min="4354" max="4368" width="10.140625" style="271" customWidth="1"/>
    <col min="4369" max="4608" width="9.140625" style="271"/>
    <col min="4609" max="4609" width="10.85546875" style="271" customWidth="1"/>
    <col min="4610" max="4624" width="10.140625" style="271" customWidth="1"/>
    <col min="4625" max="4864" width="9.140625" style="271"/>
    <col min="4865" max="4865" width="10.85546875" style="271" customWidth="1"/>
    <col min="4866" max="4880" width="10.140625" style="271" customWidth="1"/>
    <col min="4881" max="5120" width="9.140625" style="271"/>
    <col min="5121" max="5121" width="10.85546875" style="271" customWidth="1"/>
    <col min="5122" max="5136" width="10.140625" style="271" customWidth="1"/>
    <col min="5137" max="5376" width="9.140625" style="271"/>
    <col min="5377" max="5377" width="10.85546875" style="271" customWidth="1"/>
    <col min="5378" max="5392" width="10.140625" style="271" customWidth="1"/>
    <col min="5393" max="5632" width="9.140625" style="271"/>
    <col min="5633" max="5633" width="10.85546875" style="271" customWidth="1"/>
    <col min="5634" max="5648" width="10.140625" style="271" customWidth="1"/>
    <col min="5649" max="5888" width="9.140625" style="271"/>
    <col min="5889" max="5889" width="10.85546875" style="271" customWidth="1"/>
    <col min="5890" max="5904" width="10.140625" style="271" customWidth="1"/>
    <col min="5905" max="6144" width="9.140625" style="271"/>
    <col min="6145" max="6145" width="10.85546875" style="271" customWidth="1"/>
    <col min="6146" max="6160" width="10.140625" style="271" customWidth="1"/>
    <col min="6161" max="6400" width="9.140625" style="271"/>
    <col min="6401" max="6401" width="10.85546875" style="271" customWidth="1"/>
    <col min="6402" max="6416" width="10.140625" style="271" customWidth="1"/>
    <col min="6417" max="6656" width="9.140625" style="271"/>
    <col min="6657" max="6657" width="10.85546875" style="271" customWidth="1"/>
    <col min="6658" max="6672" width="10.140625" style="271" customWidth="1"/>
    <col min="6673" max="6912" width="9.140625" style="271"/>
    <col min="6913" max="6913" width="10.85546875" style="271" customWidth="1"/>
    <col min="6914" max="6928" width="10.140625" style="271" customWidth="1"/>
    <col min="6929" max="7168" width="9.140625" style="271"/>
    <col min="7169" max="7169" width="10.85546875" style="271" customWidth="1"/>
    <col min="7170" max="7184" width="10.140625" style="271" customWidth="1"/>
    <col min="7185" max="7424" width="9.140625" style="271"/>
    <col min="7425" max="7425" width="10.85546875" style="271" customWidth="1"/>
    <col min="7426" max="7440" width="10.140625" style="271" customWidth="1"/>
    <col min="7441" max="7680" width="9.140625" style="271"/>
    <col min="7681" max="7681" width="10.85546875" style="271" customWidth="1"/>
    <col min="7682" max="7696" width="10.140625" style="271" customWidth="1"/>
    <col min="7697" max="7936" width="9.140625" style="271"/>
    <col min="7937" max="7937" width="10.85546875" style="271" customWidth="1"/>
    <col min="7938" max="7952" width="10.140625" style="271" customWidth="1"/>
    <col min="7953" max="8192" width="9.140625" style="271"/>
    <col min="8193" max="8193" width="10.85546875" style="271" customWidth="1"/>
    <col min="8194" max="8208" width="10.140625" style="271" customWidth="1"/>
    <col min="8209" max="8448" width="9.140625" style="271"/>
    <col min="8449" max="8449" width="10.85546875" style="271" customWidth="1"/>
    <col min="8450" max="8464" width="10.140625" style="271" customWidth="1"/>
    <col min="8465" max="8704" width="9.140625" style="271"/>
    <col min="8705" max="8705" width="10.85546875" style="271" customWidth="1"/>
    <col min="8706" max="8720" width="10.140625" style="271" customWidth="1"/>
    <col min="8721" max="8960" width="9.140625" style="271"/>
    <col min="8961" max="8961" width="10.85546875" style="271" customWidth="1"/>
    <col min="8962" max="8976" width="10.140625" style="271" customWidth="1"/>
    <col min="8977" max="9216" width="9.140625" style="271"/>
    <col min="9217" max="9217" width="10.85546875" style="271" customWidth="1"/>
    <col min="9218" max="9232" width="10.140625" style="271" customWidth="1"/>
    <col min="9233" max="9472" width="9.140625" style="271"/>
    <col min="9473" max="9473" width="10.85546875" style="271" customWidth="1"/>
    <col min="9474" max="9488" width="10.140625" style="271" customWidth="1"/>
    <col min="9489" max="9728" width="9.140625" style="271"/>
    <col min="9729" max="9729" width="10.85546875" style="271" customWidth="1"/>
    <col min="9730" max="9744" width="10.140625" style="271" customWidth="1"/>
    <col min="9745" max="9984" width="9.140625" style="271"/>
    <col min="9985" max="9985" width="10.85546875" style="271" customWidth="1"/>
    <col min="9986" max="10000" width="10.140625" style="271" customWidth="1"/>
    <col min="10001" max="10240" width="9.140625" style="271"/>
    <col min="10241" max="10241" width="10.85546875" style="271" customWidth="1"/>
    <col min="10242" max="10256" width="10.140625" style="271" customWidth="1"/>
    <col min="10257" max="10496" width="9.140625" style="271"/>
    <col min="10497" max="10497" width="10.85546875" style="271" customWidth="1"/>
    <col min="10498" max="10512" width="10.140625" style="271" customWidth="1"/>
    <col min="10513" max="10752" width="9.140625" style="271"/>
    <col min="10753" max="10753" width="10.85546875" style="271" customWidth="1"/>
    <col min="10754" max="10768" width="10.140625" style="271" customWidth="1"/>
    <col min="10769" max="11008" width="9.140625" style="271"/>
    <col min="11009" max="11009" width="10.85546875" style="271" customWidth="1"/>
    <col min="11010" max="11024" width="10.140625" style="271" customWidth="1"/>
    <col min="11025" max="11264" width="9.140625" style="271"/>
    <col min="11265" max="11265" width="10.85546875" style="271" customWidth="1"/>
    <col min="11266" max="11280" width="10.140625" style="271" customWidth="1"/>
    <col min="11281" max="11520" width="9.140625" style="271"/>
    <col min="11521" max="11521" width="10.85546875" style="271" customWidth="1"/>
    <col min="11522" max="11536" width="10.140625" style="271" customWidth="1"/>
    <col min="11537" max="11776" width="9.140625" style="271"/>
    <col min="11777" max="11777" width="10.85546875" style="271" customWidth="1"/>
    <col min="11778" max="11792" width="10.140625" style="271" customWidth="1"/>
    <col min="11793" max="12032" width="9.140625" style="271"/>
    <col min="12033" max="12033" width="10.85546875" style="271" customWidth="1"/>
    <col min="12034" max="12048" width="10.140625" style="271" customWidth="1"/>
    <col min="12049" max="12288" width="9.140625" style="271"/>
    <col min="12289" max="12289" width="10.85546875" style="271" customWidth="1"/>
    <col min="12290" max="12304" width="10.140625" style="271" customWidth="1"/>
    <col min="12305" max="12544" width="9.140625" style="271"/>
    <col min="12545" max="12545" width="10.85546875" style="271" customWidth="1"/>
    <col min="12546" max="12560" width="10.140625" style="271" customWidth="1"/>
    <col min="12561" max="12800" width="9.140625" style="271"/>
    <col min="12801" max="12801" width="10.85546875" style="271" customWidth="1"/>
    <col min="12802" max="12816" width="10.140625" style="271" customWidth="1"/>
    <col min="12817" max="13056" width="9.140625" style="271"/>
    <col min="13057" max="13057" width="10.85546875" style="271" customWidth="1"/>
    <col min="13058" max="13072" width="10.140625" style="271" customWidth="1"/>
    <col min="13073" max="13312" width="9.140625" style="271"/>
    <col min="13313" max="13313" width="10.85546875" style="271" customWidth="1"/>
    <col min="13314" max="13328" width="10.140625" style="271" customWidth="1"/>
    <col min="13329" max="13568" width="9.140625" style="271"/>
    <col min="13569" max="13569" width="10.85546875" style="271" customWidth="1"/>
    <col min="13570" max="13584" width="10.140625" style="271" customWidth="1"/>
    <col min="13585" max="13824" width="9.140625" style="271"/>
    <col min="13825" max="13825" width="10.85546875" style="271" customWidth="1"/>
    <col min="13826" max="13840" width="10.140625" style="271" customWidth="1"/>
    <col min="13841" max="14080" width="9.140625" style="271"/>
    <col min="14081" max="14081" width="10.85546875" style="271" customWidth="1"/>
    <col min="14082" max="14096" width="10.140625" style="271" customWidth="1"/>
    <col min="14097" max="14336" width="9.140625" style="271"/>
    <col min="14337" max="14337" width="10.85546875" style="271" customWidth="1"/>
    <col min="14338" max="14352" width="10.140625" style="271" customWidth="1"/>
    <col min="14353" max="14592" width="9.140625" style="271"/>
    <col min="14593" max="14593" width="10.85546875" style="271" customWidth="1"/>
    <col min="14594" max="14608" width="10.140625" style="271" customWidth="1"/>
    <col min="14609" max="14848" width="9.140625" style="271"/>
    <col min="14849" max="14849" width="10.85546875" style="271" customWidth="1"/>
    <col min="14850" max="14864" width="10.140625" style="271" customWidth="1"/>
    <col min="14865" max="15104" width="9.140625" style="271"/>
    <col min="15105" max="15105" width="10.85546875" style="271" customWidth="1"/>
    <col min="15106" max="15120" width="10.140625" style="271" customWidth="1"/>
    <col min="15121" max="15360" width="9.140625" style="271"/>
    <col min="15361" max="15361" width="10.85546875" style="271" customWidth="1"/>
    <col min="15362" max="15376" width="10.140625" style="271" customWidth="1"/>
    <col min="15377" max="15616" width="9.140625" style="271"/>
    <col min="15617" max="15617" width="10.85546875" style="271" customWidth="1"/>
    <col min="15618" max="15632" width="10.140625" style="271" customWidth="1"/>
    <col min="15633" max="15872" width="9.140625" style="271"/>
    <col min="15873" max="15873" width="10.85546875" style="271" customWidth="1"/>
    <col min="15874" max="15888" width="10.140625" style="271" customWidth="1"/>
    <col min="15889" max="16128" width="9.140625" style="271"/>
    <col min="16129" max="16129" width="10.85546875" style="271" customWidth="1"/>
    <col min="16130" max="16144" width="10.140625" style="271" customWidth="1"/>
    <col min="16145" max="16384" width="9.140625" style="271"/>
  </cols>
  <sheetData>
    <row r="1" spans="1:16" s="266" customFormat="1">
      <c r="A1" s="264" t="s">
        <v>100</v>
      </c>
      <c r="B1" s="265"/>
      <c r="C1" s="265"/>
      <c r="D1" s="265"/>
    </row>
    <row r="2" spans="1:16" s="266" customFormat="1">
      <c r="A2" s="374" t="s">
        <v>77</v>
      </c>
      <c r="B2" s="374"/>
      <c r="C2" s="374"/>
      <c r="D2" s="374"/>
      <c r="E2" s="374"/>
      <c r="F2" s="374"/>
      <c r="G2" s="374"/>
      <c r="H2" s="374"/>
      <c r="I2" s="374"/>
      <c r="J2" s="374"/>
      <c r="K2" s="374"/>
      <c r="L2" s="374"/>
      <c r="M2" s="374"/>
      <c r="N2" s="374"/>
      <c r="O2" s="374"/>
      <c r="P2" s="374"/>
    </row>
    <row r="3" spans="1:16" s="266" customFormat="1" ht="7.5" customHeight="1">
      <c r="A3" s="265"/>
      <c r="B3" s="265"/>
      <c r="C3" s="265"/>
      <c r="D3" s="265"/>
    </row>
    <row r="4" spans="1:16" s="266" customFormat="1">
      <c r="A4" s="375" t="s">
        <v>78</v>
      </c>
      <c r="B4" s="375"/>
      <c r="C4" s="375"/>
      <c r="D4" s="375"/>
      <c r="E4" s="375"/>
      <c r="F4" s="375"/>
      <c r="G4" s="375"/>
      <c r="H4" s="375"/>
      <c r="I4" s="375"/>
      <c r="J4" s="375"/>
      <c r="K4" s="375"/>
      <c r="L4" s="375"/>
      <c r="M4" s="375"/>
      <c r="N4" s="375"/>
      <c r="O4" s="375"/>
      <c r="P4" s="375"/>
    </row>
    <row r="5" spans="1:16" ht="8.25" customHeight="1">
      <c r="A5" s="267"/>
      <c r="B5" s="267"/>
      <c r="C5" s="267"/>
      <c r="D5" s="267"/>
    </row>
    <row r="6" spans="1:16">
      <c r="A6" s="374" t="s">
        <v>101</v>
      </c>
      <c r="B6" s="374"/>
      <c r="C6" s="374"/>
      <c r="D6" s="374"/>
      <c r="E6" s="374"/>
      <c r="F6" s="374"/>
      <c r="G6" s="374"/>
      <c r="H6" s="374"/>
      <c r="I6" s="374"/>
      <c r="J6" s="374"/>
      <c r="K6" s="374"/>
      <c r="L6" s="374"/>
      <c r="M6" s="374"/>
      <c r="N6" s="374"/>
      <c r="O6" s="374"/>
      <c r="P6" s="374"/>
    </row>
    <row r="7" spans="1:16" ht="6.75" customHeight="1" thickBot="1">
      <c r="A7" s="266"/>
      <c r="B7" s="268"/>
      <c r="C7" s="268"/>
      <c r="D7" s="268"/>
    </row>
    <row r="8" spans="1:16">
      <c r="A8" s="273"/>
      <c r="B8" s="274" t="s">
        <v>81</v>
      </c>
      <c r="C8" s="275"/>
      <c r="D8" s="276"/>
      <c r="E8" s="275" t="s">
        <v>82</v>
      </c>
      <c r="F8" s="275"/>
      <c r="G8" s="275"/>
      <c r="H8" s="274" t="s">
        <v>83</v>
      </c>
      <c r="I8" s="275"/>
      <c r="J8" s="276"/>
      <c r="K8" s="275" t="s">
        <v>4</v>
      </c>
      <c r="L8" s="275"/>
      <c r="M8" s="275"/>
      <c r="N8" s="274" t="s">
        <v>84</v>
      </c>
      <c r="O8" s="275"/>
      <c r="P8" s="275"/>
    </row>
    <row r="9" spans="1:16">
      <c r="A9" s="277"/>
      <c r="B9" s="278" t="s">
        <v>85</v>
      </c>
      <c r="C9" s="279"/>
      <c r="D9" s="280"/>
      <c r="E9" s="279" t="s">
        <v>85</v>
      </c>
      <c r="F9" s="279"/>
      <c r="G9" s="279"/>
      <c r="H9" s="278" t="s">
        <v>85</v>
      </c>
      <c r="I9" s="279"/>
      <c r="J9" s="280"/>
      <c r="K9" s="281"/>
      <c r="L9" s="281"/>
      <c r="M9" s="281"/>
      <c r="N9" s="278" t="s">
        <v>86</v>
      </c>
      <c r="O9" s="279"/>
      <c r="P9" s="279"/>
    </row>
    <row r="10" spans="1:16">
      <c r="A10" s="277"/>
      <c r="B10" s="278"/>
      <c r="C10" s="279"/>
      <c r="D10" s="280"/>
      <c r="E10" s="279"/>
      <c r="F10" s="279"/>
      <c r="G10" s="279"/>
      <c r="H10" s="282"/>
      <c r="I10" s="283"/>
      <c r="J10" s="284"/>
      <c r="K10" s="281"/>
      <c r="L10" s="281"/>
      <c r="M10" s="281"/>
      <c r="N10" s="282" t="s">
        <v>87</v>
      </c>
      <c r="O10" s="283"/>
      <c r="P10" s="283"/>
    </row>
    <row r="11" spans="1:16" s="289" customFormat="1">
      <c r="A11" s="285"/>
      <c r="B11" s="286" t="s">
        <v>7</v>
      </c>
      <c r="C11" s="287" t="s">
        <v>8</v>
      </c>
      <c r="D11" s="288" t="s">
        <v>4</v>
      </c>
      <c r="E11" s="287" t="s">
        <v>7</v>
      </c>
      <c r="F11" s="287" t="s">
        <v>8</v>
      </c>
      <c r="G11" s="287" t="s">
        <v>4</v>
      </c>
      <c r="H11" s="286" t="s">
        <v>7</v>
      </c>
      <c r="I11" s="287" t="s">
        <v>8</v>
      </c>
      <c r="J11" s="288" t="s">
        <v>4</v>
      </c>
      <c r="K11" s="287" t="s">
        <v>7</v>
      </c>
      <c r="L11" s="287" t="s">
        <v>8</v>
      </c>
      <c r="M11" s="287" t="s">
        <v>4</v>
      </c>
      <c r="N11" s="286" t="s">
        <v>7</v>
      </c>
      <c r="O11" s="287" t="s">
        <v>8</v>
      </c>
      <c r="P11" s="287" t="s">
        <v>4</v>
      </c>
    </row>
    <row r="12" spans="1:16" s="289" customFormat="1" ht="7.5" customHeight="1">
      <c r="B12" s="290"/>
      <c r="C12" s="291"/>
      <c r="D12" s="292"/>
      <c r="E12" s="291"/>
      <c r="F12" s="291"/>
      <c r="G12" s="291"/>
      <c r="H12" s="290"/>
      <c r="I12" s="291"/>
      <c r="J12" s="292"/>
      <c r="K12" s="291"/>
      <c r="L12" s="291"/>
      <c r="M12" s="291"/>
      <c r="N12" s="290"/>
      <c r="O12" s="291"/>
      <c r="P12" s="291"/>
    </row>
    <row r="13" spans="1:16" s="277" customFormat="1" ht="12" customHeight="1">
      <c r="A13" s="293" t="s">
        <v>88</v>
      </c>
      <c r="B13" s="294">
        <f>23</f>
        <v>23</v>
      </c>
      <c r="C13" s="295">
        <f>17</f>
        <v>17</v>
      </c>
      <c r="D13" s="296">
        <f t="shared" ref="D13:D21" si="0">SUM(B13:C13)</f>
        <v>40</v>
      </c>
      <c r="E13" s="295">
        <f>99+412</f>
        <v>511</v>
      </c>
      <c r="F13" s="295">
        <f>159+543</f>
        <v>702</v>
      </c>
      <c r="G13" s="295">
        <f t="shared" ref="G13:G21" si="1">SUM(E13:F13)</f>
        <v>1213</v>
      </c>
      <c r="H13" s="294">
        <f>31+121</f>
        <v>152</v>
      </c>
      <c r="I13" s="295">
        <f>47+229</f>
        <v>276</v>
      </c>
      <c r="J13" s="296">
        <f t="shared" ref="J13:J21" si="2">SUM(H13:I13)</f>
        <v>428</v>
      </c>
      <c r="K13" s="295">
        <f t="shared" ref="K13:L21" si="3">SUM(B13,E13,H13)</f>
        <v>686</v>
      </c>
      <c r="L13" s="295">
        <f t="shared" si="3"/>
        <v>995</v>
      </c>
      <c r="M13" s="295">
        <f t="shared" ref="M13:M21" si="4">SUM(K13:L13)</f>
        <v>1681</v>
      </c>
      <c r="N13" s="294">
        <f>0</f>
        <v>0</v>
      </c>
      <c r="O13" s="295">
        <f>0</f>
        <v>0</v>
      </c>
      <c r="P13" s="295">
        <f t="shared" ref="P13:P21" si="5">SUM(N13:O13)</f>
        <v>0</v>
      </c>
    </row>
    <row r="14" spans="1:16">
      <c r="A14" s="293" t="s">
        <v>62</v>
      </c>
      <c r="B14" s="294">
        <f>219</f>
        <v>219</v>
      </c>
      <c r="C14" s="295">
        <f>97</f>
        <v>97</v>
      </c>
      <c r="D14" s="296">
        <f t="shared" si="0"/>
        <v>316</v>
      </c>
      <c r="E14" s="297">
        <f>312</f>
        <v>312</v>
      </c>
      <c r="F14" s="297">
        <f>360</f>
        <v>360</v>
      </c>
      <c r="G14" s="297">
        <f t="shared" si="1"/>
        <v>672</v>
      </c>
      <c r="H14" s="294">
        <f>273</f>
        <v>273</v>
      </c>
      <c r="I14" s="295">
        <f>426</f>
        <v>426</v>
      </c>
      <c r="J14" s="296">
        <f t="shared" si="2"/>
        <v>699</v>
      </c>
      <c r="K14" s="297">
        <f t="shared" si="3"/>
        <v>804</v>
      </c>
      <c r="L14" s="297">
        <f t="shared" si="3"/>
        <v>883</v>
      </c>
      <c r="M14" s="297">
        <f t="shared" si="4"/>
        <v>1687</v>
      </c>
      <c r="N14" s="294">
        <f>0</f>
        <v>0</v>
      </c>
      <c r="O14" s="295">
        <f>2</f>
        <v>2</v>
      </c>
      <c r="P14" s="295">
        <f t="shared" si="5"/>
        <v>2</v>
      </c>
    </row>
    <row r="15" spans="1:16">
      <c r="A15" s="293" t="s">
        <v>63</v>
      </c>
      <c r="B15" s="294">
        <f>499</f>
        <v>499</v>
      </c>
      <c r="C15" s="295">
        <f>212</f>
        <v>212</v>
      </c>
      <c r="D15" s="296">
        <f t="shared" si="0"/>
        <v>711</v>
      </c>
      <c r="E15" s="297">
        <f>536</f>
        <v>536</v>
      </c>
      <c r="F15" s="297">
        <f>469</f>
        <v>469</v>
      </c>
      <c r="G15" s="297">
        <f t="shared" si="1"/>
        <v>1005</v>
      </c>
      <c r="H15" s="294">
        <f>284</f>
        <v>284</v>
      </c>
      <c r="I15" s="295">
        <f>407</f>
        <v>407</v>
      </c>
      <c r="J15" s="296">
        <f t="shared" si="2"/>
        <v>691</v>
      </c>
      <c r="K15" s="297">
        <f t="shared" si="3"/>
        <v>1319</v>
      </c>
      <c r="L15" s="297">
        <f t="shared" si="3"/>
        <v>1088</v>
      </c>
      <c r="M15" s="297">
        <f t="shared" si="4"/>
        <v>2407</v>
      </c>
      <c r="N15" s="294">
        <f>1+8</f>
        <v>9</v>
      </c>
      <c r="O15" s="295">
        <f>6</f>
        <v>6</v>
      </c>
      <c r="P15" s="295">
        <f t="shared" si="5"/>
        <v>15</v>
      </c>
    </row>
    <row r="16" spans="1:16">
      <c r="A16" s="293" t="s">
        <v>64</v>
      </c>
      <c r="B16" s="294">
        <f>493</f>
        <v>493</v>
      </c>
      <c r="C16" s="295">
        <f>246</f>
        <v>246</v>
      </c>
      <c r="D16" s="296">
        <f t="shared" si="0"/>
        <v>739</v>
      </c>
      <c r="E16" s="297">
        <v>0</v>
      </c>
      <c r="F16" s="297">
        <v>0</v>
      </c>
      <c r="G16" s="297">
        <f t="shared" si="1"/>
        <v>0</v>
      </c>
      <c r="H16" s="294">
        <f>279</f>
        <v>279</v>
      </c>
      <c r="I16" s="295">
        <f>459</f>
        <v>459</v>
      </c>
      <c r="J16" s="296">
        <f t="shared" si="2"/>
        <v>738</v>
      </c>
      <c r="K16" s="297">
        <f t="shared" si="3"/>
        <v>772</v>
      </c>
      <c r="L16" s="297">
        <f t="shared" si="3"/>
        <v>705</v>
      </c>
      <c r="M16" s="297">
        <f t="shared" si="4"/>
        <v>1477</v>
      </c>
      <c r="N16" s="294">
        <f>16</f>
        <v>16</v>
      </c>
      <c r="O16" s="295">
        <f>12</f>
        <v>12</v>
      </c>
      <c r="P16" s="295">
        <f t="shared" si="5"/>
        <v>28</v>
      </c>
    </row>
    <row r="17" spans="1:33">
      <c r="A17" s="293" t="s">
        <v>65</v>
      </c>
      <c r="B17" s="294">
        <f>568</f>
        <v>568</v>
      </c>
      <c r="C17" s="295">
        <f>206</f>
        <v>206</v>
      </c>
      <c r="D17" s="296">
        <f t="shared" si="0"/>
        <v>774</v>
      </c>
      <c r="E17" s="297">
        <v>0</v>
      </c>
      <c r="F17" s="297">
        <v>0</v>
      </c>
      <c r="G17" s="297">
        <f t="shared" si="1"/>
        <v>0</v>
      </c>
      <c r="H17" s="294">
        <f>311</f>
        <v>311</v>
      </c>
      <c r="I17" s="295">
        <f>419</f>
        <v>419</v>
      </c>
      <c r="J17" s="296">
        <f t="shared" si="2"/>
        <v>730</v>
      </c>
      <c r="K17" s="297">
        <f t="shared" si="3"/>
        <v>879</v>
      </c>
      <c r="L17" s="297">
        <f t="shared" si="3"/>
        <v>625</v>
      </c>
      <c r="M17" s="297">
        <f t="shared" si="4"/>
        <v>1504</v>
      </c>
      <c r="N17" s="294">
        <f>31</f>
        <v>31</v>
      </c>
      <c r="O17" s="295">
        <f>21</f>
        <v>21</v>
      </c>
      <c r="P17" s="295">
        <f t="shared" si="5"/>
        <v>52</v>
      </c>
    </row>
    <row r="18" spans="1:33">
      <c r="A18" s="293" t="s">
        <v>66</v>
      </c>
      <c r="B18" s="294">
        <f>612</f>
        <v>612</v>
      </c>
      <c r="C18" s="295">
        <f>158</f>
        <v>158</v>
      </c>
      <c r="D18" s="296">
        <f t="shared" si="0"/>
        <v>770</v>
      </c>
      <c r="E18" s="297">
        <v>0</v>
      </c>
      <c r="F18" s="297">
        <v>0</v>
      </c>
      <c r="G18" s="297">
        <f t="shared" si="1"/>
        <v>0</v>
      </c>
      <c r="H18" s="294">
        <f>326</f>
        <v>326</v>
      </c>
      <c r="I18" s="295">
        <f>405</f>
        <v>405</v>
      </c>
      <c r="J18" s="296">
        <f t="shared" si="2"/>
        <v>731</v>
      </c>
      <c r="K18" s="297">
        <f t="shared" si="3"/>
        <v>938</v>
      </c>
      <c r="L18" s="297">
        <f t="shared" si="3"/>
        <v>563</v>
      </c>
      <c r="M18" s="297">
        <f t="shared" si="4"/>
        <v>1501</v>
      </c>
      <c r="N18" s="294">
        <f>2+34</f>
        <v>36</v>
      </c>
      <c r="O18" s="295">
        <f>1+11</f>
        <v>12</v>
      </c>
      <c r="P18" s="295">
        <f t="shared" si="5"/>
        <v>48</v>
      </c>
    </row>
    <row r="19" spans="1:33">
      <c r="A19" s="293" t="s">
        <v>67</v>
      </c>
      <c r="B19" s="294">
        <f>549</f>
        <v>549</v>
      </c>
      <c r="C19" s="295">
        <f>111</f>
        <v>111</v>
      </c>
      <c r="D19" s="296">
        <f t="shared" si="0"/>
        <v>660</v>
      </c>
      <c r="E19" s="297">
        <v>0</v>
      </c>
      <c r="F19" s="297">
        <v>0</v>
      </c>
      <c r="G19" s="297">
        <f t="shared" si="1"/>
        <v>0</v>
      </c>
      <c r="H19" s="294">
        <f>239</f>
        <v>239</v>
      </c>
      <c r="I19" s="295">
        <f>401</f>
        <v>401</v>
      </c>
      <c r="J19" s="296">
        <f t="shared" si="2"/>
        <v>640</v>
      </c>
      <c r="K19" s="297">
        <f t="shared" si="3"/>
        <v>788</v>
      </c>
      <c r="L19" s="297">
        <f t="shared" si="3"/>
        <v>512</v>
      </c>
      <c r="M19" s="297">
        <f t="shared" si="4"/>
        <v>1300</v>
      </c>
      <c r="N19" s="294">
        <f>1+27</f>
        <v>28</v>
      </c>
      <c r="O19" s="295">
        <f>8</f>
        <v>8</v>
      </c>
      <c r="P19" s="295">
        <f t="shared" si="5"/>
        <v>36</v>
      </c>
    </row>
    <row r="20" spans="1:33">
      <c r="A20" s="293" t="s">
        <v>89</v>
      </c>
      <c r="B20" s="294">
        <f>475</f>
        <v>475</v>
      </c>
      <c r="C20" s="295">
        <f>67</f>
        <v>67</v>
      </c>
      <c r="D20" s="296">
        <f t="shared" si="0"/>
        <v>542</v>
      </c>
      <c r="E20" s="297">
        <v>0</v>
      </c>
      <c r="F20" s="297">
        <v>0</v>
      </c>
      <c r="G20" s="297">
        <f t="shared" si="1"/>
        <v>0</v>
      </c>
      <c r="H20" s="294">
        <f>144</f>
        <v>144</v>
      </c>
      <c r="I20" s="295">
        <f>127</f>
        <v>127</v>
      </c>
      <c r="J20" s="296">
        <f t="shared" si="2"/>
        <v>271</v>
      </c>
      <c r="K20" s="297">
        <f t="shared" si="3"/>
        <v>619</v>
      </c>
      <c r="L20" s="297">
        <f t="shared" si="3"/>
        <v>194</v>
      </c>
      <c r="M20" s="297">
        <f t="shared" si="4"/>
        <v>813</v>
      </c>
      <c r="N20" s="294">
        <f>19</f>
        <v>19</v>
      </c>
      <c r="O20" s="295">
        <f>4</f>
        <v>4</v>
      </c>
      <c r="P20" s="295">
        <f t="shared" si="5"/>
        <v>23</v>
      </c>
    </row>
    <row r="21" spans="1:33">
      <c r="A21" s="293" t="s">
        <v>90</v>
      </c>
      <c r="B21" s="294">
        <f>27</f>
        <v>27</v>
      </c>
      <c r="C21" s="295">
        <f>6</f>
        <v>6</v>
      </c>
      <c r="D21" s="296">
        <f t="shared" si="0"/>
        <v>33</v>
      </c>
      <c r="E21" s="297">
        <v>0</v>
      </c>
      <c r="F21" s="297">
        <v>0</v>
      </c>
      <c r="G21" s="297">
        <f t="shared" si="1"/>
        <v>0</v>
      </c>
      <c r="H21" s="294">
        <f>2</f>
        <v>2</v>
      </c>
      <c r="I21" s="295">
        <f>0</f>
        <v>0</v>
      </c>
      <c r="J21" s="296">
        <f t="shared" si="2"/>
        <v>2</v>
      </c>
      <c r="K21" s="297">
        <f t="shared" si="3"/>
        <v>29</v>
      </c>
      <c r="L21" s="297">
        <f t="shared" si="3"/>
        <v>6</v>
      </c>
      <c r="M21" s="297">
        <f t="shared" si="4"/>
        <v>35</v>
      </c>
      <c r="N21" s="294">
        <f>0</f>
        <v>0</v>
      </c>
      <c r="O21" s="295">
        <f>0</f>
        <v>0</v>
      </c>
      <c r="P21" s="295">
        <f t="shared" si="5"/>
        <v>0</v>
      </c>
    </row>
    <row r="22" spans="1:33" s="270" customFormat="1">
      <c r="A22" s="272" t="s">
        <v>4</v>
      </c>
      <c r="B22" s="298">
        <f t="shared" ref="B22:P22" si="6">SUM(B13:B21)</f>
        <v>3465</v>
      </c>
      <c r="C22" s="299">
        <f t="shared" si="6"/>
        <v>1120</v>
      </c>
      <c r="D22" s="300">
        <f t="shared" si="6"/>
        <v>4585</v>
      </c>
      <c r="E22" s="299">
        <f t="shared" si="6"/>
        <v>1359</v>
      </c>
      <c r="F22" s="299">
        <f t="shared" si="6"/>
        <v>1531</v>
      </c>
      <c r="G22" s="299">
        <f t="shared" si="6"/>
        <v>2890</v>
      </c>
      <c r="H22" s="298">
        <f t="shared" si="6"/>
        <v>2010</v>
      </c>
      <c r="I22" s="299">
        <f t="shared" si="6"/>
        <v>2920</v>
      </c>
      <c r="J22" s="300">
        <f t="shared" si="6"/>
        <v>4930</v>
      </c>
      <c r="K22" s="299">
        <f t="shared" si="6"/>
        <v>6834</v>
      </c>
      <c r="L22" s="299">
        <f t="shared" si="6"/>
        <v>5571</v>
      </c>
      <c r="M22" s="299">
        <f t="shared" si="6"/>
        <v>12405</v>
      </c>
      <c r="N22" s="298">
        <f t="shared" si="6"/>
        <v>139</v>
      </c>
      <c r="O22" s="299">
        <f t="shared" si="6"/>
        <v>65</v>
      </c>
      <c r="P22" s="299">
        <f t="shared" si="6"/>
        <v>204</v>
      </c>
    </row>
    <row r="23" spans="1:33" ht="6.75" customHeight="1"/>
    <row r="24" spans="1:33" s="266" customFormat="1">
      <c r="A24" s="266" t="s">
        <v>79</v>
      </c>
      <c r="T24" s="270"/>
      <c r="U24" s="270"/>
      <c r="V24" s="270"/>
      <c r="W24" s="270"/>
      <c r="X24" s="270"/>
      <c r="Y24" s="270"/>
      <c r="Z24" s="270"/>
      <c r="AA24" s="270"/>
      <c r="AB24" s="270"/>
      <c r="AC24" s="270"/>
      <c r="AD24" s="270"/>
      <c r="AE24" s="270"/>
      <c r="AF24" s="270"/>
      <c r="AG24" s="270"/>
    </row>
    <row r="25" spans="1:33" ht="7.5" customHeight="1"/>
    <row r="26" spans="1:33">
      <c r="A26" s="269" t="s">
        <v>80</v>
      </c>
    </row>
  </sheetData>
  <mergeCells count="3">
    <mergeCell ref="A2:P2"/>
    <mergeCell ref="A4:P4"/>
    <mergeCell ref="A6:P6"/>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1"/>
  <sheetViews>
    <sheetView zoomScaleNormal="100" workbookViewId="0"/>
  </sheetViews>
  <sheetFormatPr defaultRowHeight="12.75"/>
  <cols>
    <col min="1" max="1" width="5.28515625" style="317" customWidth="1"/>
    <col min="2" max="2" width="23.28515625" style="317" bestFit="1" customWidth="1"/>
    <col min="3" max="16384" width="9.140625" style="317"/>
  </cols>
  <sheetData>
    <row r="2" spans="1:9">
      <c r="A2" s="318" t="s">
        <v>112</v>
      </c>
    </row>
    <row r="4" spans="1:9">
      <c r="A4" s="318" t="s">
        <v>102</v>
      </c>
      <c r="D4" s="341" t="s">
        <v>22</v>
      </c>
      <c r="E4" s="343"/>
      <c r="F4" s="342"/>
      <c r="G4" s="4"/>
      <c r="H4" s="341" t="s">
        <v>23</v>
      </c>
      <c r="I4" s="342"/>
    </row>
    <row r="5" spans="1:9">
      <c r="D5" s="15" t="s">
        <v>7</v>
      </c>
      <c r="E5" s="16" t="s">
        <v>8</v>
      </c>
      <c r="F5" s="30" t="s">
        <v>4</v>
      </c>
      <c r="G5" s="17"/>
      <c r="H5" s="15" t="s">
        <v>7</v>
      </c>
      <c r="I5" s="30" t="s">
        <v>8</v>
      </c>
    </row>
    <row r="6" spans="1:9">
      <c r="B6" s="318" t="s">
        <v>103</v>
      </c>
      <c r="D6" s="319"/>
      <c r="E6" s="320"/>
      <c r="F6" s="321"/>
      <c r="H6" s="319"/>
      <c r="I6" s="321"/>
    </row>
    <row r="7" spans="1:9">
      <c r="B7" s="317" t="s">
        <v>11</v>
      </c>
      <c r="D7" s="322">
        <v>109</v>
      </c>
      <c r="E7" s="323">
        <v>3967</v>
      </c>
      <c r="F7" s="324">
        <v>4076</v>
      </c>
      <c r="H7" s="325">
        <v>2.674190382728165E-2</v>
      </c>
      <c r="I7" s="326">
        <v>0.9732580961727183</v>
      </c>
    </row>
    <row r="8" spans="1:9">
      <c r="B8" s="317" t="s">
        <v>104</v>
      </c>
      <c r="D8" s="322">
        <v>112</v>
      </c>
      <c r="E8" s="323">
        <v>4397</v>
      </c>
      <c r="F8" s="324">
        <v>4509</v>
      </c>
      <c r="H8" s="325">
        <v>2.4839210467952982E-2</v>
      </c>
      <c r="I8" s="326">
        <v>0.97516078953204699</v>
      </c>
    </row>
    <row r="9" spans="1:9">
      <c r="B9" s="317" t="s">
        <v>105</v>
      </c>
      <c r="D9" s="322">
        <v>140</v>
      </c>
      <c r="E9" s="323">
        <v>4694</v>
      </c>
      <c r="F9" s="324">
        <v>4834</v>
      </c>
      <c r="H9" s="325">
        <v>2.8961522548613984E-2</v>
      </c>
      <c r="I9" s="326">
        <v>0.97103847745138605</v>
      </c>
    </row>
    <row r="10" spans="1:9">
      <c r="B10" s="317" t="s">
        <v>94</v>
      </c>
      <c r="D10" s="322">
        <v>135</v>
      </c>
      <c r="E10" s="323">
        <v>4635</v>
      </c>
      <c r="F10" s="324">
        <v>4770</v>
      </c>
      <c r="H10" s="325">
        <v>2.8301886792452831E-2</v>
      </c>
      <c r="I10" s="326">
        <v>0.97169811320754718</v>
      </c>
    </row>
    <row r="11" spans="1:9">
      <c r="B11" s="317" t="s">
        <v>106</v>
      </c>
      <c r="D11" s="322">
        <v>150</v>
      </c>
      <c r="E11" s="323">
        <v>4704</v>
      </c>
      <c r="F11" s="324">
        <v>4854</v>
      </c>
      <c r="H11" s="325">
        <v>3.0902348578491966E-2</v>
      </c>
      <c r="I11" s="326">
        <v>0.96909765142150806</v>
      </c>
    </row>
    <row r="12" spans="1:9">
      <c r="D12" s="319"/>
      <c r="E12" s="320"/>
      <c r="F12" s="321"/>
      <c r="H12" s="319"/>
      <c r="I12" s="321"/>
    </row>
    <row r="13" spans="1:9">
      <c r="B13" s="318" t="s">
        <v>107</v>
      </c>
      <c r="D13" s="319"/>
      <c r="E13" s="320"/>
      <c r="F13" s="321"/>
      <c r="H13" s="319"/>
      <c r="I13" s="321"/>
    </row>
    <row r="14" spans="1:9">
      <c r="B14" s="317" t="s">
        <v>11</v>
      </c>
      <c r="D14" s="322">
        <v>933</v>
      </c>
      <c r="E14" s="323">
        <v>4833</v>
      </c>
      <c r="F14" s="324">
        <v>5766</v>
      </c>
      <c r="H14" s="325">
        <v>0.16181061394380852</v>
      </c>
      <c r="I14" s="326">
        <v>0.83818938605619142</v>
      </c>
    </row>
    <row r="15" spans="1:9">
      <c r="B15" s="317" t="s">
        <v>104</v>
      </c>
      <c r="D15" s="322">
        <v>1042</v>
      </c>
      <c r="E15" s="323">
        <v>5400</v>
      </c>
      <c r="F15" s="324">
        <v>6442</v>
      </c>
      <c r="H15" s="325">
        <v>0.16175100900341507</v>
      </c>
      <c r="I15" s="326">
        <v>0.8382489909965849</v>
      </c>
    </row>
    <row r="16" spans="1:9">
      <c r="B16" s="317" t="s">
        <v>105</v>
      </c>
      <c r="D16" s="322">
        <v>1091</v>
      </c>
      <c r="E16" s="323">
        <v>5783</v>
      </c>
      <c r="F16" s="324">
        <v>6874</v>
      </c>
      <c r="H16" s="325">
        <v>0.15871399476287459</v>
      </c>
      <c r="I16" s="326">
        <v>0.84128600523712538</v>
      </c>
    </row>
    <row r="17" spans="2:9">
      <c r="B17" s="317" t="s">
        <v>94</v>
      </c>
      <c r="D17" s="322">
        <v>1126</v>
      </c>
      <c r="E17" s="323">
        <v>5873</v>
      </c>
      <c r="F17" s="324">
        <v>6999</v>
      </c>
      <c r="H17" s="325">
        <v>0.16088012573224747</v>
      </c>
      <c r="I17" s="326">
        <v>0.83911987426775259</v>
      </c>
    </row>
    <row r="18" spans="2:9">
      <c r="B18" s="317" t="s">
        <v>106</v>
      </c>
      <c r="D18" s="322">
        <v>1234</v>
      </c>
      <c r="E18" s="323">
        <v>5866</v>
      </c>
      <c r="F18" s="324">
        <v>7100</v>
      </c>
      <c r="H18" s="325">
        <v>0.17380281690140845</v>
      </c>
      <c r="I18" s="326">
        <v>0.82619718309859158</v>
      </c>
    </row>
    <row r="19" spans="2:9">
      <c r="D19" s="322"/>
      <c r="E19" s="323"/>
      <c r="F19" s="324"/>
      <c r="H19" s="325"/>
      <c r="I19" s="326"/>
    </row>
    <row r="20" spans="2:9">
      <c r="B20" s="318" t="s">
        <v>113</v>
      </c>
      <c r="D20" s="322"/>
      <c r="E20" s="323"/>
      <c r="F20" s="324"/>
      <c r="H20" s="325"/>
      <c r="I20" s="326"/>
    </row>
    <row r="21" spans="2:9">
      <c r="B21" s="317" t="s">
        <v>11</v>
      </c>
      <c r="D21" s="322">
        <f>D7+D14</f>
        <v>1042</v>
      </c>
      <c r="E21" s="323">
        <f t="shared" ref="E21:F21" si="0">E7+E14</f>
        <v>8800</v>
      </c>
      <c r="F21" s="324">
        <f t="shared" si="0"/>
        <v>9842</v>
      </c>
      <c r="H21" s="325">
        <f>D21/F21</f>
        <v>0.1058727900833164</v>
      </c>
      <c r="I21" s="326">
        <f>E21/F21</f>
        <v>0.8941272099166836</v>
      </c>
    </row>
    <row r="22" spans="2:9">
      <c r="B22" s="317" t="s">
        <v>104</v>
      </c>
      <c r="D22" s="322">
        <f t="shared" ref="D22:F25" si="1">D8+D15</f>
        <v>1154</v>
      </c>
      <c r="E22" s="323">
        <f t="shared" si="1"/>
        <v>9797</v>
      </c>
      <c r="F22" s="324">
        <f t="shared" si="1"/>
        <v>10951</v>
      </c>
      <c r="H22" s="325">
        <f t="shared" ref="H22:H25" si="2">D22/F22</f>
        <v>0.10537850424618757</v>
      </c>
      <c r="I22" s="326">
        <f t="shared" ref="I22:I25" si="3">E22/F22</f>
        <v>0.89462149575381245</v>
      </c>
    </row>
    <row r="23" spans="2:9">
      <c r="B23" s="317" t="s">
        <v>105</v>
      </c>
      <c r="D23" s="322">
        <f t="shared" si="1"/>
        <v>1231</v>
      </c>
      <c r="E23" s="323">
        <f t="shared" si="1"/>
        <v>10477</v>
      </c>
      <c r="F23" s="324">
        <f t="shared" si="1"/>
        <v>11708</v>
      </c>
      <c r="H23" s="325">
        <f t="shared" si="2"/>
        <v>0.10514178339596857</v>
      </c>
      <c r="I23" s="326">
        <f t="shared" si="3"/>
        <v>0.89485821660403142</v>
      </c>
    </row>
    <row r="24" spans="2:9">
      <c r="B24" s="317" t="s">
        <v>94</v>
      </c>
      <c r="D24" s="322">
        <f t="shared" si="1"/>
        <v>1261</v>
      </c>
      <c r="E24" s="323">
        <f t="shared" si="1"/>
        <v>10508</v>
      </c>
      <c r="F24" s="324">
        <f t="shared" si="1"/>
        <v>11769</v>
      </c>
      <c r="H24" s="325">
        <f t="shared" si="2"/>
        <v>0.10714589174951143</v>
      </c>
      <c r="I24" s="326">
        <f t="shared" si="3"/>
        <v>0.89285410825048861</v>
      </c>
    </row>
    <row r="25" spans="2:9">
      <c r="B25" s="317" t="s">
        <v>106</v>
      </c>
      <c r="D25" s="322">
        <f t="shared" si="1"/>
        <v>1384</v>
      </c>
      <c r="E25" s="323">
        <f t="shared" si="1"/>
        <v>10570</v>
      </c>
      <c r="F25" s="324">
        <f t="shared" si="1"/>
        <v>11954</v>
      </c>
      <c r="H25" s="325">
        <f t="shared" si="2"/>
        <v>0.11577714572528024</v>
      </c>
      <c r="I25" s="326">
        <f t="shared" si="3"/>
        <v>0.88422285427471981</v>
      </c>
    </row>
    <row r="26" spans="2:9">
      <c r="D26" s="322"/>
      <c r="E26" s="323"/>
      <c r="F26" s="324"/>
      <c r="H26" s="325"/>
      <c r="I26" s="326"/>
    </row>
    <row r="27" spans="2:9">
      <c r="D27" s="319"/>
      <c r="E27" s="320"/>
      <c r="F27" s="321"/>
      <c r="H27" s="319"/>
      <c r="I27" s="321"/>
    </row>
    <row r="28" spans="2:9">
      <c r="B28" s="318" t="s">
        <v>108</v>
      </c>
      <c r="D28" s="319"/>
      <c r="E28" s="320"/>
      <c r="F28" s="321"/>
      <c r="H28" s="319"/>
      <c r="I28" s="321"/>
    </row>
    <row r="29" spans="2:9">
      <c r="B29" s="317" t="s">
        <v>11</v>
      </c>
      <c r="D29" s="322">
        <v>4797</v>
      </c>
      <c r="E29" s="323">
        <v>5230</v>
      </c>
      <c r="F29" s="324">
        <v>10027</v>
      </c>
      <c r="H29" s="325">
        <v>0.47840829759648945</v>
      </c>
      <c r="I29" s="326">
        <v>0.52159170240351049</v>
      </c>
    </row>
    <row r="30" spans="2:9">
      <c r="B30" s="317" t="s">
        <v>104</v>
      </c>
      <c r="D30" s="322">
        <v>5178</v>
      </c>
      <c r="E30" s="323">
        <v>5592</v>
      </c>
      <c r="F30" s="324">
        <v>10770</v>
      </c>
      <c r="H30" s="325">
        <v>0.48077994428969362</v>
      </c>
      <c r="I30" s="326">
        <v>0.51922005571030638</v>
      </c>
    </row>
    <row r="31" spans="2:9">
      <c r="B31" s="317" t="s">
        <v>105</v>
      </c>
      <c r="D31" s="322">
        <v>5232</v>
      </c>
      <c r="E31" s="323">
        <v>5592</v>
      </c>
      <c r="F31" s="324">
        <v>10824</v>
      </c>
      <c r="H31" s="325">
        <v>0.48337028824833705</v>
      </c>
      <c r="I31" s="326">
        <v>0.51662971175166295</v>
      </c>
    </row>
    <row r="32" spans="2:9">
      <c r="B32" s="317" t="s">
        <v>94</v>
      </c>
      <c r="D32" s="322">
        <v>5112</v>
      </c>
      <c r="E32" s="323">
        <v>5439</v>
      </c>
      <c r="F32" s="324">
        <v>10551</v>
      </c>
      <c r="H32" s="325">
        <v>0.48450383849872047</v>
      </c>
      <c r="I32" s="326">
        <v>0.51549616150127953</v>
      </c>
    </row>
    <row r="33" spans="1:9">
      <c r="B33" s="317" t="s">
        <v>106</v>
      </c>
      <c r="D33" s="322">
        <v>5063</v>
      </c>
      <c r="E33" s="323">
        <v>5204</v>
      </c>
      <c r="F33" s="324">
        <v>10267</v>
      </c>
      <c r="H33" s="325">
        <v>0.49313333982662899</v>
      </c>
      <c r="I33" s="326">
        <v>0.50686666017337101</v>
      </c>
    </row>
    <row r="34" spans="1:9">
      <c r="D34" s="319"/>
      <c r="E34" s="320"/>
      <c r="F34" s="321"/>
      <c r="H34" s="319"/>
      <c r="I34" s="321"/>
    </row>
    <row r="35" spans="1:9">
      <c r="D35" s="319"/>
      <c r="E35" s="320"/>
      <c r="F35" s="321"/>
      <c r="H35" s="319"/>
      <c r="I35" s="321"/>
    </row>
    <row r="36" spans="1:9">
      <c r="A36" s="318" t="s">
        <v>109</v>
      </c>
      <c r="D36" s="319"/>
      <c r="E36" s="320"/>
      <c r="F36" s="321"/>
      <c r="H36" s="319"/>
      <c r="I36" s="321"/>
    </row>
    <row r="37" spans="1:9">
      <c r="D37" s="319"/>
      <c r="E37" s="320"/>
      <c r="F37" s="321"/>
      <c r="H37" s="319"/>
      <c r="I37" s="321"/>
    </row>
    <row r="38" spans="1:9">
      <c r="B38" s="318" t="s">
        <v>110</v>
      </c>
      <c r="D38" s="319"/>
      <c r="E38" s="320"/>
      <c r="F38" s="321"/>
      <c r="H38" s="319"/>
      <c r="I38" s="321"/>
    </row>
    <row r="39" spans="1:9">
      <c r="B39" s="317" t="s">
        <v>11</v>
      </c>
      <c r="D39" s="322">
        <v>644</v>
      </c>
      <c r="E39" s="323">
        <v>1268</v>
      </c>
      <c r="F39" s="324">
        <v>1912</v>
      </c>
      <c r="H39" s="325">
        <v>0.33682008368200839</v>
      </c>
      <c r="I39" s="326">
        <v>0.66317991631799167</v>
      </c>
    </row>
    <row r="40" spans="1:9">
      <c r="B40" s="317" t="s">
        <v>104</v>
      </c>
      <c r="D40" s="322">
        <v>675</v>
      </c>
      <c r="E40" s="323">
        <v>1356</v>
      </c>
      <c r="F40" s="324">
        <v>2031</v>
      </c>
      <c r="H40" s="325">
        <v>0.33234859675036926</v>
      </c>
      <c r="I40" s="326">
        <v>0.66765140324963068</v>
      </c>
    </row>
    <row r="41" spans="1:9">
      <c r="B41" s="317" t="s">
        <v>105</v>
      </c>
      <c r="D41" s="322">
        <v>624</v>
      </c>
      <c r="E41" s="323">
        <v>1325</v>
      </c>
      <c r="F41" s="324">
        <v>1949</v>
      </c>
      <c r="H41" s="325">
        <v>0.32016418676244229</v>
      </c>
      <c r="I41" s="326">
        <v>0.67983581323755771</v>
      </c>
    </row>
    <row r="42" spans="1:9">
      <c r="B42" s="317" t="s">
        <v>94</v>
      </c>
      <c r="D42" s="322">
        <v>630</v>
      </c>
      <c r="E42" s="323">
        <v>1275</v>
      </c>
      <c r="F42" s="324">
        <v>1905</v>
      </c>
      <c r="H42" s="325">
        <v>0.33070866141732286</v>
      </c>
      <c r="I42" s="326">
        <v>0.6692913385826772</v>
      </c>
    </row>
    <row r="43" spans="1:9">
      <c r="B43" s="317" t="s">
        <v>106</v>
      </c>
      <c r="D43" s="322">
        <v>623</v>
      </c>
      <c r="E43" s="323">
        <v>1303</v>
      </c>
      <c r="F43" s="324">
        <v>1926</v>
      </c>
      <c r="H43" s="325">
        <v>0.32346832814122534</v>
      </c>
      <c r="I43" s="326">
        <v>0.67653167185877461</v>
      </c>
    </row>
    <row r="44" spans="1:9">
      <c r="D44" s="319"/>
      <c r="E44" s="320"/>
      <c r="F44" s="321"/>
      <c r="H44" s="319"/>
      <c r="I44" s="321"/>
    </row>
    <row r="45" spans="1:9">
      <c r="B45" s="318" t="s">
        <v>111</v>
      </c>
      <c r="D45" s="319"/>
      <c r="E45" s="320"/>
      <c r="F45" s="321"/>
      <c r="H45" s="319"/>
      <c r="I45" s="321"/>
    </row>
    <row r="46" spans="1:9">
      <c r="B46" s="317" t="s">
        <v>11</v>
      </c>
      <c r="D46" s="322">
        <v>4</v>
      </c>
      <c r="E46" s="323">
        <v>16</v>
      </c>
      <c r="F46" s="324">
        <v>20</v>
      </c>
      <c r="H46" s="325">
        <v>0.2</v>
      </c>
      <c r="I46" s="326">
        <v>0.8</v>
      </c>
    </row>
    <row r="47" spans="1:9">
      <c r="B47" s="317" t="s">
        <v>104</v>
      </c>
      <c r="D47" s="322">
        <v>4</v>
      </c>
      <c r="E47" s="323">
        <v>13</v>
      </c>
      <c r="F47" s="324">
        <v>17</v>
      </c>
      <c r="H47" s="325">
        <v>0.23529411764705882</v>
      </c>
      <c r="I47" s="326">
        <v>0.76470588235294112</v>
      </c>
    </row>
    <row r="48" spans="1:9">
      <c r="B48" s="317" t="s">
        <v>105</v>
      </c>
      <c r="D48" s="322">
        <v>5</v>
      </c>
      <c r="E48" s="323">
        <v>15</v>
      </c>
      <c r="F48" s="324">
        <v>20</v>
      </c>
      <c r="H48" s="325">
        <v>0.25</v>
      </c>
      <c r="I48" s="326">
        <v>0.75</v>
      </c>
    </row>
    <row r="49" spans="1:9">
      <c r="B49" s="317" t="s">
        <v>94</v>
      </c>
      <c r="D49" s="322">
        <v>5</v>
      </c>
      <c r="E49" s="323">
        <v>14</v>
      </c>
      <c r="F49" s="324">
        <v>19</v>
      </c>
      <c r="H49" s="325">
        <v>0.26315789473684209</v>
      </c>
      <c r="I49" s="326">
        <v>0.73684210526315785</v>
      </c>
    </row>
    <row r="50" spans="1:9">
      <c r="B50" s="317" t="s">
        <v>106</v>
      </c>
      <c r="D50" s="322">
        <v>4</v>
      </c>
      <c r="E50" s="323">
        <v>22</v>
      </c>
      <c r="F50" s="324">
        <v>26</v>
      </c>
      <c r="H50" s="325">
        <v>0.15384615384615385</v>
      </c>
      <c r="I50" s="326">
        <v>0.84615384615384615</v>
      </c>
    </row>
    <row r="51" spans="1:9">
      <c r="D51" s="319"/>
      <c r="E51" s="320"/>
      <c r="F51" s="321"/>
      <c r="H51" s="319"/>
      <c r="I51" s="321"/>
    </row>
    <row r="52" spans="1:9">
      <c r="D52" s="319"/>
      <c r="E52" s="320"/>
      <c r="F52" s="321"/>
      <c r="H52" s="319"/>
      <c r="I52" s="321"/>
    </row>
    <row r="53" spans="1:9">
      <c r="A53" s="318" t="s">
        <v>4</v>
      </c>
      <c r="D53" s="319"/>
      <c r="E53" s="320"/>
      <c r="F53" s="321"/>
      <c r="H53" s="319"/>
      <c r="I53" s="321"/>
    </row>
    <row r="54" spans="1:9">
      <c r="B54" s="317" t="s">
        <v>11</v>
      </c>
      <c r="D54" s="322">
        <f t="shared" ref="D54:F58" si="4">D7+D14+D29+D39+D46</f>
        <v>6487</v>
      </c>
      <c r="E54" s="323">
        <f t="shared" si="4"/>
        <v>15314</v>
      </c>
      <c r="F54" s="324">
        <f t="shared" si="4"/>
        <v>21801</v>
      </c>
      <c r="H54" s="325">
        <f>D54/F54</f>
        <v>0.29755515802027432</v>
      </c>
      <c r="I54" s="326">
        <f>E54/F54</f>
        <v>0.70244484197972568</v>
      </c>
    </row>
    <row r="55" spans="1:9">
      <c r="B55" s="317" t="s">
        <v>104</v>
      </c>
      <c r="D55" s="322">
        <f t="shared" si="4"/>
        <v>7011</v>
      </c>
      <c r="E55" s="323">
        <f t="shared" si="4"/>
        <v>16758</v>
      </c>
      <c r="F55" s="324">
        <f t="shared" si="4"/>
        <v>23769</v>
      </c>
      <c r="H55" s="325">
        <f t="shared" ref="H55:H58" si="5">D55/F55</f>
        <v>0.29496402877697842</v>
      </c>
      <c r="I55" s="326">
        <f t="shared" ref="I55:I58" si="6">E55/F55</f>
        <v>0.70503597122302153</v>
      </c>
    </row>
    <row r="56" spans="1:9">
      <c r="B56" s="317" t="s">
        <v>105</v>
      </c>
      <c r="D56" s="322">
        <f t="shared" si="4"/>
        <v>7092</v>
      </c>
      <c r="E56" s="323">
        <f t="shared" si="4"/>
        <v>17409</v>
      </c>
      <c r="F56" s="324">
        <f t="shared" si="4"/>
        <v>24501</v>
      </c>
      <c r="H56" s="325">
        <f t="shared" si="5"/>
        <v>0.28945757316027915</v>
      </c>
      <c r="I56" s="326">
        <f t="shared" si="6"/>
        <v>0.7105424268397208</v>
      </c>
    </row>
    <row r="57" spans="1:9">
      <c r="B57" s="317" t="s">
        <v>94</v>
      </c>
      <c r="D57" s="322">
        <f t="shared" si="4"/>
        <v>7008</v>
      </c>
      <c r="E57" s="323">
        <f t="shared" si="4"/>
        <v>17236</v>
      </c>
      <c r="F57" s="324">
        <f t="shared" si="4"/>
        <v>24244</v>
      </c>
      <c r="H57" s="325">
        <f t="shared" si="5"/>
        <v>0.28906121102128363</v>
      </c>
      <c r="I57" s="326">
        <f t="shared" si="6"/>
        <v>0.71093878897871643</v>
      </c>
    </row>
    <row r="58" spans="1:9">
      <c r="B58" s="317" t="s">
        <v>106</v>
      </c>
      <c r="D58" s="327">
        <f t="shared" si="4"/>
        <v>7074</v>
      </c>
      <c r="E58" s="328">
        <f t="shared" si="4"/>
        <v>17099</v>
      </c>
      <c r="F58" s="329">
        <f t="shared" si="4"/>
        <v>24173</v>
      </c>
      <c r="H58" s="330">
        <f t="shared" si="5"/>
        <v>0.29264054937326772</v>
      </c>
      <c r="I58" s="331">
        <f t="shared" si="6"/>
        <v>0.70735945062673233</v>
      </c>
    </row>
    <row r="61" spans="1:9">
      <c r="A61" s="317" t="s">
        <v>118</v>
      </c>
    </row>
  </sheetData>
  <mergeCells count="2">
    <mergeCell ref="H4:I4"/>
    <mergeCell ref="D4: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6</vt:i4>
      </vt:variant>
    </vt:vector>
  </HeadingPairs>
  <TitlesOfParts>
    <vt:vector size="14" baseType="lpstr">
      <vt:lpstr>1 TOELICHTING</vt:lpstr>
      <vt:lpstr>2 evolutie personeelsleden</vt:lpstr>
      <vt:lpstr>3 personen met volledige opdr.</vt:lpstr>
      <vt:lpstr>3b personen met opdracht detail</vt:lpstr>
      <vt:lpstr>4 leeftijdsgegeven per geslacht</vt:lpstr>
      <vt:lpstr>5 bestuurspersoneel per niveau</vt:lpstr>
      <vt:lpstr>6 universiteiten</vt:lpstr>
      <vt:lpstr>7 lerarenopleiding</vt:lpstr>
      <vt:lpstr>'1 TOELICHTING'!Afdrukbereik</vt:lpstr>
      <vt:lpstr>'2 evolutie personeelsleden'!Afdrukbereik</vt:lpstr>
      <vt:lpstr>'3 personen met volledige opdr.'!Afdrukbereik</vt:lpstr>
      <vt:lpstr>'4 leeftijdsgegeven per geslacht'!Afdrukbereik</vt:lpstr>
      <vt:lpstr>'5 bestuurspersoneel per niveau'!Afdrukbereik</vt:lpstr>
      <vt:lpstr>'6 universiteiten'!Afdrukbereik</vt:lpstr>
    </vt:vector>
  </TitlesOfParts>
  <Company>Vlaamse Overheid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rosseech</dc:creator>
  <cp:lastModifiedBy>Tytgat, Caroline</cp:lastModifiedBy>
  <cp:lastPrinted>2014-12-04T07:39:16Z</cp:lastPrinted>
  <dcterms:created xsi:type="dcterms:W3CDTF">2011-11-08T15:15:59Z</dcterms:created>
  <dcterms:modified xsi:type="dcterms:W3CDTF">2014-12-04T09:04:44Z</dcterms:modified>
</cp:coreProperties>
</file>