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xr:revisionPtr revIDLastSave="0" documentId="8_{B44F72AF-3080-499A-AB70-FE62BC3EE6A4}" xr6:coauthVersionLast="31" xr6:coauthVersionMax="31" xr10:uidLastSave="{00000000-0000-0000-0000-000000000000}"/>
  <bookViews>
    <workbookView xWindow="0" yWindow="0" windowWidth="19200" windowHeight="7350" xr2:uid="{00000000-000D-0000-FFFF-FFFF00000000}"/>
  </bookViews>
  <sheets>
    <sheet name="Blad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C11" i="1"/>
  <c r="G14" i="1" l="1"/>
  <c r="F14" i="1"/>
  <c r="G10" i="1"/>
  <c r="F9" i="1"/>
  <c r="G9" i="1"/>
  <c r="G8" i="1"/>
  <c r="F8" i="1"/>
  <c r="G7" i="1"/>
  <c r="F7" i="1"/>
  <c r="F12" i="1" s="1"/>
  <c r="G6" i="1"/>
  <c r="G12" i="1" s="1"/>
  <c r="G18" i="1" s="1"/>
  <c r="G5" i="1"/>
  <c r="E15" i="1"/>
  <c r="E14" i="1"/>
  <c r="D14" i="1"/>
  <c r="E12" i="1"/>
  <c r="E18" i="1" s="1"/>
  <c r="E10" i="1"/>
  <c r="D10" i="1"/>
  <c r="E9" i="1"/>
  <c r="D9" i="1"/>
  <c r="E8" i="1"/>
  <c r="D8" i="1"/>
  <c r="E7" i="1"/>
  <c r="D7" i="1"/>
  <c r="D12" i="1" s="1"/>
  <c r="D15" i="1" s="1"/>
  <c r="E6" i="1"/>
  <c r="E5" i="1"/>
  <c r="F15" i="1" l="1"/>
  <c r="F18" i="1"/>
  <c r="G15" i="1"/>
  <c r="D18" i="1"/>
  <c r="C14" i="1"/>
  <c r="B12" i="1"/>
  <c r="B14" i="1"/>
  <c r="C10" i="1"/>
  <c r="C9" i="1"/>
  <c r="C8" i="1"/>
  <c r="C7" i="1"/>
  <c r="C6" i="1"/>
  <c r="C5" i="1"/>
  <c r="C12" i="1" s="1"/>
  <c r="C18" i="1" l="1"/>
  <c r="C15" i="1"/>
  <c r="B18" i="1"/>
  <c r="B15" i="1"/>
</calcChain>
</file>

<file path=xl/sharedStrings.xml><?xml version="1.0" encoding="utf-8"?>
<sst xmlns="http://schemas.openxmlformats.org/spreadsheetml/2006/main" count="23" uniqueCount="19">
  <si>
    <t>BEHEERSKOSTEN VLAIO - ANTWOORD OP SV189</t>
  </si>
  <si>
    <t>2016</t>
  </si>
  <si>
    <t>VAK</t>
  </si>
  <si>
    <t>VEK</t>
  </si>
  <si>
    <t>Omschrijving</t>
  </si>
  <si>
    <t>Totaal beheerskosten</t>
  </si>
  <si>
    <t>Bedragen uitvoering in € - bron: ORAFIN</t>
  </si>
  <si>
    <t>Personeelskosten - 1EA201</t>
  </si>
  <si>
    <t>Algemene werkingkosten - 1EA207</t>
  </si>
  <si>
    <t>Communicatie - 1EC203</t>
  </si>
  <si>
    <t>IT - werking - 1EA206</t>
  </si>
  <si>
    <t>IT - investeringen - 1EA209</t>
  </si>
  <si>
    <t>IT - projecten - 1EC205</t>
  </si>
  <si>
    <t>Budget VLAIO</t>
  </si>
  <si>
    <t>2017</t>
  </si>
  <si>
    <t>2018</t>
  </si>
  <si>
    <t>Experten vergoedingen (1)</t>
  </si>
  <si>
    <t>(1) in budget Hermesfonds</t>
  </si>
  <si>
    <t>Hermesfonds (uitvoering)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</si>
</sst>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0" fillId="0" borderId="0" xfId="0" applyNumberFormat="1"/>
    <xf numFmtId="3" fontId="2" fillId="2" borderId="1" xfId="0" applyNumberFormat="1" applyFont="1" applyFill="1" applyBorder="1" applyAlignment="1">
      <alignment horizontal="center"/>
    </xf>
    <xf numFmtId="0" fontId="0" fillId="0" borderId="0" xfId="0" quotePrefix="1"/>
    <xf numFmtId="0" fontId="2" fillId="0" borderId="0" xfId="0" applyFont="1"/>
    <xf numFmtId="3" fontId="2" fillId="0" borderId="0" xfId="0" applyNumberFormat="1" applyFont="1"/>
    <xf numFmtId="4" fontId="0" fillId="0" borderId="0" xfId="0" applyNumberFormat="1"/>
    <xf numFmtId="3" fontId="0" fillId="0" borderId="0" xfId="0" applyNumberFormat="1" applyFill="1"/>
    <xf numFmtId="3" fontId="2" fillId="2" borderId="1" xfId="0" quotePrefix="1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A15" sqref="A15"/>
    </sheetView>
  </sheetViews>
  <sheetFormatPr defaultRowHeight="15" x14ac:dyDescent="0.25"/>
  <cols>
    <col min="1" max="1" width="31.42578125" customWidth="1"/>
    <col min="2" max="7" width="14.5703125" style="2" customWidth="1"/>
  </cols>
  <sheetData>
    <row r="1" spans="1:7" ht="18.75" x14ac:dyDescent="0.3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" t="s">
        <v>6</v>
      </c>
    </row>
    <row r="3" spans="1:7" x14ac:dyDescent="0.25">
      <c r="A3" s="11" t="s">
        <v>4</v>
      </c>
      <c r="B3" s="9" t="s">
        <v>1</v>
      </c>
      <c r="C3" s="10"/>
      <c r="D3" s="9" t="s">
        <v>14</v>
      </c>
      <c r="E3" s="10"/>
      <c r="F3" s="9" t="s">
        <v>15</v>
      </c>
      <c r="G3" s="10"/>
    </row>
    <row r="4" spans="1:7" x14ac:dyDescent="0.25">
      <c r="A4" s="11"/>
      <c r="B4" s="3" t="s">
        <v>3</v>
      </c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</row>
    <row r="5" spans="1:7" x14ac:dyDescent="0.25">
      <c r="A5" t="s">
        <v>7</v>
      </c>
      <c r="B5" s="2">
        <v>23501939.460000001</v>
      </c>
      <c r="C5" s="2">
        <f>23501939.45+59836.13</f>
        <v>23561775.579999998</v>
      </c>
      <c r="D5" s="2">
        <v>23762338.489999998</v>
      </c>
      <c r="E5" s="2">
        <f>23751016.58+34718.78</f>
        <v>23785735.359999999</v>
      </c>
      <c r="F5" s="2">
        <v>23820746.300000001</v>
      </c>
      <c r="G5" s="2">
        <f>23821955.27+21306.23</f>
        <v>23843261.5</v>
      </c>
    </row>
    <row r="6" spans="1:7" x14ac:dyDescent="0.25">
      <c r="A6" t="s">
        <v>8</v>
      </c>
      <c r="B6" s="2">
        <v>2002630.17</v>
      </c>
      <c r="C6" s="2">
        <f>1967955.62+174366.31</f>
        <v>2142321.9300000002</v>
      </c>
      <c r="D6" s="2">
        <v>2049933.34</v>
      </c>
      <c r="E6" s="2">
        <f>1969967.33+1250547.3</f>
        <v>3220514.63</v>
      </c>
      <c r="F6" s="2">
        <v>2588840.6800000002</v>
      </c>
      <c r="G6" s="2">
        <f>1949715.56+586063.79</f>
        <v>2535779.35</v>
      </c>
    </row>
    <row r="7" spans="1:7" x14ac:dyDescent="0.25">
      <c r="A7" t="s">
        <v>9</v>
      </c>
      <c r="B7" s="2">
        <v>909497.38</v>
      </c>
      <c r="C7" s="2">
        <f>698952.53+696528.46</f>
        <v>1395480.99</v>
      </c>
      <c r="D7" s="2">
        <f>1104295.82</f>
        <v>1104295.82</v>
      </c>
      <c r="E7" s="2">
        <f>399606.92+480449.23</f>
        <v>880056.14999999991</v>
      </c>
      <c r="F7" s="2">
        <f>1085766.36</f>
        <v>1085766.3600000001</v>
      </c>
      <c r="G7" s="2">
        <f>769622.68+128699.65</f>
        <v>898322.33000000007</v>
      </c>
    </row>
    <row r="8" spans="1:7" x14ac:dyDescent="0.25">
      <c r="A8" t="s">
        <v>10</v>
      </c>
      <c r="B8" s="2">
        <v>853128.24</v>
      </c>
      <c r="C8" s="2">
        <f>728330.33+873419.67</f>
        <v>1601750</v>
      </c>
      <c r="D8" s="2">
        <f>1340627.79</f>
        <v>1340627.79</v>
      </c>
      <c r="E8" s="2">
        <f>550988.62+617131.21</f>
        <v>1168119.83</v>
      </c>
      <c r="F8" s="2">
        <f>1342169.62</f>
        <v>1342169.6200000001</v>
      </c>
      <c r="G8" s="2">
        <f>706729.9+708734.58</f>
        <v>1415464.48</v>
      </c>
    </row>
    <row r="9" spans="1:7" x14ac:dyDescent="0.25">
      <c r="A9" t="s">
        <v>11</v>
      </c>
      <c r="B9" s="2">
        <v>330708.90999999997</v>
      </c>
      <c r="C9" s="2">
        <f>330708.91+14509.03</f>
        <v>345217.94</v>
      </c>
      <c r="D9" s="2">
        <f>94875.21</f>
        <v>94875.21</v>
      </c>
      <c r="E9" s="2">
        <f>94796.37+186967.74</f>
        <v>281764.11</v>
      </c>
      <c r="F9" s="2">
        <f>227651.85</f>
        <v>227651.85</v>
      </c>
      <c r="G9" s="2">
        <f>49672.36+454119.32</f>
        <v>503791.68</v>
      </c>
    </row>
    <row r="10" spans="1:7" x14ac:dyDescent="0.25">
      <c r="A10" t="s">
        <v>12</v>
      </c>
      <c r="B10" s="2">
        <v>1789077.89</v>
      </c>
      <c r="C10" s="2">
        <f>1107030.53+470052.18</f>
        <v>1577082.71</v>
      </c>
      <c r="D10" s="2">
        <f>1538134.91</f>
        <v>1538134.91</v>
      </c>
      <c r="E10" s="2">
        <f>1090135.21+1022328.94</f>
        <v>2112464.15</v>
      </c>
      <c r="F10" s="2">
        <v>1747731.4</v>
      </c>
      <c r="G10" s="2">
        <f>832511.13+1236840.8</f>
        <v>2069351.9300000002</v>
      </c>
    </row>
    <row r="11" spans="1:7" x14ac:dyDescent="0.25">
      <c r="A11" t="s">
        <v>16</v>
      </c>
      <c r="B11" s="2">
        <v>489194.67</v>
      </c>
      <c r="C11" s="2">
        <f>B11</f>
        <v>489194.67</v>
      </c>
      <c r="D11" s="2">
        <v>378986.55</v>
      </c>
      <c r="E11" s="2">
        <f>D11</f>
        <v>378986.55</v>
      </c>
      <c r="F11" s="2">
        <v>361231.57</v>
      </c>
      <c r="G11" s="2">
        <f>F11</f>
        <v>361231.57</v>
      </c>
    </row>
    <row r="12" spans="1:7" x14ac:dyDescent="0.25">
      <c r="A12" s="5" t="s">
        <v>5</v>
      </c>
      <c r="B12" s="6">
        <f>SUM(B5:B11)</f>
        <v>29876176.720000003</v>
      </c>
      <c r="C12" s="6">
        <f>SUM(C5:C11)</f>
        <v>31112823.82</v>
      </c>
      <c r="D12" s="6">
        <f>SUM(D5:D11)</f>
        <v>30269192.109999999</v>
      </c>
      <c r="E12" s="6">
        <f>SUM(E5:E11)</f>
        <v>31827640.779999997</v>
      </c>
      <c r="F12" s="6">
        <f t="shared" ref="F12:G12" si="0">SUM(F5:F11)</f>
        <v>31174137.780000001</v>
      </c>
      <c r="G12" s="6">
        <f t="shared" si="0"/>
        <v>31627202.84</v>
      </c>
    </row>
    <row r="14" spans="1:7" x14ac:dyDescent="0.25">
      <c r="A14" t="s">
        <v>13</v>
      </c>
      <c r="B14" s="2">
        <f>25163000+4222000+6924000</f>
        <v>36309000</v>
      </c>
      <c r="C14" s="2">
        <f>25163000+90000+600000+3099000+423000+10000+90000+1015000+2115000+1373000+30000+167000+206000+194000</f>
        <v>34575000</v>
      </c>
      <c r="D14" s="2">
        <f>25007000+5321000+4405000</f>
        <v>34733000</v>
      </c>
      <c r="E14" s="2">
        <f>25007000+85000+1139000+3287000+423000+10000+758000+90000+890000+2115000</f>
        <v>33804000</v>
      </c>
      <c r="F14" s="2">
        <f>24781000+4633000+4405000</f>
        <v>33819000</v>
      </c>
      <c r="G14" s="2">
        <f>24781000+85000+1202000+2913000+423000+10000+758000+90000+890000+2115000</f>
        <v>33267000</v>
      </c>
    </row>
    <row r="15" spans="1:7" x14ac:dyDescent="0.25">
      <c r="B15" s="7">
        <f>(B12/B14)*100</f>
        <v>82.283116362334425</v>
      </c>
      <c r="C15" s="7">
        <f t="shared" ref="C15:G15" si="1">(C12/C14)*100</f>
        <v>89.986475256688365</v>
      </c>
      <c r="D15" s="7">
        <f t="shared" si="1"/>
        <v>87.148222468545768</v>
      </c>
      <c r="E15" s="7">
        <f t="shared" si="1"/>
        <v>94.153475269198907</v>
      </c>
      <c r="F15" s="7">
        <f t="shared" si="1"/>
        <v>92.179360063869424</v>
      </c>
      <c r="G15" s="7">
        <f t="shared" si="1"/>
        <v>95.070799410827547</v>
      </c>
    </row>
    <row r="17" spans="1:7" x14ac:dyDescent="0.25">
      <c r="A17" t="s">
        <v>18</v>
      </c>
      <c r="B17" s="8">
        <v>548933746.75</v>
      </c>
      <c r="C17" s="8">
        <v>574127470.70000005</v>
      </c>
      <c r="D17" s="8">
        <v>547833105.46000004</v>
      </c>
      <c r="E17" s="8">
        <v>609734915.99000001</v>
      </c>
      <c r="F17" s="8">
        <v>519003981.80000001</v>
      </c>
      <c r="G17" s="8">
        <v>625384962.42999995</v>
      </c>
    </row>
    <row r="18" spans="1:7" x14ac:dyDescent="0.25">
      <c r="B18" s="7">
        <f>(B12/B17)*100</f>
        <v>5.4425833530701944</v>
      </c>
      <c r="C18" s="7">
        <f t="shared" ref="C18:G18" si="2">(C12/C17)*100</f>
        <v>5.4191491276433705</v>
      </c>
      <c r="D18" s="7">
        <f t="shared" si="2"/>
        <v>5.525257931351887</v>
      </c>
      <c r="E18" s="7">
        <f t="shared" si="2"/>
        <v>5.2199144161398152</v>
      </c>
      <c r="F18" s="7">
        <f t="shared" si="2"/>
        <v>6.0065315244562161</v>
      </c>
      <c r="G18" s="7">
        <f t="shared" si="2"/>
        <v>5.0572375001005989</v>
      </c>
    </row>
    <row r="22" spans="1:7" x14ac:dyDescent="0.25">
      <c r="A22" s="4" t="s">
        <v>17</v>
      </c>
    </row>
  </sheetData>
  <mergeCells count="5">
    <mergeCell ref="B3:C3"/>
    <mergeCell ref="D3:E3"/>
    <mergeCell ref="F3:G3"/>
    <mergeCell ref="A3:A4"/>
    <mergeCell ref="A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E9B9BB-74BE-4E9B-AD8A-0B3F3ECC2752}"/>
</file>

<file path=customXml/itemProps2.xml><?xml version="1.0" encoding="utf-8"?>
<ds:datastoreItem xmlns:ds="http://schemas.openxmlformats.org/officeDocument/2006/customXml" ds:itemID="{75E77594-CF63-43ED-99A2-42FA0126459B}"/>
</file>

<file path=customXml/itemProps3.xml><?xml version="1.0" encoding="utf-8"?>
<ds:datastoreItem xmlns:ds="http://schemas.openxmlformats.org/officeDocument/2006/customXml" ds:itemID="{D1B4A788-E43C-4680-BA80-AAF109E4AC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Decremer, Thomas</dc:creator>
  <cp:lastModifiedBy>Tournicourt, Tom</cp:lastModifiedBy>
  <dcterms:created xsi:type="dcterms:W3CDTF">2019-01-21T15:30:21Z</dcterms:created>
  <dcterms:modified xsi:type="dcterms:W3CDTF">2019-01-28T11:21:28Z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