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2" activeTab="2"/>
  </bookViews>
  <sheets>
    <sheet name="vraag 1 " sheetId="1" r:id="rId1"/>
    <sheet name="vraag 2" sheetId="2" r:id="rId2"/>
    <sheet name="vraag 3" sheetId="3" r:id="rId3"/>
  </sheets>
  <definedNames>
    <definedName name="_xlnm.Print_Area" localSheetId="0">'vraag 1 '!$A$1:$B$78</definedName>
    <definedName name="_xlnm.Print_Area" localSheetId="1">'vraag 2'!$A$1:$C$41</definedName>
    <definedName name="_xlnm.Print_Area" localSheetId="2">'vraag 3'!$A$1:$C$150</definedName>
  </definedNames>
  <calcPr fullCalcOnLoad="1"/>
</workbook>
</file>

<file path=xl/sharedStrings.xml><?xml version="1.0" encoding="utf-8"?>
<sst xmlns="http://schemas.openxmlformats.org/spreadsheetml/2006/main" count="263" uniqueCount="223">
  <si>
    <t>Nanomaterialen in gebruiksproducten: inventarisatie, karakterisatie en inschatting van de blootstelling via de lucht</t>
  </si>
  <si>
    <t>CO - PAK Studie GenkMenen</t>
  </si>
  <si>
    <t>Inventarisatie van economische aspecten bij ELFM</t>
  </si>
  <si>
    <t>CO - Faseplan GKZ</t>
  </si>
  <si>
    <t>Studie EPB-eisenpakket residentiële nieuwbouw: een nieuwe parameter voor de energie-efficiëntie van de gebouwschil en de E-peilparameter op weg naar 2021</t>
  </si>
  <si>
    <t>Meetcampagne voor emissiefactoren (EF) voor zeugen</t>
  </si>
  <si>
    <t>Advies en ondersteuning stikstofdeposities (PAS)</t>
  </si>
  <si>
    <t>(REMA) CR: Indicatoren groene economie</t>
  </si>
  <si>
    <t>Trendanalyse van de antropogene druk en impact op gespannen grondwaterlichamen</t>
  </si>
  <si>
    <t>Omgevingslawaai en luchtverontreiniging</t>
  </si>
  <si>
    <t>Studieopdracht kritische massa</t>
  </si>
  <si>
    <t>E-water services</t>
  </si>
  <si>
    <t>Behoefteanalyse bij stakeholders mbt bodeminformatie</t>
  </si>
  <si>
    <t>Studie watersysteem bovenloop IJsse</t>
  </si>
  <si>
    <t>Ontwikkelingskansen op basis van knooppuntwaarde en nabijheid voorzieningen</t>
  </si>
  <si>
    <t>Meten van ammoniakconcentraties in de omgevingslucht en ammoniakdeposities naar de vegetatie</t>
  </si>
  <si>
    <t>Proefproject voor langdurige monitoring van milieupolluenten in het binnenklimaat van verschillende woningtypes</t>
  </si>
  <si>
    <t>Opzetten van een kennisdatabank rond lekdichtheidsproblematiek van koelinstallaties</t>
  </si>
  <si>
    <t>Atelier Track Design</t>
  </si>
  <si>
    <t>Opstellen van concrete adviezen voor een gezond binnenklimaat van in groep gerenoveerde sociale woonplaatsen en dit zowel voor, tijdens als na de renovatie</t>
  </si>
  <si>
    <t>Ontwikkeling en evaluatie van een biomerker om de mogelijke gezondheidsimpact van houtverbranding in te schatten.</t>
  </si>
  <si>
    <t>Opstellen Toxiciteitsprobitfuncties</t>
  </si>
  <si>
    <t>Veerkracht voor het Metropolitaan Kerngebied vanuit het perspectief van ecosysteemdiensten</t>
  </si>
  <si>
    <t>Stromingsweerstand waterplanten</t>
  </si>
  <si>
    <t>(BIO) Onderzoek naar mogelijk ondersteuningsbeleid m.b.t. nieuwe toepassingsmogelijkheden van CO2 als grondstof/feedstock</t>
  </si>
  <si>
    <t>Indirecte impact van de Vlaamse ontginningssector op de economie in Vlaanderen</t>
  </si>
  <si>
    <t>Vlaamse consument begeleiden naar een milieuverantwoord consumptiepatroon - case retail</t>
  </si>
  <si>
    <t>ECO - Vlaamse consument begeleiden naar een milieuverantwoord consumptiepatroon - case bedrijfsrestaurants</t>
  </si>
  <si>
    <t>LNE Lasten op arbeid verschuiven naar milieu in casu rekeningrijden</t>
  </si>
  <si>
    <t>URB_Ecohydrologische studie Kleine Nete</t>
  </si>
  <si>
    <t>SEC_Kartering van de kwetsbaarheid van grondwater voor verontreiniging pesticiden</t>
  </si>
  <si>
    <t>Hernieuwing NO2 uitstelaanvraag</t>
  </si>
  <si>
    <t>Kwaliteitscontrole PAS</t>
  </si>
  <si>
    <t>Partnerorganisatie Milieugezondheidszorg</t>
  </si>
  <si>
    <t>Faseplan Steunpunt 3 Vlaanderen</t>
  </si>
  <si>
    <t>Actualisatie CAR</t>
  </si>
  <si>
    <t>URB_Statistische data-analyse waterkwaliteit</t>
  </si>
  <si>
    <t>Datakwaliteit en verwerking van immo-data</t>
  </si>
  <si>
    <t>Vergelijkende studie thermische verwerkingsmethoden voor kunststoffen</t>
  </si>
  <si>
    <t>URB_Tijdsafhankelijke modellering van freatische aquifers</t>
  </si>
  <si>
    <t>Raamovereenkomst: Duurzaamheidscriteria voor overheidsopdrachten</t>
  </si>
  <si>
    <t>LNE Infovoorziening Thuisladen</t>
  </si>
  <si>
    <t>ZEB - projectoproep CPT (Clean Power for Transport)</t>
  </si>
  <si>
    <t>ECO_Onderzoek naar gedragsinzichten, drempels en hefbomen voor consumentengedrag op vlak van mobiliteit en verwarmen met kachels</t>
  </si>
  <si>
    <t>Identificeren van product(groep)en met kunststofrecyclaat (recycled content) en product(groep)en met potentieel voor het inzetten van kunststofrecyclaat</t>
  </si>
  <si>
    <t>Verkenning en ontwikkeling Mobiscore</t>
  </si>
  <si>
    <t>Oprichting van een platform voor alternatieve methoden voor dierproeven</t>
  </si>
  <si>
    <t>Ruimterapport Vlaanderen</t>
  </si>
  <si>
    <t>(BST) CR: Houtmarkt studie</t>
  </si>
  <si>
    <t>Monetariseren van urban sprawl in Vlaanderen</t>
  </si>
  <si>
    <t>RWO Ruimtebeslag in open ruimte</t>
  </si>
  <si>
    <t>Ontwikkeling en bovenlokale toepassing van een data-vewer</t>
  </si>
  <si>
    <t>Behoefte en bereik sportinfrastructuur</t>
  </si>
  <si>
    <t>ECO_Economische betekenis van de Vlaamse waterrecreatiesector</t>
  </si>
  <si>
    <t>SEC_bemestingsvrije stroken</t>
  </si>
  <si>
    <t>ECO_Budgettaire en financiële impact aan de hand van een kosten-baten analyse van het transitietraject in het witboek Beleidsplan Ruimte Vlaanderen</t>
  </si>
  <si>
    <t>Ontwikkeling van indicatoren voor de toegevoegde waarde van HBM voor het milieu &amp; gezondheidsbeleid in Vlaamse, nationale en in Europese context</t>
  </si>
  <si>
    <t>Bepalen van de impact van duurzaam renoveren op het binnenmilieu en op de gezondheid van bewoners door middel van biomonitoring</t>
  </si>
  <si>
    <t>Opmaak digitale tool gezond binnenmilieu op school en technische fiche voor scholenbouwers over ventilatiesystemen in scholen - vervanging opp. 14591 owv wrong customer</t>
  </si>
  <si>
    <t>Onderzoek naar de tariefstructuur van de periodieke distributienettarieven</t>
  </si>
  <si>
    <t>Groenblauwe netwerken in Vlaanderen</t>
  </si>
  <si>
    <t>FWC Raamovereenkomst voor het geologisch documenteren van tijdelijke ontsluitingen</t>
  </si>
  <si>
    <t>ECO_ZEEBRUGGE: ACTUALISATIE MKBA EN OPSTELLEN MCA OVERSTROMINGS-MAATREGELEN ROND DE JACHTHAVEN</t>
  </si>
  <si>
    <t>SEC_Kwantificering en kartering van droogte in Vlaanderen met hydrologische modeltoepassingen</t>
  </si>
  <si>
    <t>Potentieel op vlak van energiebesparing en flexibiliteit bij uitrol digitale meters, KUL</t>
  </si>
  <si>
    <t>Studieopdracht voor de strategische verkenningsfase van de Pilootprojecten Energie- en Klimaatwijken</t>
  </si>
  <si>
    <t>Actualisatie kaartmateriaal en GIS analyse i.f.v. ruimtelijke beleid</t>
  </si>
  <si>
    <t>Ruimtelijke strategieën voor gezonde omgevingen: case streetcanyons en doortochten</t>
  </si>
  <si>
    <t>Alternatief systeem terugdraaiende teller en beleidsmaatregelen verhogen zelfconsumptie</t>
  </si>
  <si>
    <t>Onderzoek Grote Nete</t>
  </si>
  <si>
    <t>Uitvoering Onderzoeksagenda Platteland</t>
  </si>
  <si>
    <t>FLANDRE: Actie D.1 &amp; D.2: Evaluatie van het socio-economisch impact van het project op de lokale economie en bevolking alsook op het herstel van de ecosysteemdiensten (België en Frankrijk)</t>
  </si>
  <si>
    <t>Jaar</t>
  </si>
  <si>
    <t>Omschrijving: studieopdracht betreffende</t>
  </si>
  <si>
    <t>bedrag (zonder BTW)</t>
  </si>
  <si>
    <t>Ozonfluxmodel</t>
  </si>
  <si>
    <t>CO - Effectgericht Gent- Effectgericht meten Gentse kanaalzone</t>
  </si>
  <si>
    <t>MIRA indicatoren 2014 klimaat</t>
  </si>
  <si>
    <t>MIRA indicatoren energie</t>
  </si>
  <si>
    <t>MIRA indicator rapport 2014</t>
  </si>
  <si>
    <t>MIRA indicatoren 2014 ozon</t>
  </si>
  <si>
    <t>Maritieme Toegang - Iteratie 3 - Faze 2</t>
  </si>
  <si>
    <t>Actualiseren fiches fijn stof en externe kosten</t>
  </si>
  <si>
    <t>Ontwikkeling ge-automatiseerde versie IFDM ihkv PAS</t>
  </si>
  <si>
    <t>Joaquin fase III IRCEL</t>
  </si>
  <si>
    <t>Webapplicatie Helpdesk PAS</t>
  </si>
  <si>
    <t>Uitwerken plan van aanpak voor versterking recyclageketen metalen in Vlaanderen</t>
  </si>
  <si>
    <t>BIND-AMOR Fase II</t>
  </si>
  <si>
    <t>Watergebruik door huishoudens</t>
  </si>
  <si>
    <t>Blauwdruk van een systeemdynamisch model</t>
  </si>
  <si>
    <t>Hoogtechnologisch Ontsnipperingstool</t>
  </si>
  <si>
    <t>Deelname begeleidingsgroep van de studie rond duurzame mobiliteit</t>
  </si>
  <si>
    <t>Koppeling luchtkwaliteitsmodellen VLOPS en IFDM</t>
  </si>
  <si>
    <t>VMM-TWOL praktijkstudie effect gericht meten (vervolgstudie)-Bestekn° VMM/AELT/2014/01</t>
  </si>
  <si>
    <t>REACH onderzoek polymeren</t>
  </si>
  <si>
    <t>Ontwikkelen inventaris relevante luchtemissiepunten</t>
  </si>
  <si>
    <t>Inschatting van de bijdrage van houtverbranding door burgers aan luchtverontreiniging</t>
  </si>
  <si>
    <t>Offertevraag voor de bepaling van HCN-emissies bij Total  Antwerpen</t>
  </si>
  <si>
    <t>Arch. en ontsluiting historisch kaartmateriaal</t>
  </si>
  <si>
    <t>ondersteuning van het hydrogeologisch onderzoek Albertkanaal</t>
  </si>
  <si>
    <t>Ondersteuning patent BIND-AMOR</t>
  </si>
  <si>
    <t>indicatoren energie</t>
  </si>
  <si>
    <t>MIRA klimaat indicatoren 2015</t>
  </si>
  <si>
    <t>Ontwikkeling webapplicatie PAS</t>
  </si>
  <si>
    <t>Uitbreiding ZZM</t>
  </si>
  <si>
    <t>Uitvoeren van een geuronderzoek in de omgeving van het bedrijf Greenergy bvba in Herselt</t>
  </si>
  <si>
    <t>ZZM en PAS voor Ruilverkaveling Rijkevorsel-Wortel</t>
  </si>
  <si>
    <t>MIRA 2015 - Transport Indicatoren</t>
  </si>
  <si>
    <t>K.O. MIRA 2015 - Hernieuwbare Energie transport</t>
  </si>
  <si>
    <t>protocol toetsingswaardes</t>
  </si>
  <si>
    <t>Geuronderzoek in de omgeving van het bedrijf Diresco in Opglabbeek</t>
  </si>
  <si>
    <t>Evaluatie problematiek creosoot site oostende</t>
  </si>
  <si>
    <t>gezondheidsimpact infrastructuurwerken</t>
  </si>
  <si>
    <t>Bepaling van DMF-emissie bij coatingprocessen</t>
  </si>
  <si>
    <t>VEB - Korte studieopdracht rond angst voor verandering</t>
  </si>
  <si>
    <t>TBT slib criterium gevaarlijk afval</t>
  </si>
  <si>
    <t>UFP en BC metingen rondom de luchthaven van Zaventem</t>
  </si>
  <si>
    <t>OVAM proefprojecten selectieve sloop</t>
  </si>
  <si>
    <t>Potentieelinschatting recyclage thermoharders in Vlaanderen</t>
  </si>
  <si>
    <t>(WAT) CR small: Evaluatie verwerking specie met TBT</t>
  </si>
  <si>
    <t>Tools voor risicoanalyse van particuliere/kleinschalige waterwinningen</t>
  </si>
  <si>
    <t>Invullen van de milieu-extensietabel van het Vlaams milieu IO model</t>
  </si>
  <si>
    <t>het actualiseren van enkele DALY indicatoren</t>
  </si>
  <si>
    <t>Economische activiteiten buiten stedelijke gebieden en buiten bedrijventerreinen</t>
  </si>
  <si>
    <t>Staalname en analyse van pH en TOC in bodem</t>
  </si>
  <si>
    <t>Inschatting hernieuwbare energiepotentieel voor elke gemeente in een interactieve kaart</t>
  </si>
  <si>
    <t>Verkleinde zoekzones &amp; PAS</t>
  </si>
  <si>
    <t>Evaluatie en actualisatie indicatoren voor Milieu &amp; Gezondheid: Humane Biomonitoring</t>
  </si>
  <si>
    <t>Zomer-oefening PAS</t>
  </si>
  <si>
    <t>Opmaken infografieken aluminium</t>
  </si>
  <si>
    <t>Carbon Footprint van de  Vlaamse consumptie</t>
  </si>
  <si>
    <t>BVK voor INBO taken v2</t>
  </si>
  <si>
    <t>Evaluatie slimme meters - KUL</t>
  </si>
  <si>
    <t>Haalbaarheidsstudie recuperatie kritieke metalen uit AEEA</t>
  </si>
  <si>
    <t>Overheidsopdracht vormherkenning koeltorens</t>
  </si>
  <si>
    <t>VERGELIJKENDE STUDIE NAAR ALLE SANITAIRE SYSTEMEN EN HUN ONDERDELEN, EN EEN ALGEMENE KADERING VAN DE LEGIONELLAPROBLEMATIEK IN VLAANDEREN TER VOORBEREIDING VAN EEN NIEUWE BBT VOOR LEGIONELLABEHEERSING IN NIEUWE SANITAIRE SYSTEMEN</t>
  </si>
  <si>
    <t>Geochemische studie Niels Vijvergebied</t>
  </si>
  <si>
    <t>Bewakingsmetingen asbest in omgevingslucht 2015-2017</t>
  </si>
  <si>
    <t>Zonnepotentieel VLEA</t>
  </si>
  <si>
    <t>Controle Antea</t>
  </si>
  <si>
    <t>Audit bij de afdeling Milieu-inspectie over het kwaliteitshandboek voor monsternames en metingen</t>
  </si>
  <si>
    <t>DIAN-Tool voor doorrekening impact allocatie natuurdoelen</t>
  </si>
  <si>
    <t>Actualisering visiematrix van de Stadsmonitor</t>
  </si>
  <si>
    <t>Casestudy duurzaam materialenbeheer</t>
  </si>
  <si>
    <t>Onderzoek naar de GIS-modellering van diverse aspecten van windturbines</t>
  </si>
  <si>
    <t>lnhoudelijke uitwerking van module 3 in de online toepassing van de voortoets: het bepalen van de reikwijdte van effecten voor de indirecte effectgroepen</t>
  </si>
  <si>
    <t>Uitwerking van afwegingscriteria voor de inzet van hout en houtige (rest)stromen</t>
  </si>
  <si>
    <t>IndoorAir2016_LNE</t>
  </si>
  <si>
    <t>Expertenworkshop BRV</t>
  </si>
  <si>
    <t>Bepaling CIE 1976 totaal kleurverschil</t>
  </si>
  <si>
    <t>SEC_OVAM grondwatersysteemanalyse</t>
  </si>
  <si>
    <t>(BST) CR: EWI update studie economische waardecreatie BBE</t>
  </si>
  <si>
    <t>Methodiek inventarisatie asbest in loodsen</t>
  </si>
  <si>
    <t>MIRA - perceel 2: Berekening data 2015 voor de indicatoren DALYs en externe kosten door blootstelling aan fijn stof</t>
  </si>
  <si>
    <t>Ondersteuning rapportering milieu-indicatoren Perceel 1: Actualisatie indicator CO2-emmisie van nieuwe verkochte personenwagens</t>
  </si>
  <si>
    <t>Economische activiteiten buiten stedelijke gebieden en buiten bedrijventerreinen. Ontwikkeling verwevingsindicatoren.</t>
  </si>
  <si>
    <t>Invullen van de milieu-extensietabel broeikasgassen van het Vlaams milieu input-outputmodel voor de jaren 2003 en 2007</t>
  </si>
  <si>
    <t>Berekeningen Climalizer</t>
  </si>
  <si>
    <t>Hittekaart Vlaanderen en uitbouw meetnet</t>
  </si>
  <si>
    <t>Indicatoren atlas MIRA</t>
  </si>
  <si>
    <t>TTC drinkwater nota</t>
  </si>
  <si>
    <t>ECO_In kaart brengen van het watergebruik door huishoudens in Vlaanderen</t>
  </si>
  <si>
    <t>afzet gerecycleerde granulaten (ELFM)</t>
  </si>
  <si>
    <t>LNE adapteert: adaptatie instrument/portaal</t>
  </si>
  <si>
    <t>Secundaire materialen in de IO-tabel (2010)</t>
  </si>
  <si>
    <t>PoC werkgroep Dijken</t>
  </si>
  <si>
    <t>ASBEST_OVAM</t>
  </si>
  <si>
    <t>URB_Onderzoek naar aanpassing omzettingscoëfficienten voor de heffing voor oppervlaktewaterlozers</t>
  </si>
  <si>
    <t>Richt-en interventiewaarden BiMi besluit</t>
  </si>
  <si>
    <t>Prioritering van risicogronden</t>
  </si>
  <si>
    <t>Identificatie van gele depositie in een woonwijk van Zelzate</t>
  </si>
  <si>
    <t>Indicatoren voor een groene economie</t>
  </si>
  <si>
    <t>Optimalisatie emissies gebouwenverwarming</t>
  </si>
  <si>
    <t>Audit bij erkende certificeringsinstelling voor bodemverbeterende middelen en meststoffen</t>
  </si>
  <si>
    <t>SEC_Controleopdracht onafhankelijkheid ABO en ECOREM ikv bodemdecreet</t>
  </si>
  <si>
    <t>LNE voorstel - Teststrategieën</t>
  </si>
  <si>
    <t>Depositienormen PAK's</t>
  </si>
  <si>
    <t>SEC_Ondersteuning OVAM audits</t>
  </si>
  <si>
    <t>Bemonstering en analyse op TOP CGR</t>
  </si>
  <si>
    <t>SEC_Begeleiding en advies mbt uitloging van metalen in de ruime omgeving rond voormalige smelters</t>
  </si>
  <si>
    <t>Ondersteuning algemene kwaliteitsaudits</t>
  </si>
  <si>
    <t>Uitbreiding prioritering risicogronden</t>
  </si>
  <si>
    <t>Eindontwikkeling en implementatie meetinstrument omgevingskwaliteit</t>
  </si>
  <si>
    <t>studie benzeen emissie uit droogkamers bij steenbakkerijen</t>
  </si>
  <si>
    <t>Actualisatiestudie risico-gebaseerd plannen van monsternames bedrijfsafvalwater</t>
  </si>
  <si>
    <t>BIND AMOR fase III piloottest</t>
  </si>
  <si>
    <t>SEC_begeleiding en ondersteuning hydrologisch onderzoek - De Scheepvaart NV</t>
  </si>
  <si>
    <t>Uitvoeren van een omgevingsonderzoek in de omgeving van Olen</t>
  </si>
  <si>
    <t>Geuraudit bij Cargill in Izegem</t>
  </si>
  <si>
    <t>Bewakingsmetingen asbest in omgevingslucht 2015-2017 - Uitbreiding 2017</t>
  </si>
  <si>
    <t>Ondersteuning ACD bij overdracht Impactscore NH3</t>
  </si>
  <si>
    <t>SEC_Rol VITO risicomodel waterbodems</t>
  </si>
  <si>
    <t>SEC_Webtool historiek zware metaalverontreinigingen Balen-Overpelt</t>
  </si>
  <si>
    <t>Datawarehouse Waterbodems</t>
  </si>
  <si>
    <t>Milieuverkenning 2018: Achtergronddocument Oplossingen Energiesysteem</t>
  </si>
  <si>
    <t>Uitvoeren van een diepteanalyse voor de selectie van gezondheidskundige advieswaarden voor generiek gebruik voor een set van parameters</t>
  </si>
  <si>
    <t>Kleurbepaling in oppervlakte- en afvalwater</t>
  </si>
  <si>
    <t xml:space="preserve">Staalname en analyse koelinstallatie </t>
  </si>
  <si>
    <t>MIRA 2017 - Actualisatie Indicator CO2-emissie Transport</t>
  </si>
  <si>
    <t>Ondersteuning rapportering milieu-indicatoren 2017</t>
  </si>
  <si>
    <t>DALY's</t>
  </si>
  <si>
    <t>ECO_Onderzoek naar de kostentoerekening van de publieke productie en levering van leidingwater</t>
  </si>
  <si>
    <t>Probitfunctie HCl - schriftelijke reactie</t>
  </si>
  <si>
    <t>Kaarten ontwikkelingskansen</t>
  </si>
  <si>
    <t>URB_Webtool voor beoordeling van regionale grondwaterkwaliteit Kempen</t>
  </si>
  <si>
    <t>Begeleidingsopdract #GDCA</t>
  </si>
  <si>
    <t>Expertopdracht Ruimtebestand</t>
  </si>
  <si>
    <t>MIRA Actualisatie transportindicatoren 2017</t>
  </si>
  <si>
    <t>Identificatie van de geïmitteerde vluchtige organische stoffen uit het bezinkingsbekken van Tiense Suiker</t>
  </si>
  <si>
    <t>Doorontwikkeling depositiemonitor</t>
  </si>
  <si>
    <t>Gedragskenmerken van systemen als drempels en hefbomen voor de transitie naar een duurzamer energie-, voedings- en mobiliteitssysteem in Vlaanderen</t>
  </si>
  <si>
    <t>Opleidingsdag in kader van inventarisatiestudie en risicogebaseerde emissiemeetstrategie</t>
  </si>
  <si>
    <t>Review probit HCl</t>
  </si>
  <si>
    <t>BIND-AMOR Fase IV</t>
  </si>
  <si>
    <t>Ondersteuning DIDM koppeling DIAN-Impactscore</t>
  </si>
  <si>
    <t>SEC_technische ondersteuning bij de behandeling van beroepsdossiers in het kader van het Bodemdecreet</t>
  </si>
  <si>
    <t>Studie rond afvalproblematiek van F-gasbevattende koeltoepassingen en identificeren van mogelijke verbeterpunten. Econotec and Ekorecherche</t>
  </si>
  <si>
    <t>Materiaal- en klimaatimpact van de circulaire economie - recyclage van textiel</t>
  </si>
  <si>
    <t>RuimteMonitor Versie 2</t>
  </si>
  <si>
    <t>totaal</t>
  </si>
  <si>
    <t xml:space="preserve">Overzicht van Publieke aanbestedingen van de Vlaamse overheid waar VITO aan heeft deelgenomen zoals geregistreerd in het VITO boekhoudsysteem (vanaf 2014). In de jaren voor 2014 zijn deze gegevens niet in deze vorm beschikbaar. VITO heeft geen overzicht van het totaal aantal van (andere) deelnemers aan deze aanbestedingen. </t>
  </si>
  <si>
    <r>
      <t xml:space="preserve">Overzicht  van de in de vraag 1 opgenomen publieke aanbestedingen die werden </t>
    </r>
    <r>
      <rPr>
        <u val="single"/>
        <sz val="10"/>
        <rFont val="Arial"/>
        <family val="2"/>
      </rPr>
      <t>toegewezen</t>
    </r>
    <r>
      <rPr>
        <sz val="10"/>
        <rFont val="Arial"/>
        <family val="2"/>
      </rPr>
      <t xml:space="preserve"> aan VITO zoals geregistreerd in het VITO boekhoudsysteem (vanaf 2014). In de jaren voor 2014 zijn deze gegevens niet in deze vorm beschikbaar.  Het vermeld bedrag omvat ook de middelen die voorzien zijn voor eventuele onderaannemers van VITO en is zonder BTW .</t>
    </r>
  </si>
  <si>
    <t xml:space="preserve">Overheidsopdrachten van de Vlaamse Overheid toegewezen aan VITO  door een Onderhandelingsprocedure Zonder Bekendmaking cfr.de Wet op de Overheidsopdrachten of een andere procedure cfr. deze Wet die een (bijkomende) publieke bekendmaking uitsluit. Gegevens zijn opgenomen zoals geregistreerd in het VITO boekhoudsysteem (vanaf 2014). In de jaren voor 2014 zijn deze gegevens niet in deze vorm beschikbaar.  Het vermeld bedrag omvat ook de middelen die voorzien zijn voor eventuele onderaannemers van VITO en is zonder BTW . VITO heeft geen overzicht van het totaal aantal van (andere) deelnemers aan deze aanbestedingen.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</si>
</sst>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yyyy\-mm\-dd"/>
    <numFmt numFmtId="165" formatCode="#,##0.000"/>
    <numFmt numFmtId="166" formatCode="#,##0.0"/>
  </numFmts>
  <fonts count="37">
    <font>
      <sz val="10"/>
      <name val="Arial"/>
      <family val="0"/>
    </font>
    <font>
      <b/>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0" borderId="3" applyNumberFormat="0" applyFill="0" applyAlignment="0" applyProtection="0"/>
    <xf numFmtId="0" fontId="25" fillId="28" borderId="0" applyNumberFormat="0" applyBorder="0" applyAlignment="0" applyProtection="0"/>
    <xf numFmtId="0" fontId="26" fillId="29"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0" fontId="0" fillId="31" borderId="7" applyNumberFormat="0" applyFont="0" applyAlignment="0" applyProtection="0"/>
    <xf numFmtId="0" fontId="31" fillId="32" borderId="0" applyNumberFormat="0" applyBorder="0" applyAlignment="0" applyProtection="0"/>
    <xf numFmtId="9" fontId="0" fillId="0" borderId="0" applyNumberFormat="0" applyFon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6" borderId="9" applyNumberForma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28">
    <xf numFmtId="0" fontId="0" fillId="0" borderId="0" xfId="0" applyNumberFormat="1" applyFont="1" applyFill="1" applyBorder="1" applyAlignment="1">
      <alignment/>
    </xf>
    <xf numFmtId="0" fontId="1" fillId="0" borderId="10" xfId="0" applyNumberFormat="1" applyFont="1" applyFill="1" applyBorder="1" applyAlignment="1">
      <alignment/>
    </xf>
    <xf numFmtId="0" fontId="0" fillId="0" borderId="10" xfId="0" applyNumberFormat="1" applyFont="1" applyFill="1" applyBorder="1" applyAlignment="1">
      <alignment/>
    </xf>
    <xf numFmtId="4" fontId="0" fillId="0" borderId="10" xfId="0" applyNumberFormat="1" applyFont="1" applyFill="1" applyBorder="1" applyAlignment="1">
      <alignment/>
    </xf>
    <xf numFmtId="0" fontId="0" fillId="0" borderId="11" xfId="0" applyNumberFormat="1" applyFont="1" applyFill="1" applyBorder="1" applyAlignment="1">
      <alignment/>
    </xf>
    <xf numFmtId="4" fontId="0" fillId="0" borderId="11" xfId="0" applyNumberFormat="1" applyFont="1" applyFill="1" applyBorder="1" applyAlignment="1">
      <alignment/>
    </xf>
    <xf numFmtId="0" fontId="0" fillId="0" borderId="12" xfId="0" applyNumberFormat="1" applyFont="1" applyFill="1" applyBorder="1" applyAlignment="1">
      <alignment/>
    </xf>
    <xf numFmtId="4" fontId="0" fillId="0" borderId="12" xfId="0" applyNumberFormat="1" applyFont="1" applyFill="1" applyBorder="1" applyAlignment="1">
      <alignment/>
    </xf>
    <xf numFmtId="0" fontId="0" fillId="0" borderId="13" xfId="0" applyNumberFormat="1" applyFont="1" applyFill="1" applyBorder="1" applyAlignment="1">
      <alignment/>
    </xf>
    <xf numFmtId="4"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0" fontId="1" fillId="0" borderId="10" xfId="0" applyNumberFormat="1" applyFont="1" applyFill="1" applyBorder="1" applyAlignment="1">
      <alignment wrapText="1"/>
    </xf>
    <xf numFmtId="0" fontId="0" fillId="0" borderId="10" xfId="0" applyNumberFormat="1" applyFont="1" applyFill="1" applyBorder="1" applyAlignment="1">
      <alignment wrapText="1"/>
    </xf>
    <xf numFmtId="0" fontId="0" fillId="0" borderId="11" xfId="0" applyNumberFormat="1" applyFont="1" applyFill="1" applyBorder="1" applyAlignment="1">
      <alignment wrapText="1"/>
    </xf>
    <xf numFmtId="0" fontId="0" fillId="0" borderId="13" xfId="0" applyNumberFormat="1" applyFont="1" applyFill="1" applyBorder="1" applyAlignment="1">
      <alignment wrapText="1"/>
    </xf>
    <xf numFmtId="0" fontId="0" fillId="0" borderId="12" xfId="0" applyNumberFormat="1" applyFont="1" applyFill="1" applyBorder="1" applyAlignment="1">
      <alignment wrapText="1"/>
    </xf>
    <xf numFmtId="0" fontId="0" fillId="0" borderId="0" xfId="0" applyNumberFormat="1" applyFont="1" applyFill="1" applyBorder="1" applyAlignment="1">
      <alignment wrapText="1"/>
    </xf>
    <xf numFmtId="0" fontId="0" fillId="33" borderId="0" xfId="0" applyNumberFormat="1" applyFont="1" applyFill="1" applyBorder="1" applyAlignment="1">
      <alignment wrapText="1"/>
    </xf>
    <xf numFmtId="0" fontId="0" fillId="34" borderId="0" xfId="0" applyNumberFormat="1" applyFont="1" applyFill="1" applyBorder="1" applyAlignment="1">
      <alignment/>
    </xf>
    <xf numFmtId="4" fontId="0" fillId="0" borderId="0" xfId="0" applyNumberFormat="1" applyFont="1" applyFill="1" applyBorder="1" applyAlignment="1">
      <alignment/>
    </xf>
    <xf numFmtId="4" fontId="0" fillId="0" borderId="14" xfId="0" applyNumberFormat="1" applyFont="1" applyFill="1" applyBorder="1" applyAlignment="1">
      <alignment/>
    </xf>
    <xf numFmtId="0" fontId="0" fillId="0" borderId="17" xfId="0" applyNumberFormat="1" applyFont="1" applyFill="1" applyBorder="1" applyAlignment="1">
      <alignment/>
    </xf>
    <xf numFmtId="4" fontId="0" fillId="0" borderId="18" xfId="0" applyNumberFormat="1" applyFont="1" applyFill="1" applyBorder="1" applyAlignment="1">
      <alignment/>
    </xf>
    <xf numFmtId="4" fontId="1" fillId="0" borderId="10" xfId="0" applyNumberFormat="1"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C64" sqref="C64"/>
    </sheetView>
  </sheetViews>
  <sheetFormatPr defaultColWidth="9.140625" defaultRowHeight="12.75"/>
  <cols>
    <col min="2" max="2" width="113.57421875" style="20" customWidth="1"/>
    <col min="3" max="3" width="20.421875" style="0" customWidth="1"/>
  </cols>
  <sheetData>
    <row r="1" ht="39">
      <c r="B1" s="21" t="s">
        <v>220</v>
      </c>
    </row>
    <row r="3" spans="1:2" ht="12.75">
      <c r="A3" s="1" t="s">
        <v>72</v>
      </c>
      <c r="B3" s="15" t="s">
        <v>73</v>
      </c>
    </row>
    <row r="4" spans="1:2" ht="12.75">
      <c r="A4" s="2">
        <v>2014</v>
      </c>
      <c r="B4" s="16" t="s">
        <v>1</v>
      </c>
    </row>
    <row r="5" spans="1:2" ht="12.75">
      <c r="A5" s="2">
        <v>2014</v>
      </c>
      <c r="B5" s="16" t="s">
        <v>2</v>
      </c>
    </row>
    <row r="6" spans="1:2" ht="12.75">
      <c r="A6" s="2">
        <v>2014</v>
      </c>
      <c r="B6" s="16" t="s">
        <v>70</v>
      </c>
    </row>
    <row r="7" spans="1:2" ht="26.25">
      <c r="A7" s="2">
        <v>2014</v>
      </c>
      <c r="B7" s="16" t="s">
        <v>71</v>
      </c>
    </row>
    <row r="8" spans="1:2" ht="12.75">
      <c r="A8" s="2">
        <v>2014</v>
      </c>
      <c r="B8" s="16" t="s">
        <v>3</v>
      </c>
    </row>
    <row r="9" spans="1:2" ht="26.25">
      <c r="A9" s="2">
        <v>2014</v>
      </c>
      <c r="B9" s="16" t="s">
        <v>4</v>
      </c>
    </row>
    <row r="10" spans="1:2" ht="12.75">
      <c r="A10" s="2">
        <v>2014</v>
      </c>
      <c r="B10" s="16" t="s">
        <v>5</v>
      </c>
    </row>
    <row r="11" spans="1:2" ht="12.75">
      <c r="A11" s="2">
        <v>2014</v>
      </c>
      <c r="B11" s="16" t="s">
        <v>0</v>
      </c>
    </row>
    <row r="12" spans="1:2" ht="12.75">
      <c r="A12" s="2">
        <v>2014</v>
      </c>
      <c r="B12" s="16" t="s">
        <v>6</v>
      </c>
    </row>
    <row r="13" spans="1:2" ht="12.75">
      <c r="A13" s="2">
        <v>2014</v>
      </c>
      <c r="B13" s="16" t="s">
        <v>7</v>
      </c>
    </row>
    <row r="14" spans="1:2" ht="12.75">
      <c r="A14" s="2">
        <v>2014</v>
      </c>
      <c r="B14" s="16" t="s">
        <v>8</v>
      </c>
    </row>
    <row r="15" spans="1:2" ht="12.75">
      <c r="A15" s="2">
        <v>2014</v>
      </c>
      <c r="B15" s="16" t="s">
        <v>9</v>
      </c>
    </row>
    <row r="16" spans="1:2" ht="12.75">
      <c r="A16" s="2">
        <v>2014</v>
      </c>
      <c r="B16" s="16" t="s">
        <v>10</v>
      </c>
    </row>
    <row r="17" spans="1:2" ht="12.75">
      <c r="A17" s="2">
        <v>2014</v>
      </c>
      <c r="B17" s="16" t="s">
        <v>11</v>
      </c>
    </row>
    <row r="18" spans="1:8" ht="12.75">
      <c r="A18" s="2">
        <v>2014</v>
      </c>
      <c r="B18" s="17" t="s">
        <v>12</v>
      </c>
      <c r="H18" s="22"/>
    </row>
    <row r="19" ht="12.75">
      <c r="B19" s="18"/>
    </row>
    <row r="20" spans="1:2" ht="12.75">
      <c r="A20" s="2">
        <v>2015</v>
      </c>
      <c r="B20" s="19" t="s">
        <v>13</v>
      </c>
    </row>
    <row r="21" spans="1:2" ht="12.75">
      <c r="A21" s="2">
        <v>2015</v>
      </c>
      <c r="B21" s="16" t="s">
        <v>14</v>
      </c>
    </row>
    <row r="22" spans="1:2" ht="12.75">
      <c r="A22" s="2">
        <v>2015</v>
      </c>
      <c r="B22" s="16" t="s">
        <v>15</v>
      </c>
    </row>
    <row r="23" spans="1:2" ht="12.75">
      <c r="A23" s="2">
        <v>2015</v>
      </c>
      <c r="B23" s="16" t="s">
        <v>16</v>
      </c>
    </row>
    <row r="24" spans="1:2" ht="12.75">
      <c r="A24" s="2">
        <v>2015</v>
      </c>
      <c r="B24" s="16" t="s">
        <v>17</v>
      </c>
    </row>
    <row r="25" spans="1:2" ht="12.75">
      <c r="A25" s="2">
        <v>2015</v>
      </c>
      <c r="B25" s="16" t="s">
        <v>18</v>
      </c>
    </row>
    <row r="26" spans="1:2" ht="26.25">
      <c r="A26" s="2">
        <v>2015</v>
      </c>
      <c r="B26" s="16" t="s">
        <v>19</v>
      </c>
    </row>
    <row r="27" spans="1:2" ht="12.75">
      <c r="A27" s="2">
        <v>2015</v>
      </c>
      <c r="B27" s="16" t="s">
        <v>20</v>
      </c>
    </row>
    <row r="28" spans="1:2" ht="12.75">
      <c r="A28" s="2">
        <v>2015</v>
      </c>
      <c r="B28" s="16" t="s">
        <v>21</v>
      </c>
    </row>
    <row r="29" spans="1:2" ht="12.75">
      <c r="A29" s="2">
        <v>2015</v>
      </c>
      <c r="B29" s="16" t="s">
        <v>22</v>
      </c>
    </row>
    <row r="30" spans="1:2" ht="12.75">
      <c r="A30" s="2">
        <v>2015</v>
      </c>
      <c r="B30" s="16" t="s">
        <v>23</v>
      </c>
    </row>
    <row r="31" spans="1:2" ht="12.75">
      <c r="A31" s="2">
        <v>2015</v>
      </c>
      <c r="B31" s="16" t="s">
        <v>24</v>
      </c>
    </row>
    <row r="32" spans="1:2" ht="12.75">
      <c r="A32" s="2">
        <v>2015</v>
      </c>
      <c r="B32" s="16" t="s">
        <v>25</v>
      </c>
    </row>
    <row r="33" spans="1:2" ht="12.75">
      <c r="A33" s="2">
        <v>2015</v>
      </c>
      <c r="B33" s="16" t="s">
        <v>26</v>
      </c>
    </row>
    <row r="34" spans="1:2" ht="12.75">
      <c r="A34" s="2">
        <v>2015</v>
      </c>
      <c r="B34" s="16" t="s">
        <v>27</v>
      </c>
    </row>
    <row r="35" spans="1:2" ht="12.75">
      <c r="A35" s="2">
        <v>2015</v>
      </c>
      <c r="B35" s="16" t="s">
        <v>28</v>
      </c>
    </row>
    <row r="36" spans="1:2" ht="12.75">
      <c r="A36" s="2">
        <v>2015</v>
      </c>
      <c r="B36" s="17" t="s">
        <v>29</v>
      </c>
    </row>
    <row r="37" ht="12.75">
      <c r="B37" s="18"/>
    </row>
    <row r="38" spans="1:2" ht="12.75">
      <c r="A38" s="2">
        <v>2016</v>
      </c>
      <c r="B38" s="19" t="s">
        <v>30</v>
      </c>
    </row>
    <row r="39" spans="1:2" ht="12.75">
      <c r="A39" s="2">
        <v>2016</v>
      </c>
      <c r="B39" s="16" t="s">
        <v>31</v>
      </c>
    </row>
    <row r="40" spans="1:2" ht="12.75">
      <c r="A40" s="2">
        <v>2016</v>
      </c>
      <c r="B40" s="16" t="s">
        <v>32</v>
      </c>
    </row>
    <row r="41" spans="1:2" ht="12.75">
      <c r="A41" s="2">
        <v>2016</v>
      </c>
      <c r="B41" s="16" t="s">
        <v>33</v>
      </c>
    </row>
    <row r="42" spans="1:2" ht="12.75">
      <c r="A42" s="2">
        <v>2016</v>
      </c>
      <c r="B42" s="16" t="s">
        <v>34</v>
      </c>
    </row>
    <row r="43" spans="1:2" ht="12.75">
      <c r="A43" s="2">
        <v>2016</v>
      </c>
      <c r="B43" s="16" t="s">
        <v>35</v>
      </c>
    </row>
    <row r="44" spans="1:2" ht="12.75">
      <c r="A44" s="2">
        <v>2016</v>
      </c>
      <c r="B44" s="16" t="s">
        <v>36</v>
      </c>
    </row>
    <row r="45" spans="1:2" ht="12.75">
      <c r="A45" s="2">
        <v>2016</v>
      </c>
      <c r="B45" s="16" t="s">
        <v>37</v>
      </c>
    </row>
    <row r="46" spans="1:2" ht="12.75">
      <c r="A46" s="2">
        <v>2016</v>
      </c>
      <c r="B46" s="16" t="s">
        <v>38</v>
      </c>
    </row>
    <row r="47" spans="1:2" ht="12.75">
      <c r="A47" s="2">
        <v>2016</v>
      </c>
      <c r="B47" s="16" t="s">
        <v>39</v>
      </c>
    </row>
    <row r="48" spans="1:2" ht="12.75">
      <c r="A48" s="2">
        <v>2016</v>
      </c>
      <c r="B48" s="16" t="s">
        <v>40</v>
      </c>
    </row>
    <row r="49" spans="1:2" ht="12.75">
      <c r="A49" s="2">
        <v>2016</v>
      </c>
      <c r="B49" s="16" t="s">
        <v>41</v>
      </c>
    </row>
    <row r="50" spans="1:2" ht="12.75">
      <c r="A50" s="2">
        <v>2016</v>
      </c>
      <c r="B50" s="16" t="s">
        <v>42</v>
      </c>
    </row>
    <row r="51" spans="1:2" ht="26.25">
      <c r="A51" s="2">
        <v>2016</v>
      </c>
      <c r="B51" s="16" t="s">
        <v>43</v>
      </c>
    </row>
    <row r="52" spans="1:2" ht="26.25">
      <c r="A52" s="2">
        <v>2016</v>
      </c>
      <c r="B52" s="16" t="s">
        <v>44</v>
      </c>
    </row>
    <row r="53" spans="1:2" ht="12.75">
      <c r="A53" s="2">
        <v>2016</v>
      </c>
      <c r="B53" s="16" t="s">
        <v>45</v>
      </c>
    </row>
    <row r="54" spans="1:2" ht="12.75">
      <c r="A54" s="2">
        <v>2016</v>
      </c>
      <c r="B54" s="16" t="s">
        <v>46</v>
      </c>
    </row>
    <row r="55" spans="1:2" ht="12.75">
      <c r="A55" s="2">
        <v>2016</v>
      </c>
      <c r="B55" s="16" t="s">
        <v>47</v>
      </c>
    </row>
    <row r="56" spans="1:2" ht="12.75">
      <c r="A56" s="2">
        <v>2016</v>
      </c>
      <c r="B56" s="16" t="s">
        <v>48</v>
      </c>
    </row>
    <row r="57" spans="1:2" ht="12.75">
      <c r="A57" s="2">
        <v>2016</v>
      </c>
      <c r="B57" s="16" t="s">
        <v>49</v>
      </c>
    </row>
    <row r="58" spans="1:2" ht="12.75">
      <c r="A58" s="2">
        <v>2016</v>
      </c>
      <c r="B58" s="16" t="s">
        <v>50</v>
      </c>
    </row>
    <row r="59" spans="1:2" ht="12.75">
      <c r="A59" s="2">
        <v>2016</v>
      </c>
      <c r="B59" s="16" t="s">
        <v>51</v>
      </c>
    </row>
    <row r="60" spans="1:2" ht="12.75">
      <c r="A60" s="2">
        <v>2016</v>
      </c>
      <c r="B60" s="17" t="s">
        <v>52</v>
      </c>
    </row>
    <row r="61" ht="12.75">
      <c r="B61" s="18"/>
    </row>
    <row r="62" spans="1:2" ht="12.75">
      <c r="A62" s="2">
        <v>2017</v>
      </c>
      <c r="B62" s="19" t="s">
        <v>53</v>
      </c>
    </row>
    <row r="63" spans="1:2" ht="12.75">
      <c r="A63" s="2">
        <v>2017</v>
      </c>
      <c r="B63" s="16" t="s">
        <v>54</v>
      </c>
    </row>
    <row r="64" spans="1:2" ht="26.25">
      <c r="A64" s="2">
        <v>2017</v>
      </c>
      <c r="B64" s="16" t="s">
        <v>55</v>
      </c>
    </row>
    <row r="65" spans="1:2" ht="26.25">
      <c r="A65" s="2">
        <v>2017</v>
      </c>
      <c r="B65" s="16" t="s">
        <v>56</v>
      </c>
    </row>
    <row r="66" spans="1:2" ht="12.75">
      <c r="A66" s="2">
        <v>2017</v>
      </c>
      <c r="B66" s="16" t="s">
        <v>57</v>
      </c>
    </row>
    <row r="67" spans="1:2" ht="26.25">
      <c r="A67" s="2">
        <v>2017</v>
      </c>
      <c r="B67" s="16" t="s">
        <v>58</v>
      </c>
    </row>
    <row r="68" spans="1:2" ht="12.75">
      <c r="A68" s="2">
        <v>2017</v>
      </c>
      <c r="B68" s="16" t="s">
        <v>59</v>
      </c>
    </row>
    <row r="69" spans="1:2" ht="12.75">
      <c r="A69" s="2">
        <v>2017</v>
      </c>
      <c r="B69" s="16" t="s">
        <v>60</v>
      </c>
    </row>
    <row r="70" spans="1:2" ht="12.75">
      <c r="A70" s="2">
        <v>2017</v>
      </c>
      <c r="B70" s="16" t="s">
        <v>61</v>
      </c>
    </row>
    <row r="71" spans="1:2" ht="12.75">
      <c r="A71" s="2">
        <v>2017</v>
      </c>
      <c r="B71" s="16" t="s">
        <v>62</v>
      </c>
    </row>
    <row r="72" spans="1:2" ht="12.75">
      <c r="A72" s="2">
        <v>2017</v>
      </c>
      <c r="B72" s="16" t="s">
        <v>63</v>
      </c>
    </row>
    <row r="73" spans="1:2" ht="12.75">
      <c r="A73" s="2">
        <v>2017</v>
      </c>
      <c r="B73" s="16" t="s">
        <v>64</v>
      </c>
    </row>
    <row r="74" spans="1:2" ht="12.75">
      <c r="A74" s="2">
        <v>2017</v>
      </c>
      <c r="B74" s="16" t="s">
        <v>65</v>
      </c>
    </row>
    <row r="75" spans="1:2" ht="12.75">
      <c r="A75" s="2">
        <v>2017</v>
      </c>
      <c r="B75" s="16" t="s">
        <v>66</v>
      </c>
    </row>
    <row r="76" spans="1:2" ht="12.75">
      <c r="A76" s="2">
        <v>2017</v>
      </c>
      <c r="B76" s="16" t="s">
        <v>67</v>
      </c>
    </row>
    <row r="77" spans="1:2" ht="12.75">
      <c r="A77" s="2">
        <v>2017</v>
      </c>
      <c r="B77" s="16" t="s">
        <v>68</v>
      </c>
    </row>
    <row r="78" spans="1:2" ht="12.75">
      <c r="A78" s="2">
        <v>2017</v>
      </c>
      <c r="B78" s="16" t="s">
        <v>69</v>
      </c>
    </row>
  </sheetData>
  <sheetProtection/>
  <printOptions/>
  <pageMargins left="0.75" right="0.75" top="1" bottom="1" header="0.5" footer="0.5"/>
  <pageSetup fitToHeight="0" fitToWidth="1" horizontalDpi="300" verticalDpi="300" orientation="portrait" pageOrder="overThenDown"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4">
      <selection activeCell="I16" sqref="I16"/>
    </sheetView>
  </sheetViews>
  <sheetFormatPr defaultColWidth="9.140625" defaultRowHeight="12.75"/>
  <cols>
    <col min="2" max="2" width="83.421875" style="0" customWidth="1"/>
    <col min="3" max="3" width="22.00390625" style="0" customWidth="1"/>
    <col min="4" max="4" width="10.7109375" style="14" hidden="1" customWidth="1"/>
  </cols>
  <sheetData>
    <row r="1" ht="52.5">
      <c r="B1" s="21" t="s">
        <v>221</v>
      </c>
    </row>
    <row r="3" spans="1:4" ht="12.75">
      <c r="A3" s="1" t="s">
        <v>72</v>
      </c>
      <c r="B3" s="15" t="s">
        <v>73</v>
      </c>
      <c r="C3" s="1" t="s">
        <v>74</v>
      </c>
      <c r="D3" s="13" t="s">
        <v>219</v>
      </c>
    </row>
    <row r="4" spans="1:4" ht="12.75">
      <c r="A4" s="2">
        <v>2014</v>
      </c>
      <c r="B4" s="10" t="s">
        <v>1</v>
      </c>
      <c r="C4" s="3">
        <f>19869060/100</f>
        <v>198690.6</v>
      </c>
      <c r="D4" s="14">
        <f>SUM(C4:C11)</f>
        <v>660008.54</v>
      </c>
    </row>
    <row r="5" spans="1:3" ht="12.75">
      <c r="A5" s="2">
        <v>2014</v>
      </c>
      <c r="B5" s="10" t="s">
        <v>70</v>
      </c>
      <c r="C5" s="3">
        <f>4216300/100</f>
        <v>42163</v>
      </c>
    </row>
    <row r="6" spans="1:3" ht="12.75">
      <c r="A6" s="2">
        <v>2014</v>
      </c>
      <c r="B6" s="10" t="s">
        <v>71</v>
      </c>
      <c r="C6" s="3">
        <f>4510708/100</f>
        <v>45107.08</v>
      </c>
    </row>
    <row r="7" spans="1:3" ht="12.75">
      <c r="A7" s="2">
        <v>2014</v>
      </c>
      <c r="B7" s="10" t="s">
        <v>3</v>
      </c>
      <c r="C7" s="3">
        <f>6113352/100</f>
        <v>61133.52</v>
      </c>
    </row>
    <row r="8" spans="1:3" ht="12.75">
      <c r="A8" s="2">
        <v>2014</v>
      </c>
      <c r="B8" s="11" t="s">
        <v>5</v>
      </c>
      <c r="C8" s="5">
        <f>10801182/100</f>
        <v>108011.82</v>
      </c>
    </row>
    <row r="9" spans="1:3" ht="12.75">
      <c r="A9" s="2">
        <v>2014</v>
      </c>
      <c r="B9" s="2" t="s">
        <v>0</v>
      </c>
      <c r="C9" s="24">
        <f>16278432/100</f>
        <v>162784.32</v>
      </c>
    </row>
    <row r="10" spans="1:3" ht="12.75">
      <c r="A10" s="2">
        <v>2014</v>
      </c>
      <c r="B10" s="12" t="s">
        <v>7</v>
      </c>
      <c r="C10" s="7">
        <f>1911820/100</f>
        <v>19118.2</v>
      </c>
    </row>
    <row r="11" spans="1:3" ht="12.75">
      <c r="A11" s="4">
        <v>2014</v>
      </c>
      <c r="B11" s="11" t="s">
        <v>9</v>
      </c>
      <c r="C11" s="5">
        <f>2300000/100</f>
        <v>23000</v>
      </c>
    </row>
    <row r="12" spans="1:3" ht="12.75">
      <c r="A12" s="8"/>
      <c r="B12" s="8"/>
      <c r="C12" s="9"/>
    </row>
    <row r="13" spans="1:4" ht="12.75">
      <c r="A13" s="6">
        <v>2015</v>
      </c>
      <c r="B13" s="12" t="s">
        <v>14</v>
      </c>
      <c r="C13" s="7">
        <f>7736792/100</f>
        <v>77367.92</v>
      </c>
      <c r="D13" s="14">
        <f>SUM(C13:C18)</f>
        <v>554506.27</v>
      </c>
    </row>
    <row r="14" spans="1:3" ht="12.75">
      <c r="A14" s="2">
        <v>2015</v>
      </c>
      <c r="B14" s="10" t="s">
        <v>16</v>
      </c>
      <c r="C14" s="3">
        <f>6595140/100</f>
        <v>65951.4</v>
      </c>
    </row>
    <row r="15" spans="1:3" ht="12.75">
      <c r="A15" s="2">
        <v>2015</v>
      </c>
      <c r="B15" s="11" t="s">
        <v>19</v>
      </c>
      <c r="C15" s="5">
        <f>16425331/100</f>
        <v>164253.31</v>
      </c>
    </row>
    <row r="16" spans="1:3" ht="12.75">
      <c r="A16" s="2">
        <v>2015</v>
      </c>
      <c r="B16" s="2" t="s">
        <v>20</v>
      </c>
      <c r="C16" s="24">
        <f>9502060/100</f>
        <v>95020.6</v>
      </c>
    </row>
    <row r="17" spans="1:3" ht="12.75">
      <c r="A17" s="2">
        <v>2015</v>
      </c>
      <c r="B17" s="12" t="s">
        <v>21</v>
      </c>
      <c r="C17" s="7">
        <v>101991.54</v>
      </c>
    </row>
    <row r="18" spans="1:3" ht="12.75">
      <c r="A18" s="4">
        <v>2015</v>
      </c>
      <c r="B18" s="11" t="s">
        <v>24</v>
      </c>
      <c r="C18" s="5">
        <f>4992150/100</f>
        <v>49921.5</v>
      </c>
    </row>
    <row r="19" spans="1:3" ht="12.75">
      <c r="A19" s="8"/>
      <c r="B19" s="8"/>
      <c r="C19" s="9"/>
    </row>
    <row r="20" spans="1:4" ht="12.75">
      <c r="A20" s="6">
        <v>2016</v>
      </c>
      <c r="B20" s="12" t="s">
        <v>30</v>
      </c>
      <c r="C20" s="7">
        <f>13203472/100</f>
        <v>132034.72</v>
      </c>
      <c r="D20" s="14">
        <f>SUM(C20:C32)</f>
        <v>2967481.1299999994</v>
      </c>
    </row>
    <row r="21" spans="1:3" ht="12.75">
      <c r="A21" s="2">
        <v>2016</v>
      </c>
      <c r="B21" s="10" t="s">
        <v>31</v>
      </c>
      <c r="C21" s="3">
        <f>7958472/100</f>
        <v>79584.72</v>
      </c>
    </row>
    <row r="22" spans="1:3" ht="12.75">
      <c r="A22" s="2">
        <v>2016</v>
      </c>
      <c r="B22" s="10" t="s">
        <v>32</v>
      </c>
      <c r="C22" s="3">
        <f>30820959/100</f>
        <v>308209.59</v>
      </c>
    </row>
    <row r="23" spans="1:3" ht="12.75">
      <c r="A23" s="2">
        <v>2016</v>
      </c>
      <c r="B23" s="10" t="s">
        <v>33</v>
      </c>
      <c r="C23" s="3">
        <f>166442029/100</f>
        <v>1664420.29</v>
      </c>
    </row>
    <row r="24" spans="1:3" ht="12.75">
      <c r="A24" s="2">
        <v>2016</v>
      </c>
      <c r="B24" s="10" t="s">
        <v>34</v>
      </c>
      <c r="C24" s="3">
        <f>4084880/100</f>
        <v>40848.8</v>
      </c>
    </row>
    <row r="25" spans="1:3" ht="12.75">
      <c r="A25" s="2">
        <v>2016</v>
      </c>
      <c r="B25" s="10" t="s">
        <v>35</v>
      </c>
      <c r="C25" s="3">
        <f>3883440/100</f>
        <v>38834.4</v>
      </c>
    </row>
    <row r="26" spans="1:3" ht="12.75">
      <c r="A26" s="2">
        <v>2016</v>
      </c>
      <c r="B26" s="10" t="s">
        <v>39</v>
      </c>
      <c r="C26" s="3">
        <f>9916600/100</f>
        <v>99166</v>
      </c>
    </row>
    <row r="27" spans="1:3" ht="12.75">
      <c r="A27" s="2">
        <v>2016</v>
      </c>
      <c r="B27" s="10" t="s">
        <v>42</v>
      </c>
      <c r="C27" s="3">
        <f>3477840/100</f>
        <v>34778.4</v>
      </c>
    </row>
    <row r="28" spans="1:3" ht="12.75">
      <c r="A28" s="2">
        <v>2016</v>
      </c>
      <c r="B28" s="10" t="s">
        <v>44</v>
      </c>
      <c r="C28" s="3">
        <f>8257232/100</f>
        <v>82572.32</v>
      </c>
    </row>
    <row r="29" spans="1:3" ht="12.75">
      <c r="A29" s="2">
        <v>2016</v>
      </c>
      <c r="B29" s="10" t="s">
        <v>47</v>
      </c>
      <c r="C29" s="3">
        <f>19066380/100</f>
        <v>190663.8</v>
      </c>
    </row>
    <row r="30" spans="1:3" ht="12.75">
      <c r="A30" s="2">
        <v>2016</v>
      </c>
      <c r="B30" s="11" t="s">
        <v>50</v>
      </c>
      <c r="C30" s="5">
        <f>2948000/100</f>
        <v>29480</v>
      </c>
    </row>
    <row r="31" spans="1:3" ht="12.75">
      <c r="A31" s="2">
        <v>2016</v>
      </c>
      <c r="B31" s="2" t="s">
        <v>49</v>
      </c>
      <c r="C31" s="3">
        <f>19956857/100</f>
        <v>199568.57</v>
      </c>
    </row>
    <row r="32" spans="1:3" ht="12.75">
      <c r="A32" s="4">
        <v>2016</v>
      </c>
      <c r="B32" s="25" t="s">
        <v>51</v>
      </c>
      <c r="C32" s="26">
        <f>6731952/100</f>
        <v>67319.52</v>
      </c>
    </row>
    <row r="33" spans="1:3" ht="12.75">
      <c r="A33" s="8"/>
      <c r="B33" s="8"/>
      <c r="C33" s="9"/>
    </row>
    <row r="34" spans="1:4" ht="12.75">
      <c r="A34" s="6">
        <v>2017</v>
      </c>
      <c r="B34" s="12" t="s">
        <v>56</v>
      </c>
      <c r="C34" s="7">
        <f>1656780/100</f>
        <v>16567.8</v>
      </c>
      <c r="D34" s="14">
        <f>SUM(C34:C41)</f>
        <v>362616.76999999996</v>
      </c>
    </row>
    <row r="35" spans="1:3" ht="12.75">
      <c r="A35" s="2">
        <v>2017</v>
      </c>
      <c r="B35" s="10" t="s">
        <v>57</v>
      </c>
      <c r="C35" s="3">
        <f>6278657/100</f>
        <v>62786.57</v>
      </c>
    </row>
    <row r="36" spans="1:3" ht="12.75">
      <c r="A36" s="2">
        <v>2017</v>
      </c>
      <c r="B36" s="10" t="s">
        <v>58</v>
      </c>
      <c r="C36" s="3">
        <f>5452896/100</f>
        <v>54528.96</v>
      </c>
    </row>
    <row r="37" spans="1:3" ht="12.75">
      <c r="A37" s="2">
        <v>2017</v>
      </c>
      <c r="B37" s="10" t="s">
        <v>59</v>
      </c>
      <c r="C37" s="3">
        <f>9980000/100</f>
        <v>99800</v>
      </c>
    </row>
    <row r="38" spans="1:3" ht="12.75">
      <c r="A38" s="2">
        <v>2017</v>
      </c>
      <c r="B38" s="10" t="s">
        <v>61</v>
      </c>
      <c r="C38" s="3">
        <f>0/100</f>
        <v>0</v>
      </c>
    </row>
    <row r="39" spans="1:3" ht="12.75">
      <c r="A39" s="2">
        <v>2017</v>
      </c>
      <c r="B39" s="10" t="s">
        <v>62</v>
      </c>
      <c r="C39" s="3">
        <f>700000/100</f>
        <v>7000</v>
      </c>
    </row>
    <row r="40" spans="1:3" ht="12.75">
      <c r="A40" s="2">
        <v>2017</v>
      </c>
      <c r="B40" s="10" t="s">
        <v>64</v>
      </c>
      <c r="C40" s="3">
        <f>8100000/100</f>
        <v>81000</v>
      </c>
    </row>
    <row r="41" spans="1:3" ht="12.75">
      <c r="A41" s="2">
        <v>2017</v>
      </c>
      <c r="B41" s="10" t="s">
        <v>66</v>
      </c>
      <c r="C41" s="3">
        <f>4093344/100</f>
        <v>40933.44</v>
      </c>
    </row>
  </sheetData>
  <sheetProtection/>
  <printOptions/>
  <pageMargins left="0.7" right="0.7" top="0.75" bottom="0.75" header="0.3" footer="0.3"/>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D150"/>
  <sheetViews>
    <sheetView tabSelected="1" zoomScalePageLayoutView="0" workbookViewId="0" topLeftCell="A1">
      <selection activeCell="K11" sqref="K11"/>
    </sheetView>
  </sheetViews>
  <sheetFormatPr defaultColWidth="9.140625" defaultRowHeight="12.75"/>
  <cols>
    <col min="1" max="1" width="9.8515625" style="0" customWidth="1"/>
    <col min="2" max="2" width="72.57421875" style="0" customWidth="1"/>
    <col min="3" max="3" width="12.28125" style="23" bestFit="1" customWidth="1"/>
    <col min="4" max="4" width="0" style="0" hidden="1" customWidth="1"/>
  </cols>
  <sheetData>
    <row r="1" ht="105">
      <c r="B1" s="21" t="s">
        <v>222</v>
      </c>
    </row>
    <row r="3" spans="1:3" ht="39">
      <c r="A3" s="1" t="s">
        <v>72</v>
      </c>
      <c r="B3" s="15" t="s">
        <v>73</v>
      </c>
      <c r="C3" s="27" t="s">
        <v>74</v>
      </c>
    </row>
    <row r="4" spans="1:4" ht="12.75">
      <c r="A4" s="2">
        <v>2014</v>
      </c>
      <c r="B4" s="2" t="s">
        <v>91</v>
      </c>
      <c r="C4" s="3">
        <f>300051/100</f>
        <v>3000.51</v>
      </c>
      <c r="D4" s="14">
        <f>SUM(C4:C27)</f>
        <v>1129395.1300000001</v>
      </c>
    </row>
    <row r="5" spans="1:3" ht="12.75">
      <c r="A5" s="2">
        <v>2014</v>
      </c>
      <c r="B5" s="2" t="s">
        <v>76</v>
      </c>
      <c r="C5" s="3">
        <f>4517351/100</f>
        <v>45173.51</v>
      </c>
    </row>
    <row r="6" spans="1:3" ht="12.75">
      <c r="A6" s="2">
        <v>2014</v>
      </c>
      <c r="B6" s="2" t="s">
        <v>75</v>
      </c>
      <c r="C6" s="3">
        <f>3291104/100</f>
        <v>32911.04</v>
      </c>
    </row>
    <row r="7" spans="1:3" ht="12.75">
      <c r="A7" s="2">
        <v>2014</v>
      </c>
      <c r="B7" s="2" t="s">
        <v>81</v>
      </c>
      <c r="C7" s="3">
        <f>3755670/100</f>
        <v>37556.7</v>
      </c>
    </row>
    <row r="8" spans="1:3" ht="12.75">
      <c r="A8" s="2">
        <v>2014</v>
      </c>
      <c r="B8" s="2" t="s">
        <v>77</v>
      </c>
      <c r="C8" s="3">
        <f>368608/100</f>
        <v>3686.08</v>
      </c>
    </row>
    <row r="9" spans="1:3" ht="12.75">
      <c r="A9" s="2">
        <v>2014</v>
      </c>
      <c r="B9" s="2" t="s">
        <v>78</v>
      </c>
      <c r="C9" s="3">
        <f>233616/100</f>
        <v>2336.16</v>
      </c>
    </row>
    <row r="10" spans="1:3" ht="12.75">
      <c r="A10" s="2">
        <v>2014</v>
      </c>
      <c r="B10" s="2" t="s">
        <v>79</v>
      </c>
      <c r="C10" s="3">
        <f>1299836/100</f>
        <v>12998.36</v>
      </c>
    </row>
    <row r="11" spans="1:3" ht="12.75">
      <c r="A11" s="2">
        <v>2014</v>
      </c>
      <c r="B11" s="2" t="s">
        <v>80</v>
      </c>
      <c r="C11" s="3">
        <f>184304/100</f>
        <v>1843.04</v>
      </c>
    </row>
    <row r="12" spans="1:3" ht="12.75">
      <c r="A12" s="2">
        <v>2014</v>
      </c>
      <c r="B12" s="2" t="s">
        <v>87</v>
      </c>
      <c r="C12" s="3">
        <f>19855000/100</f>
        <v>198550</v>
      </c>
    </row>
    <row r="13" spans="1:3" ht="12.75">
      <c r="A13" s="2">
        <v>2014</v>
      </c>
      <c r="B13" s="2" t="s">
        <v>84</v>
      </c>
      <c r="C13" s="3">
        <f>5902544/100</f>
        <v>59025.44</v>
      </c>
    </row>
    <row r="14" spans="1:3" ht="12.75">
      <c r="A14" s="2">
        <v>2014</v>
      </c>
      <c r="B14" s="2" t="s">
        <v>82</v>
      </c>
      <c r="C14" s="3">
        <f>460760/100</f>
        <v>4607.6</v>
      </c>
    </row>
    <row r="15" spans="1:3" ht="12.75">
      <c r="A15" s="2">
        <v>2014</v>
      </c>
      <c r="B15" s="2" t="s">
        <v>83</v>
      </c>
      <c r="C15" s="3">
        <f>1800000/100</f>
        <v>18000</v>
      </c>
    </row>
    <row r="16" spans="1:3" ht="12.75">
      <c r="A16" s="2">
        <v>2014</v>
      </c>
      <c r="B16" s="2" t="s">
        <v>85</v>
      </c>
      <c r="C16" s="3">
        <f>4500000/100</f>
        <v>45000</v>
      </c>
    </row>
    <row r="17" spans="1:3" ht="12.75">
      <c r="A17" s="2">
        <v>2014</v>
      </c>
      <c r="B17" s="2" t="s">
        <v>86</v>
      </c>
      <c r="C17" s="3">
        <f>4039984/100</f>
        <v>40399.84</v>
      </c>
    </row>
    <row r="18" spans="1:3" ht="12.75">
      <c r="A18" s="2">
        <v>2014</v>
      </c>
      <c r="B18" s="2" t="s">
        <v>88</v>
      </c>
      <c r="C18" s="3">
        <f>8227494/100</f>
        <v>82274.94</v>
      </c>
    </row>
    <row r="19" spans="1:3" ht="12.75">
      <c r="A19" s="2">
        <v>2014</v>
      </c>
      <c r="B19" s="2" t="s">
        <v>96</v>
      </c>
      <c r="C19" s="3">
        <f>7434840/100</f>
        <v>74348.4</v>
      </c>
    </row>
    <row r="20" spans="1:3" ht="12.75">
      <c r="A20" s="2">
        <v>2014</v>
      </c>
      <c r="B20" s="2" t="s">
        <v>89</v>
      </c>
      <c r="C20" s="3">
        <f>8485954/100</f>
        <v>84859.54</v>
      </c>
    </row>
    <row r="21" spans="1:3" ht="12.75">
      <c r="A21" s="2">
        <v>2014</v>
      </c>
      <c r="B21" s="2" t="s">
        <v>97</v>
      </c>
      <c r="C21" s="3">
        <f>3954000/100</f>
        <v>39540</v>
      </c>
    </row>
    <row r="22" spans="1:3" ht="12.75">
      <c r="A22" s="2">
        <v>2014</v>
      </c>
      <c r="B22" s="4" t="s">
        <v>95</v>
      </c>
      <c r="C22" s="5">
        <f>6649584/100</f>
        <v>66495.84</v>
      </c>
    </row>
    <row r="23" spans="1:3" ht="12.75">
      <c r="A23" s="2">
        <v>2014</v>
      </c>
      <c r="B23" s="2" t="s">
        <v>93</v>
      </c>
      <c r="C23" s="3">
        <f>4213727/100</f>
        <v>42137.27</v>
      </c>
    </row>
    <row r="24" spans="1:3" ht="12.75">
      <c r="A24" s="2">
        <v>2014</v>
      </c>
      <c r="B24" s="6" t="s">
        <v>94</v>
      </c>
      <c r="C24" s="7">
        <f>6139204/100</f>
        <v>61392.04</v>
      </c>
    </row>
    <row r="25" spans="1:3" ht="12.75">
      <c r="A25" s="2">
        <v>2014</v>
      </c>
      <c r="B25" s="2" t="s">
        <v>90</v>
      </c>
      <c r="C25" s="3">
        <f>7610180/100</f>
        <v>76101.8</v>
      </c>
    </row>
    <row r="26" spans="1:3" ht="12.75">
      <c r="A26" s="2">
        <v>2014</v>
      </c>
      <c r="B26" s="2" t="s">
        <v>99</v>
      </c>
      <c r="C26" s="3">
        <f>3600000/100</f>
        <v>36000</v>
      </c>
    </row>
    <row r="27" spans="1:3" ht="12.75">
      <c r="A27" s="4">
        <v>2014</v>
      </c>
      <c r="B27" s="4" t="s">
        <v>92</v>
      </c>
      <c r="C27" s="5">
        <f>6115702/100</f>
        <v>61157.02</v>
      </c>
    </row>
    <row r="28" spans="1:3" ht="12.75">
      <c r="A28" s="8"/>
      <c r="B28" s="8"/>
      <c r="C28" s="9"/>
    </row>
    <row r="29" spans="1:4" ht="12.75">
      <c r="A29" s="6">
        <v>2015</v>
      </c>
      <c r="B29" s="6" t="s">
        <v>98</v>
      </c>
      <c r="C29" s="7">
        <f>6028918/100</f>
        <v>60289.18</v>
      </c>
      <c r="D29" s="14">
        <f>SUM(C29:C77)</f>
        <v>2111973.1900000004</v>
      </c>
    </row>
    <row r="30" spans="1:3" ht="12.75">
      <c r="A30" s="2">
        <v>2015</v>
      </c>
      <c r="B30" s="2" t="s">
        <v>100</v>
      </c>
      <c r="C30" s="3">
        <f>1535336/100</f>
        <v>15353.36</v>
      </c>
    </row>
    <row r="31" spans="1:3" ht="12.75">
      <c r="A31" s="2">
        <v>2015</v>
      </c>
      <c r="B31" s="2" t="s">
        <v>115</v>
      </c>
      <c r="C31" s="3">
        <f>1990376/100</f>
        <v>19903.76</v>
      </c>
    </row>
    <row r="32" spans="1:3" ht="12.75">
      <c r="A32" s="2">
        <v>2015</v>
      </c>
      <c r="B32" s="2" t="s">
        <v>104</v>
      </c>
      <c r="C32" s="3">
        <f>8968635/100</f>
        <v>89686.35</v>
      </c>
    </row>
    <row r="33" spans="1:3" ht="12.75">
      <c r="A33" s="2">
        <v>2015</v>
      </c>
      <c r="B33" s="2" t="s">
        <v>105</v>
      </c>
      <c r="C33" s="3">
        <f>3150000/100</f>
        <v>31500</v>
      </c>
    </row>
    <row r="34" spans="1:3" ht="12.75">
      <c r="A34" s="2">
        <v>2015</v>
      </c>
      <c r="B34" s="2" t="s">
        <v>102</v>
      </c>
      <c r="C34" s="3">
        <f>375968/100</f>
        <v>3759.68</v>
      </c>
    </row>
    <row r="35" spans="1:3" ht="12.75">
      <c r="A35" s="2">
        <v>2015</v>
      </c>
      <c r="B35" s="2" t="s">
        <v>103</v>
      </c>
      <c r="C35" s="3">
        <f>6560000/100</f>
        <v>65600</v>
      </c>
    </row>
    <row r="36" spans="1:3" ht="12.75">
      <c r="A36" s="2">
        <v>2015</v>
      </c>
      <c r="B36" s="2" t="s">
        <v>106</v>
      </c>
      <c r="C36" s="3">
        <f>708096/100</f>
        <v>7080.96</v>
      </c>
    </row>
    <row r="37" spans="1:3" ht="12.75">
      <c r="A37" s="2">
        <v>2015</v>
      </c>
      <c r="B37" s="2" t="s">
        <v>101</v>
      </c>
      <c r="C37" s="3">
        <f>238288/100</f>
        <v>2382.88</v>
      </c>
    </row>
    <row r="38" spans="1:3" ht="12.75">
      <c r="A38" s="2">
        <v>2015</v>
      </c>
      <c r="B38" s="2" t="s">
        <v>107</v>
      </c>
      <c r="C38" s="3">
        <f>687732/100</f>
        <v>6877.32</v>
      </c>
    </row>
    <row r="39" spans="1:3" ht="12.75">
      <c r="A39" s="2">
        <v>2015</v>
      </c>
      <c r="B39" s="2" t="s">
        <v>108</v>
      </c>
      <c r="C39" s="3">
        <f>379276/100</f>
        <v>3792.76</v>
      </c>
    </row>
    <row r="40" spans="1:3" ht="12.75">
      <c r="A40" s="2">
        <v>2015</v>
      </c>
      <c r="B40" s="2" t="s">
        <v>109</v>
      </c>
      <c r="C40" s="3">
        <f>3772480/100</f>
        <v>37724.8</v>
      </c>
    </row>
    <row r="41" spans="1:3" ht="12.75">
      <c r="A41" s="2">
        <v>2015</v>
      </c>
      <c r="B41" s="2" t="s">
        <v>110</v>
      </c>
      <c r="C41" s="3">
        <f>3280000/100</f>
        <v>32800</v>
      </c>
    </row>
    <row r="42" spans="1:3" ht="12.75">
      <c r="A42" s="2">
        <v>2015</v>
      </c>
      <c r="B42" s="2" t="s">
        <v>112</v>
      </c>
      <c r="C42" s="3">
        <f>4996934/100</f>
        <v>49969.34</v>
      </c>
    </row>
    <row r="43" spans="1:3" ht="12.75">
      <c r="A43" s="2">
        <v>2015</v>
      </c>
      <c r="B43" s="2" t="s">
        <v>113</v>
      </c>
      <c r="C43" s="3">
        <f>5392832/100</f>
        <v>53928.32</v>
      </c>
    </row>
    <row r="44" spans="1:3" ht="12.75">
      <c r="A44" s="2">
        <v>2015</v>
      </c>
      <c r="B44" s="2" t="s">
        <v>111</v>
      </c>
      <c r="C44" s="3">
        <f>849200/100</f>
        <v>8492</v>
      </c>
    </row>
    <row r="45" spans="1:3" ht="12.75">
      <c r="A45" s="2">
        <v>2015</v>
      </c>
      <c r="B45" s="2" t="s">
        <v>117</v>
      </c>
      <c r="C45" s="3">
        <f>4812766/100</f>
        <v>48127.66</v>
      </c>
    </row>
    <row r="46" spans="1:3" ht="12.75">
      <c r="A46" s="2">
        <v>2015</v>
      </c>
      <c r="B46" s="2" t="s">
        <v>118</v>
      </c>
      <c r="C46" s="3">
        <f>7201758/100</f>
        <v>72017.58</v>
      </c>
    </row>
    <row r="47" spans="1:3" ht="12.75">
      <c r="A47" s="2">
        <v>2015</v>
      </c>
      <c r="B47" s="2" t="s">
        <v>114</v>
      </c>
      <c r="C47" s="3">
        <f>830190/100</f>
        <v>8301.9</v>
      </c>
    </row>
    <row r="48" spans="1:3" ht="12.75">
      <c r="A48" s="2">
        <v>2015</v>
      </c>
      <c r="B48" s="2" t="s">
        <v>116</v>
      </c>
      <c r="C48" s="3">
        <f>8500000/100</f>
        <v>85000</v>
      </c>
    </row>
    <row r="49" spans="1:3" ht="12.75">
      <c r="A49" s="2">
        <v>2015</v>
      </c>
      <c r="B49" s="2" t="s">
        <v>138</v>
      </c>
      <c r="C49" s="3">
        <f>26267095/100</f>
        <v>262670.95</v>
      </c>
    </row>
    <row r="50" spans="1:3" ht="12.75">
      <c r="A50" s="2">
        <v>2015</v>
      </c>
      <c r="B50" s="2" t="s">
        <v>119</v>
      </c>
      <c r="C50" s="3">
        <f>550100/100</f>
        <v>5501</v>
      </c>
    </row>
    <row r="51" spans="1:3" ht="12.75">
      <c r="A51" s="2">
        <v>2015</v>
      </c>
      <c r="B51" s="2" t="s">
        <v>125</v>
      </c>
      <c r="C51" s="3">
        <f>6960380/100</f>
        <v>69603.8</v>
      </c>
    </row>
    <row r="52" spans="1:3" ht="12.75">
      <c r="A52" s="2">
        <v>2015</v>
      </c>
      <c r="B52" s="2" t="s">
        <v>126</v>
      </c>
      <c r="C52" s="3">
        <f>9996171/100</f>
        <v>99961.71</v>
      </c>
    </row>
    <row r="53" spans="1:3" ht="12.75">
      <c r="A53" s="2">
        <v>2015</v>
      </c>
      <c r="B53" s="2" t="s">
        <v>121</v>
      </c>
      <c r="C53" s="3">
        <f>8471094/100</f>
        <v>84710.94</v>
      </c>
    </row>
    <row r="54" spans="1:3" ht="12.75">
      <c r="A54" s="2">
        <v>2015</v>
      </c>
      <c r="B54" s="2" t="s">
        <v>120</v>
      </c>
      <c r="C54" s="3">
        <f>3827608/100</f>
        <v>38276.08</v>
      </c>
    </row>
    <row r="55" spans="1:3" ht="12.75">
      <c r="A55" s="2">
        <v>2015</v>
      </c>
      <c r="B55" s="2" t="s">
        <v>128</v>
      </c>
      <c r="C55" s="3">
        <f>4400000/100</f>
        <v>44000</v>
      </c>
    </row>
    <row r="56" spans="1:3" ht="12.75">
      <c r="A56" s="2">
        <v>2015</v>
      </c>
      <c r="B56" s="2" t="s">
        <v>123</v>
      </c>
      <c r="C56" s="3">
        <f>849928/100</f>
        <v>8499.28</v>
      </c>
    </row>
    <row r="57" spans="1:3" ht="12.75">
      <c r="A57" s="2">
        <v>2015</v>
      </c>
      <c r="B57" s="2" t="s">
        <v>122</v>
      </c>
      <c r="C57" s="3">
        <f>282000/100</f>
        <v>2820</v>
      </c>
    </row>
    <row r="58" spans="1:3" ht="12.75">
      <c r="A58" s="2">
        <v>2015</v>
      </c>
      <c r="B58" s="2" t="s">
        <v>127</v>
      </c>
      <c r="C58" s="3">
        <f>3332800/100</f>
        <v>33328</v>
      </c>
    </row>
    <row r="59" spans="1:3" ht="12.75">
      <c r="A59" s="2">
        <v>2015</v>
      </c>
      <c r="B59" s="2" t="s">
        <v>124</v>
      </c>
      <c r="C59" s="3">
        <f>588500/100</f>
        <v>5885</v>
      </c>
    </row>
    <row r="60" spans="1:3" ht="12.75">
      <c r="A60" s="2">
        <v>2015</v>
      </c>
      <c r="B60" s="2" t="s">
        <v>131</v>
      </c>
      <c r="C60" s="3">
        <f>1875926/100</f>
        <v>18759.26</v>
      </c>
    </row>
    <row r="61" spans="1:3" ht="12.75">
      <c r="A61" s="2">
        <v>2015</v>
      </c>
      <c r="B61" s="2" t="s">
        <v>130</v>
      </c>
      <c r="C61" s="3">
        <f>8474481/100</f>
        <v>84744.81</v>
      </c>
    </row>
    <row r="62" spans="1:3" ht="12.75">
      <c r="A62" s="2">
        <v>2015</v>
      </c>
      <c r="B62" s="2" t="s">
        <v>137</v>
      </c>
      <c r="C62" s="3">
        <f>4600424/100</f>
        <v>46004.24</v>
      </c>
    </row>
    <row r="63" spans="1:3" ht="12.75">
      <c r="A63" s="2">
        <v>2015</v>
      </c>
      <c r="B63" s="2" t="s">
        <v>132</v>
      </c>
      <c r="C63" s="3">
        <f>7435000/100</f>
        <v>74350</v>
      </c>
    </row>
    <row r="64" spans="1:3" ht="12.75">
      <c r="A64" s="2">
        <v>2015</v>
      </c>
      <c r="B64" s="2" t="s">
        <v>129</v>
      </c>
      <c r="C64" s="3">
        <f>798932/100</f>
        <v>7989.32</v>
      </c>
    </row>
    <row r="65" spans="1:3" ht="12.75">
      <c r="A65" s="2">
        <v>2015</v>
      </c>
      <c r="B65" s="2" t="s">
        <v>134</v>
      </c>
      <c r="C65" s="3">
        <f>8319722/100</f>
        <v>83197.22</v>
      </c>
    </row>
    <row r="66" spans="1:3" ht="12.75">
      <c r="A66" s="2">
        <v>2015</v>
      </c>
      <c r="B66" s="2" t="s">
        <v>133</v>
      </c>
      <c r="C66" s="3">
        <f>1409880/100</f>
        <v>14098.8</v>
      </c>
    </row>
    <row r="67" spans="1:3" ht="12.75">
      <c r="A67" s="2">
        <v>2015</v>
      </c>
      <c r="B67" s="2" t="s">
        <v>136</v>
      </c>
      <c r="C67" s="3">
        <f>7724350/100</f>
        <v>77243.5</v>
      </c>
    </row>
    <row r="68" spans="1:3" ht="12.75">
      <c r="A68" s="2">
        <v>2015</v>
      </c>
      <c r="B68" s="2" t="s">
        <v>135</v>
      </c>
      <c r="C68" s="3">
        <f>2639250/100</f>
        <v>26392.5</v>
      </c>
    </row>
    <row r="69" spans="1:3" ht="12.75">
      <c r="A69" s="2">
        <v>2015</v>
      </c>
      <c r="B69" s="2" t="s">
        <v>142</v>
      </c>
      <c r="C69" s="3">
        <f>499972/100</f>
        <v>4999.72</v>
      </c>
    </row>
    <row r="70" spans="1:3" ht="12.75">
      <c r="A70" s="2">
        <v>2015</v>
      </c>
      <c r="B70" s="2" t="s">
        <v>140</v>
      </c>
      <c r="C70" s="3">
        <f>3114800/100</f>
        <v>31148</v>
      </c>
    </row>
    <row r="71" spans="1:3" ht="12.75">
      <c r="A71" s="2">
        <v>2015</v>
      </c>
      <c r="B71" s="2" t="s">
        <v>139</v>
      </c>
      <c r="C71" s="3">
        <f>840060/100</f>
        <v>8400.6</v>
      </c>
    </row>
    <row r="72" spans="1:3" ht="12.75">
      <c r="A72" s="2">
        <v>2015</v>
      </c>
      <c r="B72" s="2" t="s">
        <v>141</v>
      </c>
      <c r="C72" s="3">
        <f>8734080/100</f>
        <v>87340.8</v>
      </c>
    </row>
    <row r="73" spans="1:3" ht="12.75">
      <c r="A73" s="2">
        <v>2015</v>
      </c>
      <c r="B73" s="2" t="s">
        <v>144</v>
      </c>
      <c r="C73" s="3">
        <f>5168182/100</f>
        <v>51681.82</v>
      </c>
    </row>
    <row r="74" spans="1:3" ht="12.75">
      <c r="A74" s="2">
        <v>2015</v>
      </c>
      <c r="B74" s="4" t="s">
        <v>162</v>
      </c>
      <c r="C74" s="5">
        <f>2478089/100</f>
        <v>24780.89</v>
      </c>
    </row>
    <row r="75" spans="1:3" ht="12.75">
      <c r="A75" s="2">
        <v>2015</v>
      </c>
      <c r="B75" s="2" t="s">
        <v>150</v>
      </c>
      <c r="C75" s="3">
        <f>6038750/100</f>
        <v>60387.5</v>
      </c>
    </row>
    <row r="76" spans="1:3" ht="12.75">
      <c r="A76" s="2">
        <v>2015</v>
      </c>
      <c r="B76" s="6" t="s">
        <v>143</v>
      </c>
      <c r="C76" s="7">
        <f>850000/100</f>
        <v>8500</v>
      </c>
    </row>
    <row r="77" spans="1:3" ht="12.75">
      <c r="A77" s="4">
        <v>2015</v>
      </c>
      <c r="B77" s="4" t="s">
        <v>145</v>
      </c>
      <c r="C77" s="5">
        <f>4410960/100</f>
        <v>44109.6</v>
      </c>
    </row>
    <row r="78" spans="1:3" ht="12.75">
      <c r="A78" s="8"/>
      <c r="B78" s="8"/>
      <c r="C78" s="9"/>
    </row>
    <row r="79" spans="1:4" ht="12.75">
      <c r="A79" s="6">
        <v>2016</v>
      </c>
      <c r="B79" s="6" t="s">
        <v>165</v>
      </c>
      <c r="C79" s="7">
        <f>8861087/100</f>
        <v>88610.87</v>
      </c>
      <c r="D79" s="14">
        <f>SUM(C79:C122)</f>
        <v>1610848.0199999998</v>
      </c>
    </row>
    <row r="80" spans="1:3" ht="12.75">
      <c r="A80" s="2">
        <v>2016</v>
      </c>
      <c r="B80" s="2" t="s">
        <v>146</v>
      </c>
      <c r="C80" s="3">
        <f>672000/100</f>
        <v>6720</v>
      </c>
    </row>
    <row r="81" spans="1:3" ht="12.75">
      <c r="A81" s="2">
        <v>2016</v>
      </c>
      <c r="B81" s="2" t="s">
        <v>147</v>
      </c>
      <c r="C81" s="3">
        <f>830000/100</f>
        <v>8300</v>
      </c>
    </row>
    <row r="82" spans="1:3" ht="12.75">
      <c r="A82" s="2">
        <v>2016</v>
      </c>
      <c r="B82" s="2" t="s">
        <v>148</v>
      </c>
      <c r="C82" s="3">
        <f>330579/100</f>
        <v>3305.79</v>
      </c>
    </row>
    <row r="83" spans="1:3" ht="12.75">
      <c r="A83" s="2">
        <v>2016</v>
      </c>
      <c r="B83" s="2" t="s">
        <v>152</v>
      </c>
      <c r="C83" s="3">
        <f>2871400/100</f>
        <v>28714</v>
      </c>
    </row>
    <row r="84" spans="1:3" ht="12.75">
      <c r="A84" s="2">
        <v>2016</v>
      </c>
      <c r="B84" s="2" t="s">
        <v>151</v>
      </c>
      <c r="C84" s="3">
        <f>750000/100</f>
        <v>7500</v>
      </c>
    </row>
    <row r="85" spans="1:3" ht="12.75">
      <c r="A85" s="2">
        <v>2016</v>
      </c>
      <c r="B85" s="2" t="s">
        <v>149</v>
      </c>
      <c r="C85" s="3">
        <f>270000/100</f>
        <v>2700</v>
      </c>
    </row>
    <row r="86" spans="1:3" ht="12.75">
      <c r="A86" s="2">
        <v>2016</v>
      </c>
      <c r="B86" s="2" t="s">
        <v>155</v>
      </c>
      <c r="C86" s="3">
        <f>849928/100</f>
        <v>8499.28</v>
      </c>
    </row>
    <row r="87" spans="1:3" ht="12.75">
      <c r="A87" s="2">
        <v>2016</v>
      </c>
      <c r="B87" s="2" t="s">
        <v>153</v>
      </c>
      <c r="C87" s="3">
        <f>116000/100</f>
        <v>1160</v>
      </c>
    </row>
    <row r="88" spans="1:3" ht="12.75">
      <c r="A88" s="2">
        <v>2016</v>
      </c>
      <c r="B88" s="2" t="s">
        <v>154</v>
      </c>
      <c r="C88" s="3">
        <f>498602/100</f>
        <v>4986.02</v>
      </c>
    </row>
    <row r="89" spans="1:3" ht="12.75">
      <c r="A89" s="2">
        <v>2016</v>
      </c>
      <c r="B89" s="2" t="s">
        <v>185</v>
      </c>
      <c r="C89" s="3">
        <f>771104/100</f>
        <v>7711.04</v>
      </c>
    </row>
    <row r="90" spans="1:3" ht="12.75">
      <c r="A90" s="2">
        <v>2016</v>
      </c>
      <c r="B90" s="2" t="s">
        <v>156</v>
      </c>
      <c r="C90" s="3">
        <f>2133520/100</f>
        <v>21335.2</v>
      </c>
    </row>
    <row r="91" spans="1:3" ht="12.75">
      <c r="A91" s="2">
        <v>2016</v>
      </c>
      <c r="B91" s="2" t="s">
        <v>163</v>
      </c>
      <c r="C91" s="3">
        <f>8479532/100</f>
        <v>84795.32</v>
      </c>
    </row>
    <row r="92" spans="1:3" ht="12.75">
      <c r="A92" s="2">
        <v>2016</v>
      </c>
      <c r="B92" s="2" t="s">
        <v>157</v>
      </c>
      <c r="C92" s="3">
        <f>191744/100</f>
        <v>1917.44</v>
      </c>
    </row>
    <row r="93" spans="1:3" ht="12.75">
      <c r="A93" s="2">
        <v>2016</v>
      </c>
      <c r="B93" s="2" t="s">
        <v>158</v>
      </c>
      <c r="C93" s="3">
        <f>8478140/100</f>
        <v>84781.4</v>
      </c>
    </row>
    <row r="94" spans="1:3" ht="12.75">
      <c r="A94" s="2">
        <v>2016</v>
      </c>
      <c r="B94" s="2" t="s">
        <v>164</v>
      </c>
      <c r="C94" s="3">
        <f>6736040/100</f>
        <v>67360.4</v>
      </c>
    </row>
    <row r="95" spans="1:3" ht="12.75">
      <c r="A95" s="2">
        <v>2016</v>
      </c>
      <c r="B95" s="2" t="s">
        <v>161</v>
      </c>
      <c r="C95" s="3">
        <f>5468300/100</f>
        <v>54683</v>
      </c>
    </row>
    <row r="96" spans="1:3" ht="12.75">
      <c r="A96" s="2">
        <v>2016</v>
      </c>
      <c r="B96" s="2" t="s">
        <v>160</v>
      </c>
      <c r="C96" s="3">
        <f>486112/100</f>
        <v>4861.12</v>
      </c>
    </row>
    <row r="97" spans="1:3" ht="12.75">
      <c r="A97" s="2">
        <v>2016</v>
      </c>
      <c r="B97" s="2" t="s">
        <v>166</v>
      </c>
      <c r="C97" s="3">
        <f>1917600/100</f>
        <v>19176</v>
      </c>
    </row>
    <row r="98" spans="1:3" ht="12.75">
      <c r="A98" s="2">
        <v>2016</v>
      </c>
      <c r="B98" s="2" t="s">
        <v>159</v>
      </c>
      <c r="C98" s="3">
        <f>392000/100</f>
        <v>3920</v>
      </c>
    </row>
    <row r="99" spans="1:3" ht="12.75">
      <c r="A99" s="2">
        <v>2016</v>
      </c>
      <c r="B99" s="2" t="s">
        <v>169</v>
      </c>
      <c r="C99" s="3">
        <f>4325820/100</f>
        <v>43258.2</v>
      </c>
    </row>
    <row r="100" spans="1:3" ht="12.75">
      <c r="A100" s="2">
        <v>2016</v>
      </c>
      <c r="B100" s="2" t="s">
        <v>167</v>
      </c>
      <c r="C100" s="3">
        <f>4391884/100</f>
        <v>43918.84</v>
      </c>
    </row>
    <row r="101" spans="1:3" ht="12.75">
      <c r="A101" s="2">
        <v>2016</v>
      </c>
      <c r="B101" s="2" t="s">
        <v>168</v>
      </c>
      <c r="C101" s="3">
        <f>5476184/100</f>
        <v>54761.84</v>
      </c>
    </row>
    <row r="102" spans="1:3" ht="12.75">
      <c r="A102" s="2">
        <v>2016</v>
      </c>
      <c r="B102" s="2" t="s">
        <v>170</v>
      </c>
      <c r="C102" s="3">
        <f>500000/100</f>
        <v>5000</v>
      </c>
    </row>
    <row r="103" spans="1:3" ht="12.75">
      <c r="A103" s="2">
        <v>2016</v>
      </c>
      <c r="B103" s="2" t="s">
        <v>174</v>
      </c>
      <c r="C103" s="3">
        <f>3130000/100</f>
        <v>31300</v>
      </c>
    </row>
    <row r="104" spans="1:3" ht="12.75">
      <c r="A104" s="2">
        <v>2016</v>
      </c>
      <c r="B104" s="2" t="s">
        <v>171</v>
      </c>
      <c r="C104" s="3">
        <f>814912/100</f>
        <v>8149.12</v>
      </c>
    </row>
    <row r="105" spans="1:3" ht="12.75">
      <c r="A105" s="2">
        <v>2016</v>
      </c>
      <c r="B105" s="2" t="s">
        <v>172</v>
      </c>
      <c r="C105" s="3">
        <f>8484672/100</f>
        <v>84846.72</v>
      </c>
    </row>
    <row r="106" spans="1:3" ht="12.75">
      <c r="A106" s="2">
        <v>2016</v>
      </c>
      <c r="B106" s="2" t="s">
        <v>190</v>
      </c>
      <c r="C106" s="3">
        <f>3533123/100</f>
        <v>35331.23</v>
      </c>
    </row>
    <row r="107" spans="1:3" ht="12.75">
      <c r="A107" s="2">
        <v>2016</v>
      </c>
      <c r="B107" s="2" t="s">
        <v>173</v>
      </c>
      <c r="C107" s="3">
        <f>660000/100</f>
        <v>6600</v>
      </c>
    </row>
    <row r="108" spans="1:3" ht="12.75">
      <c r="A108" s="2">
        <v>2016</v>
      </c>
      <c r="B108" s="2" t="s">
        <v>177</v>
      </c>
      <c r="C108" s="3">
        <f>8484672/100</f>
        <v>84846.72</v>
      </c>
    </row>
    <row r="109" spans="1:3" ht="12.75">
      <c r="A109" s="2">
        <v>2016</v>
      </c>
      <c r="B109" s="2" t="s">
        <v>175</v>
      </c>
      <c r="C109" s="3">
        <f>10000000/100</f>
        <v>100000</v>
      </c>
    </row>
    <row r="110" spans="1:3" ht="12.75">
      <c r="A110" s="2">
        <v>2016</v>
      </c>
      <c r="B110" s="2" t="s">
        <v>178</v>
      </c>
      <c r="C110" s="3">
        <f>3995840/100</f>
        <v>39958.4</v>
      </c>
    </row>
    <row r="111" spans="1:3" ht="12.75">
      <c r="A111" s="2">
        <v>2016</v>
      </c>
      <c r="B111" s="2" t="s">
        <v>180</v>
      </c>
      <c r="C111" s="3">
        <f>8490000/100</f>
        <v>84900</v>
      </c>
    </row>
    <row r="112" spans="1:3" ht="12.75">
      <c r="A112" s="2">
        <v>2016</v>
      </c>
      <c r="B112" s="2" t="s">
        <v>189</v>
      </c>
      <c r="C112" s="3">
        <f>2232000/100</f>
        <v>22320</v>
      </c>
    </row>
    <row r="113" spans="1:3" ht="12.75">
      <c r="A113" s="2">
        <v>2016</v>
      </c>
      <c r="B113" s="2" t="s">
        <v>186</v>
      </c>
      <c r="C113" s="3">
        <f>1480000/100</f>
        <v>14800</v>
      </c>
    </row>
    <row r="114" spans="1:3" ht="12.75">
      <c r="A114" s="2">
        <v>2016</v>
      </c>
      <c r="B114" s="4" t="s">
        <v>176</v>
      </c>
      <c r="C114" s="5">
        <f>8068944/100</f>
        <v>80689.44</v>
      </c>
    </row>
    <row r="115" spans="1:3" ht="12.75">
      <c r="A115" s="2">
        <v>2016</v>
      </c>
      <c r="B115" s="2" t="s">
        <v>182</v>
      </c>
      <c r="C115" s="24">
        <f>7771012/100</f>
        <v>77710.12</v>
      </c>
    </row>
    <row r="116" spans="1:3" ht="12.75">
      <c r="A116" s="2">
        <v>2016</v>
      </c>
      <c r="B116" s="6" t="s">
        <v>187</v>
      </c>
      <c r="C116" s="7">
        <f>1940000/100</f>
        <v>19400</v>
      </c>
    </row>
    <row r="117" spans="1:3" ht="12.75">
      <c r="A117" s="2">
        <v>2016</v>
      </c>
      <c r="B117" s="2" t="s">
        <v>183</v>
      </c>
      <c r="C117" s="3">
        <f>6069282/100</f>
        <v>60692.82</v>
      </c>
    </row>
    <row r="118" spans="1:3" ht="12.75">
      <c r="A118" s="2">
        <v>2016</v>
      </c>
      <c r="B118" s="2" t="s">
        <v>188</v>
      </c>
      <c r="C118" s="3">
        <f>684000/100</f>
        <v>6840</v>
      </c>
    </row>
    <row r="119" spans="1:3" ht="12.75">
      <c r="A119" s="2">
        <v>2016</v>
      </c>
      <c r="B119" s="2" t="s">
        <v>181</v>
      </c>
      <c r="C119" s="3">
        <f>2066116/100</f>
        <v>20661.16</v>
      </c>
    </row>
    <row r="120" spans="1:3" ht="12.75">
      <c r="A120" s="2">
        <v>2016</v>
      </c>
      <c r="B120" s="2" t="s">
        <v>184</v>
      </c>
      <c r="C120" s="3">
        <f>8479768/100</f>
        <v>84797.68</v>
      </c>
    </row>
    <row r="121" spans="1:3" ht="12.75">
      <c r="A121" s="2">
        <v>2016</v>
      </c>
      <c r="B121" s="2" t="s">
        <v>179</v>
      </c>
      <c r="C121" s="3">
        <f>8052885/100</f>
        <v>80528.85</v>
      </c>
    </row>
    <row r="122" spans="1:3" ht="12.75">
      <c r="A122" s="4">
        <v>2016</v>
      </c>
      <c r="B122" s="4" t="s">
        <v>191</v>
      </c>
      <c r="C122" s="5">
        <f>850000/100</f>
        <v>8500</v>
      </c>
    </row>
    <row r="123" spans="1:3" ht="12.75">
      <c r="A123" s="8"/>
      <c r="B123" s="8"/>
      <c r="C123" s="9"/>
    </row>
    <row r="124" spans="1:4" ht="12.75">
      <c r="A124" s="6">
        <v>2017</v>
      </c>
      <c r="B124" s="6" t="s">
        <v>196</v>
      </c>
      <c r="C124" s="7">
        <f>75600/100</f>
        <v>756</v>
      </c>
      <c r="D124" s="14">
        <f>SUM(C124:C150)</f>
        <v>865788.3600000001</v>
      </c>
    </row>
    <row r="125" spans="1:3" ht="12.75">
      <c r="A125" s="2">
        <v>2017</v>
      </c>
      <c r="B125" s="2" t="s">
        <v>192</v>
      </c>
      <c r="C125" s="3">
        <f>6504535/100</f>
        <v>65045.35</v>
      </c>
    </row>
    <row r="126" spans="1:3" ht="12.75">
      <c r="A126" s="2">
        <v>2017</v>
      </c>
      <c r="B126" s="2" t="s">
        <v>197</v>
      </c>
      <c r="C126" s="3">
        <f>350200/100</f>
        <v>3502</v>
      </c>
    </row>
    <row r="127" spans="1:3" ht="12.75">
      <c r="A127" s="2">
        <v>2017</v>
      </c>
      <c r="B127" s="2" t="s">
        <v>204</v>
      </c>
      <c r="C127" s="3">
        <f>8117722/100</f>
        <v>81177.22</v>
      </c>
    </row>
    <row r="128" spans="1:3" ht="12.75">
      <c r="A128" s="2">
        <v>2017</v>
      </c>
      <c r="B128" s="2" t="s">
        <v>193</v>
      </c>
      <c r="C128" s="3">
        <f>8373008/100</f>
        <v>83730.08</v>
      </c>
    </row>
    <row r="129" spans="1:3" ht="12.75">
      <c r="A129" s="2">
        <v>2017</v>
      </c>
      <c r="B129" s="2" t="s">
        <v>194</v>
      </c>
      <c r="C129" s="3">
        <f>7500816/100</f>
        <v>75008.16</v>
      </c>
    </row>
    <row r="130" spans="1:3" ht="12.75">
      <c r="A130" s="2">
        <v>2017</v>
      </c>
      <c r="B130" s="2" t="s">
        <v>195</v>
      </c>
      <c r="C130" s="3">
        <f>6197508/100</f>
        <v>61975.08</v>
      </c>
    </row>
    <row r="131" spans="1:3" ht="12.75">
      <c r="A131" s="2">
        <v>2017</v>
      </c>
      <c r="B131" s="2" t="s">
        <v>203</v>
      </c>
      <c r="C131" s="3">
        <f>373264/100</f>
        <v>3732.64</v>
      </c>
    </row>
    <row r="132" spans="1:3" ht="12.75">
      <c r="A132" s="2">
        <v>2017</v>
      </c>
      <c r="B132" s="2" t="s">
        <v>201</v>
      </c>
      <c r="C132" s="3">
        <f>4389516/100</f>
        <v>43895.16</v>
      </c>
    </row>
    <row r="133" spans="1:3" ht="12.75">
      <c r="A133" s="2">
        <v>2017</v>
      </c>
      <c r="B133" s="2" t="s">
        <v>198</v>
      </c>
      <c r="C133" s="3">
        <f>515128/100</f>
        <v>5151.28</v>
      </c>
    </row>
    <row r="134" spans="1:3" ht="12.75">
      <c r="A134" s="2">
        <v>2017</v>
      </c>
      <c r="B134" s="2" t="s">
        <v>199</v>
      </c>
      <c r="C134" s="3">
        <f>391168/100</f>
        <v>3911.68</v>
      </c>
    </row>
    <row r="135" spans="1:3" ht="12.75">
      <c r="A135" s="2">
        <v>2017</v>
      </c>
      <c r="B135" s="2" t="s">
        <v>200</v>
      </c>
      <c r="C135" s="3">
        <f>391168/100</f>
        <v>3911.68</v>
      </c>
    </row>
    <row r="136" spans="1:3" ht="12.75">
      <c r="A136" s="2">
        <v>2017</v>
      </c>
      <c r="B136" s="2" t="s">
        <v>209</v>
      </c>
      <c r="C136" s="3">
        <f>5984805/100</f>
        <v>59848.05</v>
      </c>
    </row>
    <row r="137" spans="1:3" ht="12.75">
      <c r="A137" s="2">
        <v>2017</v>
      </c>
      <c r="B137" s="2" t="s">
        <v>202</v>
      </c>
      <c r="C137" s="3">
        <f>131400/100</f>
        <v>1314</v>
      </c>
    </row>
    <row r="138" spans="1:3" ht="12.75">
      <c r="A138" s="2">
        <v>2017</v>
      </c>
      <c r="B138" s="2" t="s">
        <v>205</v>
      </c>
      <c r="C138" s="3">
        <f>1466880/100</f>
        <v>14668.8</v>
      </c>
    </row>
    <row r="139" spans="1:3" ht="12.75">
      <c r="A139" s="2">
        <v>2017</v>
      </c>
      <c r="B139" s="2" t="s">
        <v>215</v>
      </c>
      <c r="C139" s="3">
        <f>4215792/100</f>
        <v>42157.92</v>
      </c>
    </row>
    <row r="140" spans="1:3" ht="12.75">
      <c r="A140" s="2">
        <v>2017</v>
      </c>
      <c r="B140" s="2" t="s">
        <v>206</v>
      </c>
      <c r="C140" s="3">
        <f>2838600/100</f>
        <v>28386</v>
      </c>
    </row>
    <row r="141" spans="1:3" ht="12.75">
      <c r="A141" s="2">
        <v>2017</v>
      </c>
      <c r="B141" s="2" t="s">
        <v>208</v>
      </c>
      <c r="C141" s="3">
        <f>2219600/100</f>
        <v>22196</v>
      </c>
    </row>
    <row r="142" spans="1:3" ht="12.75">
      <c r="A142" s="2">
        <v>2017</v>
      </c>
      <c r="B142" s="2" t="s">
        <v>207</v>
      </c>
      <c r="C142" s="3">
        <f>3234016/100</f>
        <v>32340.16</v>
      </c>
    </row>
    <row r="143" spans="1:3" ht="12.75">
      <c r="A143" s="2">
        <v>2017</v>
      </c>
      <c r="B143" s="2" t="s">
        <v>211</v>
      </c>
      <c r="C143" s="3">
        <f>610192/100</f>
        <v>6101.92</v>
      </c>
    </row>
    <row r="144" spans="1:3" ht="12.75">
      <c r="A144" s="2">
        <v>2017</v>
      </c>
      <c r="B144" s="2" t="s">
        <v>210</v>
      </c>
      <c r="C144" s="3">
        <f>8435385/100</f>
        <v>84353.85</v>
      </c>
    </row>
    <row r="145" spans="1:3" ht="12.75">
      <c r="A145" s="2">
        <v>2017</v>
      </c>
      <c r="B145" s="2" t="s">
        <v>213</v>
      </c>
      <c r="C145" s="3">
        <f>2157320/100</f>
        <v>21573.2</v>
      </c>
    </row>
    <row r="146" spans="1:3" ht="12.75">
      <c r="A146" s="2">
        <v>2017</v>
      </c>
      <c r="B146" s="2" t="s">
        <v>217</v>
      </c>
      <c r="C146" s="3">
        <f>2468664/100</f>
        <v>24686.64</v>
      </c>
    </row>
    <row r="147" spans="1:3" ht="12.75">
      <c r="A147" s="2">
        <v>2017</v>
      </c>
      <c r="B147" s="2" t="s">
        <v>212</v>
      </c>
      <c r="C147" s="3">
        <f>505760/100</f>
        <v>5057.6</v>
      </c>
    </row>
    <row r="148" spans="1:3" ht="12.75">
      <c r="A148" s="2">
        <v>2017</v>
      </c>
      <c r="B148" s="2" t="s">
        <v>216</v>
      </c>
      <c r="C148" s="3">
        <f>3106605/100</f>
        <v>31066.05</v>
      </c>
    </row>
    <row r="149" spans="1:3" ht="12.75">
      <c r="A149" s="2">
        <v>2017</v>
      </c>
      <c r="B149" s="4" t="s">
        <v>218</v>
      </c>
      <c r="C149" s="5">
        <f>2380000/100</f>
        <v>23800</v>
      </c>
    </row>
    <row r="150" spans="1:3" ht="12.75">
      <c r="A150" s="2">
        <v>2017</v>
      </c>
      <c r="B150" s="2" t="s">
        <v>214</v>
      </c>
      <c r="C150" s="3">
        <f>3644184/100</f>
        <v>36441.84</v>
      </c>
    </row>
  </sheetData>
  <sheetProtection/>
  <printOptions/>
  <pageMargins left="0.7" right="0.7" top="0.75" bottom="0.75" header="0.3" footer="0.3"/>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Wellens Magalie</dc:creator>
  <cp:keywords/>
  <dc:description/>
  <cp:lastModifiedBy>Bollen, Lut</cp:lastModifiedBy>
  <cp:lastPrinted>2018-01-22T09:31:48Z</cp:lastPrinted>
  <dcterms:created xsi:type="dcterms:W3CDTF">2018-01-16T13:24:26Z</dcterms:created>
  <dcterms:modified xsi:type="dcterms:W3CDTF">2018-01-26T12:32:57Z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2067</vt:i4>
  </property>
  <property fmtid="{D5CDD505-2E9C-101B-9397-08002B2CF9AE}" pid="3" name="VraagnummerCa">
    <vt:lpwstr>193</vt:lpwstr>
  </property>
  <property fmtid="{D5CDD505-2E9C-101B-9397-08002B2CF9AE}" pid="4" name="Datum">
    <vt:lpwstr>2018-01-10T00:00:00Z</vt:lpwstr>
  </property>
  <property fmtid="{D5CDD505-2E9C-101B-9397-08002B2CF9AE}" pid="5" name="TypeVra">
    <vt:lpwstr>Vraag Aan Meerdere Ministers</vt:lpwstr>
  </property>
  <property fmtid="{D5CDD505-2E9C-101B-9397-08002B2CF9AE}" pid="6" name="Minist">
    <vt:lpwstr>3</vt:lpwstr>
  </property>
  <property fmtid="{D5CDD505-2E9C-101B-9397-08002B2CF9AE}" pid="7" name="TypePref">
    <vt:lpwstr>SV</vt:lpwstr>
  </property>
  <property fmtid="{D5CDD505-2E9C-101B-9397-08002B2CF9AE}" pid="8" name="e9774d0c1c5b4673b17cf4c67a5147">
    <vt:lpwstr>2014|684dd4d6-5be9-41c0-ac8a-e5d3fba756ad</vt:lpwstr>
  </property>
  <property fmtid="{D5CDD505-2E9C-101B-9397-08002B2CF9AE}" pid="9" name="b1a289345cf1476fbb8677cb3fc7cc">
    <vt:lpwstr>Parlementaire vragen / antwoorden|8ac8b9f5-0ac5-42e3-890d-c9b36bb0a8b3</vt:lpwstr>
  </property>
  <property fmtid="{D5CDD505-2E9C-101B-9397-08002B2CF9AE}" pid="10" name="TitelVra">
    <vt:lpwstr>193 Publieke aanbestedingen VO Deelname VITO</vt:lpwstr>
  </property>
  <property fmtid="{D5CDD505-2E9C-101B-9397-08002B2CF9AE}" pid="11" name="DocumentSetDescripti">
    <vt:lpwstr/>
  </property>
  <property fmtid="{D5CDD505-2E9C-101B-9397-08002B2CF9AE}" pid="12" name="Publicatieli">
    <vt:lpwstr/>
  </property>
  <property fmtid="{D5CDD505-2E9C-101B-9397-08002B2CF9AE}" pid="13" name="MinisterHidd">
    <vt:lpwstr>philippe muyters</vt:lpwstr>
  </property>
  <property fmtid="{D5CDD505-2E9C-101B-9397-08002B2CF9AE}" pid="14" name="MinisterAlleDomein">
    <vt:lpwstr>vlaams minister van werk, economie, innovatie en sport</vt:lpwstr>
  </property>
  <property fmtid="{D5CDD505-2E9C-101B-9397-08002B2CF9AE}" pid="15" name="MinisterDome">
    <vt:lpwstr>NVT</vt:lpwstr>
  </property>
  <property fmtid="{D5CDD505-2E9C-101B-9397-08002B2CF9AE}" pid="16" name="Parlementa">
    <vt:lpwstr>willem frederik schiltz</vt:lpwstr>
  </property>
  <property fmtid="{D5CDD505-2E9C-101B-9397-08002B2CF9AE}" pid="17" name="Antwoordnumm">
    <vt:lpwstr>193</vt:lpwstr>
  </property>
  <property fmtid="{D5CDD505-2E9C-101B-9397-08002B2CF9AE}" pid="18" name="Vraagnumm">
    <vt:lpwstr>193</vt:lpwstr>
  </property>
  <property fmtid="{D5CDD505-2E9C-101B-9397-08002B2CF9AE}" pid="19" name="OrigDossier">
    <vt:lpwstr>7441</vt:lpwstr>
  </property>
  <property fmtid="{D5CDD505-2E9C-101B-9397-08002B2CF9AE}" pid="20" name="AntwoordVerei">
    <vt:lpwstr>2018-02-01T00:00:00Z</vt:lpwstr>
  </property>
  <property fmtid="{D5CDD505-2E9C-101B-9397-08002B2CF9AE}" pid="21" name="OpmerkingenExterneAgentschapp">
    <vt:lpwstr/>
  </property>
  <property fmtid="{D5CDD505-2E9C-101B-9397-08002B2CF9AE}" pid="22" name="TaxCatchA">
    <vt:lpwstr>307;#Parlementaire vragen / antwoorden|8ac8b9f5-0ac5-42e3-890d-c9b36bb0a8b3;#310;#2014|684dd4d6-5be9-41c0-ac8a-e5d3fba756ad</vt:lpwstr>
  </property>
  <property fmtid="{D5CDD505-2E9C-101B-9397-08002B2CF9AE}" pid="23" name="OnderwerpVra">
    <vt:lpwstr>Publieke aanbestedingen VO Deelname VITO</vt:lpwstr>
  </property>
  <property fmtid="{D5CDD505-2E9C-101B-9397-08002B2CF9AE}" pid="24" name="DatumVra">
    <vt:lpwstr>2018-01-09T00:00:00Z</vt:lpwstr>
  </property>
  <property fmtid="{D5CDD505-2E9C-101B-9397-08002B2CF9AE}" pid="25" name="Type_x0020_docume">
    <vt:lpwstr>307;#Parlementaire vragen / antwoorden|8ac8b9f5-0ac5-42e3-890d-c9b36bb0a8b3</vt:lpwstr>
  </property>
  <property fmtid="{D5CDD505-2E9C-101B-9397-08002B2CF9AE}" pid="26" name="_docset_NoMedatataSyncRequir">
    <vt:lpwstr>False</vt:lpwstr>
  </property>
  <property fmtid="{D5CDD505-2E9C-101B-9397-08002B2CF9AE}" pid="27" name="Jaart">
    <vt:lpwstr>310;#2014|684dd4d6-5be9-41c0-ac8a-e5d3fba756ad</vt:lpwstr>
  </property>
</Properties>
</file>